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3WE) Templates - Cost Approach\"/>
    </mc:Choice>
  </mc:AlternateContent>
  <xr:revisionPtr revIDLastSave="0" documentId="13_ncr:1_{A9430CF1-B3F9-4B68-8071-17DC68A053A8}" xr6:coauthVersionLast="45" xr6:coauthVersionMax="45" xr10:uidLastSave="{00000000-0000-0000-0000-000000000000}"/>
  <bookViews>
    <workbookView xWindow="-108" yWindow="-108" windowWidth="23256" windowHeight="12576" tabRatio="732" xr2:uid="{00000000-000D-0000-FFFF-FFFF00000000}"/>
  </bookViews>
  <sheets>
    <sheet name="MVS" sheetId="15" r:id="rId1"/>
    <sheet name="Cost Approach" sheetId="16" r:id="rId2"/>
    <sheet name="Income Approach" sheetId="17" r:id="rId3"/>
    <sheet name="Misc. Sheet" sheetId="13" r:id="rId4"/>
    <sheet name="BREAK" sheetId="32" r:id="rId5"/>
  </sheets>
  <externalReferences>
    <externalReference r:id="rId6"/>
  </externalReferences>
  <definedNames>
    <definedName name="_Key1" hidden="1">'[1]4-1-01'!#REF!</definedName>
    <definedName name="_Order1" hidden="1">255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'Cost Approach'!$A$1:$I$32</definedName>
    <definedName name="_xlnm.Print_Area" localSheetId="2">'Income Approach'!$A$1:$O$39</definedName>
    <definedName name="_xlnm.Print_Area" localSheetId="0">MVS!$A$1:$I$83</definedName>
  </definedNames>
  <calcPr calcId="191029"/>
  <customWorkbookViews>
    <customWorkbookView name="Kurt - Personal View" guid="{3DA01770-93DB-4711-9E01-2ACD207AF101}" mergeInterval="0" personalView="1" maximized="1" windowWidth="1148" windowHeight="722" activeSheetId="1"/>
    <customWorkbookView name="User - Personal View" guid="{8AB633B9-8F3F-43EB-8FE1-224F736C2880}" mergeInterval="0" personalView="1" maximized="1" windowWidth="1020" windowHeight="596" activeSheetId="2"/>
    <customWorkbookView name="Chad - Personal View" guid="{5F6E15A6-A5E6-4863-AB9D-92A238B1BEBD}" mergeInterval="0" personalView="1" maximized="1" windowWidth="1148" windowHeight="72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5" l="1"/>
  <c r="H12" i="15"/>
  <c r="F12" i="15"/>
  <c r="E6" i="13" l="1"/>
  <c r="E7" i="13"/>
  <c r="E8" i="13"/>
  <c r="E9" i="13"/>
  <c r="E10" i="13"/>
  <c r="E11" i="13"/>
  <c r="E12" i="13"/>
  <c r="L30" i="13" l="1"/>
  <c r="L31" i="13"/>
  <c r="L32" i="13"/>
  <c r="L33" i="13"/>
  <c r="L34" i="13"/>
  <c r="L35" i="13"/>
  <c r="L36" i="13"/>
  <c r="L29" i="13"/>
  <c r="N30" i="13"/>
  <c r="N31" i="13"/>
  <c r="N32" i="13"/>
  <c r="N33" i="13"/>
  <c r="N34" i="13"/>
  <c r="N35" i="13"/>
  <c r="N36" i="13"/>
  <c r="N29" i="13"/>
  <c r="K30" i="13" l="1"/>
  <c r="K31" i="13"/>
  <c r="K32" i="13"/>
  <c r="K33" i="13"/>
  <c r="K34" i="13"/>
  <c r="K35" i="13"/>
  <c r="K36" i="13"/>
  <c r="K29" i="13"/>
  <c r="N37" i="13"/>
  <c r="F13" i="13" l="1"/>
  <c r="D13" i="13"/>
  <c r="C13" i="13"/>
  <c r="H6" i="17" l="1"/>
  <c r="F49" i="15" l="1"/>
  <c r="H52" i="15"/>
  <c r="H37" i="15"/>
  <c r="K12" i="15"/>
  <c r="K10" i="15"/>
  <c r="G50" i="15"/>
  <c r="G21" i="15"/>
  <c r="G20" i="15"/>
  <c r="G19" i="15"/>
  <c r="H36" i="15" l="1"/>
  <c r="H35" i="15"/>
  <c r="H20" i="15"/>
  <c r="H21" i="15"/>
  <c r="F50" i="15"/>
  <c r="H50" i="15" s="1"/>
  <c r="H39" i="15"/>
  <c r="H24" i="15"/>
  <c r="F19" i="15"/>
  <c r="E5" i="13" l="1"/>
  <c r="E13" i="13" s="1"/>
  <c r="G21" i="16" l="1"/>
  <c r="H55" i="13" l="1"/>
  <c r="L42" i="13" l="1"/>
  <c r="L22" i="13"/>
  <c r="N19" i="13"/>
  <c r="N22" i="13" s="1"/>
  <c r="N7" i="13"/>
  <c r="N6" i="13"/>
  <c r="H19" i="15" l="1"/>
  <c r="H23" i="15" s="1"/>
  <c r="O22" i="13"/>
  <c r="H49" i="15"/>
  <c r="H51" i="15" s="1"/>
  <c r="O7" i="13"/>
  <c r="E33" i="13"/>
  <c r="C24" i="13"/>
  <c r="C33" i="13" s="1"/>
  <c r="C23" i="13"/>
  <c r="C32" i="13" s="1"/>
  <c r="C22" i="13"/>
  <c r="C31" i="13" s="1"/>
  <c r="E34" i="13"/>
  <c r="N16" i="13"/>
  <c r="F34" i="15" s="1"/>
  <c r="L16" i="13"/>
  <c r="N10" i="13"/>
  <c r="E32" i="13"/>
  <c r="E31" i="13"/>
  <c r="L10" i="13"/>
  <c r="R32" i="17"/>
  <c r="S32" i="17"/>
  <c r="I63" i="15"/>
  <c r="I76" i="15" s="1"/>
  <c r="B77" i="15"/>
  <c r="B78" i="15"/>
  <c r="D60" i="15"/>
  <c r="H34" i="15" l="1"/>
  <c r="H38" i="15" s="1"/>
  <c r="I40" i="15" s="1"/>
  <c r="I45" i="15" s="1"/>
  <c r="L24" i="13"/>
  <c r="E52" i="13" s="1"/>
  <c r="N24" i="13"/>
  <c r="I25" i="15"/>
  <c r="I30" i="15" s="1"/>
  <c r="H30" i="15" s="1"/>
  <c r="I53" i="15"/>
  <c r="I58" i="15" s="1"/>
  <c r="H58" i="15" s="1"/>
  <c r="O16" i="13"/>
  <c r="G13" i="13"/>
  <c r="H70" i="15" s="1"/>
  <c r="H71" i="15" s="1"/>
  <c r="O10" i="13"/>
  <c r="H45" i="15" l="1"/>
  <c r="I60" i="15"/>
  <c r="O24" i="13"/>
  <c r="D10" i="16"/>
  <c r="S45" i="17"/>
  <c r="F13" i="17"/>
  <c r="L13" i="17" s="1"/>
  <c r="L16" i="17" s="1"/>
  <c r="N16" i="17" s="1"/>
  <c r="I72" i="15"/>
  <c r="I78" i="15" s="1"/>
  <c r="K58" i="15" l="1"/>
  <c r="M58" i="15" s="1"/>
  <c r="N58" i="15" s="1"/>
  <c r="D33" i="13" s="1"/>
  <c r="F33" i="13" s="1"/>
  <c r="H60" i="15"/>
  <c r="K30" i="15"/>
  <c r="M30" i="15" s="1"/>
  <c r="N30" i="15" s="1"/>
  <c r="D31" i="13" s="1"/>
  <c r="I75" i="15"/>
  <c r="K45" i="15"/>
  <c r="M45" i="15" s="1"/>
  <c r="N45" i="15" s="1"/>
  <c r="D32" i="13" s="1"/>
  <c r="F32" i="13" s="1"/>
  <c r="N13" i="17"/>
  <c r="R16" i="17"/>
  <c r="L18" i="17"/>
  <c r="N18" i="17" l="1"/>
  <c r="J23" i="17"/>
  <c r="J24" i="17"/>
  <c r="N24" i="17" s="1"/>
  <c r="F31" i="13"/>
  <c r="N23" i="17" l="1"/>
  <c r="L26" i="17"/>
  <c r="N26" i="17" l="1"/>
  <c r="L29" i="17"/>
  <c r="L36" i="17" s="1"/>
  <c r="R36" i="17" l="1"/>
  <c r="R38" i="17" s="1"/>
  <c r="S36" i="17"/>
  <c r="S38" i="17" s="1"/>
  <c r="N29" i="17"/>
  <c r="L45" i="17" l="1"/>
  <c r="N45" i="17" s="1"/>
  <c r="F50" i="13"/>
  <c r="N36" i="17"/>
  <c r="L44" i="13"/>
  <c r="L43" i="13"/>
  <c r="D15" i="13"/>
  <c r="L37" i="13"/>
  <c r="C66" i="15"/>
  <c r="I66" i="15" s="1"/>
  <c r="D24" i="16"/>
  <c r="H24" i="16" s="1"/>
  <c r="D42" i="13" l="1"/>
  <c r="E53" i="13"/>
  <c r="F53" i="13" s="1"/>
  <c r="G53" i="13" s="1"/>
  <c r="R12" i="17"/>
  <c r="R14" i="17" s="1"/>
  <c r="S14" i="17" s="1"/>
  <c r="I77" i="15"/>
  <c r="D34" i="13"/>
  <c r="F42" i="13" l="1"/>
  <c r="F34" i="13"/>
  <c r="F35" i="13" s="1"/>
  <c r="D35" i="13"/>
  <c r="I80" i="15"/>
  <c r="I81" i="15" s="1"/>
  <c r="B10" i="16" s="1"/>
  <c r="G10" i="16" s="1"/>
  <c r="G12" i="16" l="1"/>
  <c r="H14" i="16" s="1"/>
  <c r="G17" i="16" s="1"/>
  <c r="H42" i="13"/>
  <c r="E35" i="13"/>
  <c r="G16" i="16"/>
  <c r="H19" i="16" l="1"/>
  <c r="H21" i="16"/>
  <c r="I21" i="16" s="1"/>
  <c r="I24" i="16" l="1"/>
  <c r="I29" i="16" s="1"/>
  <c r="H29" i="16"/>
  <c r="K29" i="16" s="1"/>
  <c r="D43" i="13"/>
  <c r="D44" i="13" s="1"/>
  <c r="K21" i="16"/>
  <c r="F43" i="13" l="1"/>
  <c r="F44" i="13" s="1"/>
  <c r="F48" i="13"/>
  <c r="F55" i="13" s="1"/>
  <c r="H43" i="13" l="1"/>
  <c r="F45" i="13"/>
  <c r="E44" i="13"/>
</calcChain>
</file>

<file path=xl/sharedStrings.xml><?xml version="1.0" encoding="utf-8"?>
<sst xmlns="http://schemas.openxmlformats.org/spreadsheetml/2006/main" count="246" uniqueCount="194">
  <si>
    <t>Land</t>
  </si>
  <si>
    <t>Taxes</t>
  </si>
  <si>
    <t>Good</t>
  </si>
  <si>
    <t>MARSHALL VALUATION SERVICE</t>
  </si>
  <si>
    <t>GENERAL DATA</t>
  </si>
  <si>
    <t>Occupancy:</t>
  </si>
  <si>
    <t>Building Class:</t>
  </si>
  <si>
    <t>Exterior Wall:</t>
  </si>
  <si>
    <t>GBA</t>
  </si>
  <si>
    <t>Marshall Reference:</t>
  </si>
  <si>
    <t>Base Cost / SF:</t>
  </si>
  <si>
    <t>Adjusted Base Cost / SF:</t>
  </si>
  <si>
    <t>Unadjusted Base Cost:</t>
  </si>
  <si>
    <t>Local Area Cost Multiplier:</t>
  </si>
  <si>
    <t>Current Cost  Multiplier:</t>
  </si>
  <si>
    <t>FURNITURE, FIXTURES, &amp; EQUIPMENT</t>
  </si>
  <si>
    <t>No Accurate Estimate Available - Excluded from Analysis</t>
  </si>
  <si>
    <t>SITE IMPROVEMENTS:</t>
  </si>
  <si>
    <t>ADDITIONAL SOFT COSTS:</t>
  </si>
  <si>
    <t>Professional Fees:</t>
  </si>
  <si>
    <t>Taxes During Construction:</t>
  </si>
  <si>
    <t>TOTAL ADDITIONAL SITE COSTS:</t>
  </si>
  <si>
    <t>TOTAL REPLACEMENT COST:</t>
  </si>
  <si>
    <t>BUILDINGS</t>
  </si>
  <si>
    <t>FF&amp;E (Excluded from this analysis)</t>
  </si>
  <si>
    <t>MARSHALL REPLACEMENT COST NEW:</t>
  </si>
  <si>
    <t>TOTAL:</t>
  </si>
  <si>
    <t>PER SF:</t>
  </si>
  <si>
    <t xml:space="preserve"> </t>
  </si>
  <si>
    <t>TOTAL</t>
  </si>
  <si>
    <t>VIA THE COST APPROACH</t>
  </si>
  <si>
    <t>ASSUMPTIONS</t>
  </si>
  <si>
    <t>DIRECT / INDIRECT COSTS</t>
  </si>
  <si>
    <t>SUBTOTAL</t>
  </si>
  <si>
    <t>%</t>
  </si>
  <si>
    <t>TOTAL DIRECT AND INDIRECT COSTS:</t>
  </si>
  <si>
    <t>SF</t>
  </si>
  <si>
    <t>Developer's Profit Estimated at</t>
  </si>
  <si>
    <t>REPRODUCTION COST NEW</t>
  </si>
  <si>
    <t xml:space="preserve">  -  Physical Deterioration</t>
  </si>
  <si>
    <t xml:space="preserve">  -  Functional Obsolescence </t>
  </si>
  <si>
    <t xml:space="preserve">  -  Economic Obsolescence</t>
  </si>
  <si>
    <t>PRESENT VALUE OF IMPROVEMENTS</t>
  </si>
  <si>
    <t>Date of Value</t>
  </si>
  <si>
    <t>VIA THE INCOME APPROACH</t>
  </si>
  <si>
    <t xml:space="preserve">           Pro Forma Income and Expenses</t>
  </si>
  <si>
    <t>$ / SF</t>
  </si>
  <si>
    <t>Subtotal</t>
  </si>
  <si>
    <t>Total</t>
  </si>
  <si>
    <t>Annual</t>
  </si>
  <si>
    <t>NNN Rent</t>
  </si>
  <si>
    <t>REVENUE SUMMARY</t>
  </si>
  <si>
    <t>/ SF GBA</t>
  </si>
  <si>
    <t>POTENTIAL GROSS RENTAL INCOME</t>
  </si>
  <si>
    <t xml:space="preserve">LESS: </t>
  </si>
  <si>
    <t>Vacancy and Collection Loss:</t>
  </si>
  <si>
    <t>EFFECTIVE GROSS INCOME</t>
  </si>
  <si>
    <t>OPERATING EXPENSE SUMMARY</t>
  </si>
  <si>
    <t>TOTAL OPERATING EXPENSES</t>
  </si>
  <si>
    <t>NET OPERATING INCOME</t>
  </si>
  <si>
    <t>DIVIDED BY DIRECT CAPITALIZATION RATE:</t>
  </si>
  <si>
    <t>VIA THE  INCOME CAPITALIZATION APPROACH</t>
  </si>
  <si>
    <t>Effective Age</t>
  </si>
  <si>
    <t xml:space="preserve"> Date of Value</t>
  </si>
  <si>
    <t>of EGI</t>
  </si>
  <si>
    <t xml:space="preserve">  -  Management Fees:</t>
  </si>
  <si>
    <t xml:space="preserve">TOTAL BASE COST (GBA = </t>
  </si>
  <si>
    <t>TOTALS</t>
  </si>
  <si>
    <t>SF GBA</t>
  </si>
  <si>
    <t xml:space="preserve">CONCLUDED MARKET VALUE OF THE SUBJECT </t>
  </si>
  <si>
    <t>Showroom /</t>
  </si>
  <si>
    <t>Office</t>
  </si>
  <si>
    <t>Primary Site:</t>
  </si>
  <si>
    <t>Allocation</t>
  </si>
  <si>
    <t>Site Improvements</t>
  </si>
  <si>
    <t>TOTAL (Rounded):</t>
  </si>
  <si>
    <t>Improvement Component</t>
  </si>
  <si>
    <t>Year Built</t>
  </si>
  <si>
    <t>(Renovated)</t>
  </si>
  <si>
    <t>Economic Life</t>
  </si>
  <si>
    <t>Less:  Construction Renovation Costs</t>
  </si>
  <si>
    <t>Indicated "As Is" Market Value</t>
  </si>
  <si>
    <t>Existing GBA =</t>
  </si>
  <si>
    <t>Gross Land Area</t>
  </si>
  <si>
    <t>)</t>
  </si>
  <si>
    <t>Component</t>
  </si>
  <si>
    <t>Cost</t>
  </si>
  <si>
    <t>Return</t>
  </si>
  <si>
    <t>Annual Rent</t>
  </si>
  <si>
    <t xml:space="preserve">Land </t>
  </si>
  <si>
    <t>Improvements</t>
  </si>
  <si>
    <t>Miscellaneous:</t>
  </si>
  <si>
    <t>Cost Approach</t>
  </si>
  <si>
    <t>Income Approach</t>
  </si>
  <si>
    <t>Svc. (Repair) Garage (528)</t>
  </si>
  <si>
    <t>Showroom / Sales</t>
  </si>
  <si>
    <t>Mezzanine Office</t>
  </si>
  <si>
    <t>Adjusted Base Cost / SF:        (Footprint)</t>
  </si>
  <si>
    <t>SUBTOTAL BASE COST     (GBA)</t>
  </si>
  <si>
    <t>Footprint Floor Area:</t>
  </si>
  <si>
    <t>SUBJECT PROPERTY VIA THE COST APPROACH</t>
  </si>
  <si>
    <t>Bldg 1</t>
  </si>
  <si>
    <t>Bldg 2</t>
  </si>
  <si>
    <t>Bldg 3</t>
  </si>
  <si>
    <t>/ SF GLA</t>
  </si>
  <si>
    <t>GLA</t>
  </si>
  <si>
    <t xml:space="preserve"> - Gross Leasable Area:</t>
  </si>
  <si>
    <t>(Rounded)</t>
  </si>
  <si>
    <t>/ SF   x</t>
  </si>
  <si>
    <t>HARD REPLACEMENT COSTS</t>
  </si>
  <si>
    <t>.</t>
  </si>
  <si>
    <t xml:space="preserve">  -  Miscellaneous (Admin, etc.):</t>
  </si>
  <si>
    <t>Auto Body Shop</t>
  </si>
  <si>
    <t>Service Center</t>
  </si>
  <si>
    <t>Attach. Mechanical Shed</t>
  </si>
  <si>
    <r>
      <t xml:space="preserve">    -   </t>
    </r>
    <r>
      <rPr>
        <u/>
        <sz val="10"/>
        <rFont val="Calibri"/>
        <family val="2"/>
        <scheme val="minor"/>
      </rPr>
      <t>Subtotal</t>
    </r>
  </si>
  <si>
    <t>Bldg. 1</t>
  </si>
  <si>
    <t>Bldg. 2</t>
  </si>
  <si>
    <t>Bldg. 1 - Showroom / Sales</t>
  </si>
  <si>
    <t>Adjusted Base Cost / SF:   (Footprint)</t>
  </si>
  <si>
    <t>Adjusted Base Cost / SF:       (Footprint)</t>
  </si>
  <si>
    <t>Showroom (303)</t>
  </si>
  <si>
    <t>Included</t>
  </si>
  <si>
    <t>Bldg. 3</t>
  </si>
  <si>
    <t>Bldg. 2 - Auto Body &amp; Detail Shop</t>
  </si>
  <si>
    <t>Weighting</t>
  </si>
  <si>
    <t>"C"</t>
  </si>
  <si>
    <t>Bldg. 3 - Parts &amp; Service Center</t>
  </si>
  <si>
    <t>Allocated</t>
  </si>
  <si>
    <t>Incurable</t>
  </si>
  <si>
    <t>Replacement</t>
  </si>
  <si>
    <t>Physical</t>
  </si>
  <si>
    <t>Cost Item</t>
  </si>
  <si>
    <t>Cost New</t>
  </si>
  <si>
    <t>Depreciation</t>
  </si>
  <si>
    <t>Land Area</t>
  </si>
  <si>
    <t>0000</t>
  </si>
  <si>
    <t>Account</t>
  </si>
  <si>
    <t>Number</t>
  </si>
  <si>
    <t>Total GBA</t>
  </si>
  <si>
    <t>Acres</t>
  </si>
  <si>
    <t>STABILIZED MARKET VALUATION</t>
  </si>
  <si>
    <t>CONCLUDED STABILIZED MARKET VALUE OF THE</t>
  </si>
  <si>
    <t>Soft Cost Allocations</t>
  </si>
  <si>
    <t>RCN</t>
  </si>
  <si>
    <t>Conclusions</t>
  </si>
  <si>
    <t>Sales Comparison Approach</t>
  </si>
  <si>
    <t>Mezzanine Storage</t>
  </si>
  <si>
    <t>Gross Building Area (SF):</t>
  </si>
  <si>
    <t>Footprint (SF):</t>
  </si>
  <si>
    <t>Quality:</t>
  </si>
  <si>
    <t>Office Mezzanine or Basement (SF):</t>
  </si>
  <si>
    <t>Stories:</t>
  </si>
  <si>
    <t xml:space="preserve">Base Cost / SF: </t>
  </si>
  <si>
    <t xml:space="preserve">Footprint Floor Area:  </t>
  </si>
  <si>
    <t>Add  Office Mezzanine:           (_________ Cost)</t>
  </si>
  <si>
    <t>Add  Display Canopy:</t>
  </si>
  <si>
    <t>Add  Service Canopy:</t>
  </si>
  <si>
    <t>Add  Fire Sprinkler:</t>
  </si>
  <si>
    <t>Add  Office Build-out:            (_________ Cost)</t>
  </si>
  <si>
    <t>Add  Storage Mezzanine:       (_________ Cost)</t>
  </si>
  <si>
    <t>Add  Fire Sprinkler:                 (Paint Booth only)</t>
  </si>
  <si>
    <t>Add  Attached Shed:</t>
  </si>
  <si>
    <t>Story Height Multplier:</t>
  </si>
  <si>
    <t>Floor Area Multplier:</t>
  </si>
  <si>
    <t>Add  Heat:</t>
  </si>
  <si>
    <t>Add  Office Build-out:         (_________ Cost)</t>
  </si>
  <si>
    <t>Add  Storage Basement:</t>
  </si>
  <si>
    <t>Allocated $ / SF</t>
  </si>
  <si>
    <t>Allocated Rent</t>
  </si>
  <si>
    <t>Building Component</t>
  </si>
  <si>
    <t>Land-to-Bldg. Ratio:</t>
  </si>
  <si>
    <t>Site Coverage Ratio:</t>
  </si>
  <si>
    <t>1 + Mezz.</t>
  </si>
  <si>
    <t>1 + Bsmt.</t>
  </si>
  <si>
    <t>Land RPT</t>
  </si>
  <si>
    <t>(12 Mos.)</t>
  </si>
  <si>
    <t>Parcel Number</t>
  </si>
  <si>
    <t xml:space="preserve">Functional </t>
  </si>
  <si>
    <t>Obsolesence</t>
  </si>
  <si>
    <t>Add:  MARKET LAND VALUE</t>
  </si>
  <si>
    <t>Less: Accrued Depreciation</t>
  </si>
  <si>
    <t>GBA (SF)</t>
  </si>
  <si>
    <t>Footprint (SF)</t>
  </si>
  <si>
    <t>Sec. 14, P. 31 (2/20)</t>
  </si>
  <si>
    <t xml:space="preserve">Rent Allocated to </t>
  </si>
  <si>
    <t>Land Component at</t>
  </si>
  <si>
    <t>Improvement Allocation</t>
  </si>
  <si>
    <t>per month</t>
  </si>
  <si>
    <t>Rate of</t>
  </si>
  <si>
    <t>Rent / Yr.</t>
  </si>
  <si>
    <t>Subject Building Name:</t>
  </si>
  <si>
    <t>CMU / EIFS / Glass</t>
  </si>
  <si>
    <t>Steel-Frame / Metal Clad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</si>
</sst>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#,##0\ ;\(#,##0\)"/>
    <numFmt numFmtId="167" formatCode="0.0%"/>
    <numFmt numFmtId="168" formatCode="0.0\ \t\o\ \1"/>
    <numFmt numFmtId="169" formatCode="#,##0.000"/>
    <numFmt numFmtId="170" formatCode="#,##0\ \S\F"/>
    <numFmt numFmtId="171" formatCode="#,##0\s\f"/>
    <numFmt numFmtId="172" formatCode="&quot;$&quot;0.00\/\s\f"/>
    <numFmt numFmtId="173" formatCode="#,##0\s\f\ \X"/>
    <numFmt numFmtId="174" formatCode="0.0%\ \ "/>
    <numFmt numFmtId="175" formatCode="_(* #,##0_);_(* \(#,##0\);_(* &quot;-&quot;??_);_(@_)"/>
    <numFmt numFmtId="176" formatCode="[$-409]d\-mmm\-yy;@"/>
    <numFmt numFmtId="177" formatCode="&quot;$&quot;#,##0.00;[Red]&quot;$&quot;#,##0.0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sz val="8"/>
      <name val="Times New Roman"/>
      <family val="1"/>
    </font>
    <font>
      <sz val="9"/>
      <name val="Geneva"/>
    </font>
    <font>
      <sz val="12"/>
      <color indexed="8"/>
      <name val="Times New Roman"/>
      <family val="2"/>
    </font>
    <font>
      <sz val="10"/>
      <name val="Tahom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u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theme="0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49">
    <xf numFmtId="0" fontId="0" fillId="0" borderId="0"/>
    <xf numFmtId="0" fontId="26" fillId="0" borderId="0">
      <alignment horizontal="center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3" fontId="1" fillId="0" borderId="0" applyFont="0" applyFill="0" applyBorder="0" applyAlignment="0" applyProtection="0"/>
    <xf numFmtId="40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7" fillId="0" borderId="0" applyFont="0" applyFill="0" applyBorder="0" applyAlignment="0" applyProtection="0"/>
    <xf numFmtId="3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>
      <protection locked="0"/>
    </xf>
    <xf numFmtId="0" fontId="28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7" fillId="0" borderId="0">
      <protection locked="0"/>
    </xf>
    <xf numFmtId="0" fontId="30" fillId="0" borderId="0">
      <protection locked="0"/>
    </xf>
    <xf numFmtId="2" fontId="22" fillId="0" borderId="0" applyFon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" fontId="31" fillId="22" borderId="6" applyNumberFormat="0" applyFont="0" applyBorder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24" fillId="23" borderId="8">
      <alignment horizontal="right"/>
    </xf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2" fillId="0" borderId="0"/>
    <xf numFmtId="0" fontId="37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22" fillId="0" borderId="0"/>
    <xf numFmtId="0" fontId="33" fillId="0" borderId="0"/>
    <xf numFmtId="0" fontId="23" fillId="0" borderId="0"/>
    <xf numFmtId="0" fontId="34" fillId="0" borderId="0"/>
    <xf numFmtId="0" fontId="3" fillId="0" borderId="0"/>
    <xf numFmtId="0" fontId="3" fillId="0" borderId="0"/>
    <xf numFmtId="0" fontId="1" fillId="0" borderId="0"/>
    <xf numFmtId="0" fontId="17" fillId="0" borderId="0"/>
    <xf numFmtId="0" fontId="3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18" fillId="20" borderId="10" applyNumberFormat="0" applyAlignment="0" applyProtection="0"/>
    <xf numFmtId="0" fontId="18" fillId="20" borderId="10" applyNumberFormat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6" fontId="36" fillId="0" borderId="12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2" fillId="0" borderId="0"/>
    <xf numFmtId="0" fontId="53" fillId="0" borderId="0"/>
    <xf numFmtId="0" fontId="3" fillId="0" borderId="0"/>
    <xf numFmtId="0" fontId="3" fillId="0" borderId="0"/>
  </cellStyleXfs>
  <cellXfs count="479">
    <xf numFmtId="0" fontId="0" fillId="0" borderId="0" xfId="0"/>
    <xf numFmtId="0" fontId="40" fillId="0" borderId="0" xfId="123" applyFont="1"/>
    <xf numFmtId="0" fontId="42" fillId="0" borderId="0" xfId="123" applyFont="1" applyAlignment="1">
      <alignment horizontal="left"/>
    </xf>
    <xf numFmtId="0" fontId="41" fillId="0" borderId="0" xfId="123" applyFont="1"/>
    <xf numFmtId="0" fontId="42" fillId="0" borderId="0" xfId="123" applyFont="1" applyAlignment="1">
      <alignment horizontal="center"/>
    </xf>
    <xf numFmtId="0" fontId="44" fillId="27" borderId="38" xfId="123" applyFont="1" applyFill="1" applyBorder="1" applyAlignment="1">
      <alignment horizontal="left"/>
    </xf>
    <xf numFmtId="0" fontId="44" fillId="27" borderId="36" xfId="123" applyFont="1" applyFill="1" applyBorder="1"/>
    <xf numFmtId="0" fontId="45" fillId="27" borderId="36" xfId="123" applyFont="1" applyFill="1" applyBorder="1"/>
    <xf numFmtId="0" fontId="45" fillId="27" borderId="39" xfId="123" applyFont="1" applyFill="1" applyBorder="1"/>
    <xf numFmtId="0" fontId="44" fillId="27" borderId="36" xfId="123" applyFont="1" applyFill="1" applyBorder="1" applyAlignment="1">
      <alignment horizontal="center"/>
    </xf>
    <xf numFmtId="0" fontId="44" fillId="27" borderId="36" xfId="123" applyFont="1" applyFill="1" applyBorder="1" applyAlignment="1">
      <alignment horizontal="right"/>
    </xf>
    <xf numFmtId="0" fontId="44" fillId="27" borderId="39" xfId="123" applyFont="1" applyFill="1" applyBorder="1" applyAlignment="1">
      <alignment horizontal="right"/>
    </xf>
    <xf numFmtId="0" fontId="40" fillId="0" borderId="6" xfId="123" applyFont="1" applyBorder="1"/>
    <xf numFmtId="0" fontId="40" fillId="0" borderId="42" xfId="123" applyFont="1" applyBorder="1"/>
    <xf numFmtId="0" fontId="44" fillId="27" borderId="15" xfId="123" applyFont="1" applyFill="1" applyBorder="1" applyAlignment="1">
      <alignment horizontal="center"/>
    </xf>
    <xf numFmtId="0" fontId="46" fillId="27" borderId="15" xfId="123" applyFont="1" applyFill="1" applyBorder="1"/>
    <xf numFmtId="0" fontId="45" fillId="27" borderId="15" xfId="123" applyFont="1" applyFill="1" applyBorder="1"/>
    <xf numFmtId="0" fontId="44" fillId="27" borderId="15" xfId="123" applyFont="1" applyFill="1" applyBorder="1" applyAlignment="1">
      <alignment horizontal="right"/>
    </xf>
    <xf numFmtId="0" fontId="44" fillId="27" borderId="41" xfId="123" applyFont="1" applyFill="1" applyBorder="1" applyAlignment="1">
      <alignment horizontal="right"/>
    </xf>
    <xf numFmtId="0" fontId="40" fillId="0" borderId="13" xfId="123" applyFont="1" applyBorder="1"/>
    <xf numFmtId="166" fontId="40" fillId="0" borderId="14" xfId="122" applyNumberFormat="1" applyFont="1" applyBorder="1"/>
    <xf numFmtId="0" fontId="45" fillId="27" borderId="14" xfId="123" applyFont="1" applyFill="1" applyBorder="1"/>
    <xf numFmtId="0" fontId="44" fillId="27" borderId="14" xfId="123" applyFont="1" applyFill="1" applyBorder="1" applyAlignment="1">
      <alignment horizontal="right"/>
    </xf>
    <xf numFmtId="0" fontId="44" fillId="27" borderId="14" xfId="123" applyFont="1" applyFill="1" applyBorder="1" applyAlignment="1">
      <alignment horizontal="center"/>
    </xf>
    <xf numFmtId="0" fontId="44" fillId="27" borderId="48" xfId="123" applyFont="1" applyFill="1" applyBorder="1" applyAlignment="1">
      <alignment horizontal="right"/>
    </xf>
    <xf numFmtId="0" fontId="45" fillId="27" borderId="40" xfId="123" applyFont="1" applyFill="1" applyBorder="1"/>
    <xf numFmtId="0" fontId="44" fillId="27" borderId="15" xfId="123" applyFont="1" applyFill="1" applyBorder="1"/>
    <xf numFmtId="0" fontId="45" fillId="27" borderId="41" xfId="123" applyFont="1" applyFill="1" applyBorder="1"/>
    <xf numFmtId="0" fontId="45" fillId="27" borderId="6" xfId="123" applyFont="1" applyFill="1" applyBorder="1"/>
    <xf numFmtId="0" fontId="44" fillId="27" borderId="0" xfId="123" applyFont="1" applyFill="1"/>
    <xf numFmtId="0" fontId="45" fillId="27" borderId="0" xfId="123" applyFont="1" applyFill="1"/>
    <xf numFmtId="0" fontId="45" fillId="27" borderId="42" xfId="123" applyFont="1" applyFill="1" applyBorder="1"/>
    <xf numFmtId="0" fontId="46" fillId="27" borderId="42" xfId="123" applyFont="1" applyFill="1" applyBorder="1" applyAlignment="1">
      <alignment horizontal="center"/>
    </xf>
    <xf numFmtId="0" fontId="45" fillId="27" borderId="13" xfId="123" applyFont="1" applyFill="1" applyBorder="1"/>
    <xf numFmtId="0" fontId="44" fillId="27" borderId="14" xfId="123" applyFont="1" applyFill="1" applyBorder="1" applyAlignment="1">
      <alignment horizontal="left"/>
    </xf>
    <xf numFmtId="0" fontId="45" fillId="27" borderId="48" xfId="123" applyFont="1" applyFill="1" applyBorder="1"/>
    <xf numFmtId="0" fontId="46" fillId="27" borderId="48" xfId="123" applyFont="1" applyFill="1" applyBorder="1" applyAlignment="1">
      <alignment horizontal="center"/>
    </xf>
    <xf numFmtId="0" fontId="40" fillId="0" borderId="0" xfId="123" applyFont="1" applyAlignment="1">
      <alignment horizontal="left"/>
    </xf>
    <xf numFmtId="3" fontId="40" fillId="0" borderId="14" xfId="123" applyNumberFormat="1" applyFont="1" applyBorder="1"/>
    <xf numFmtId="0" fontId="40" fillId="0" borderId="48" xfId="123" applyFont="1" applyBorder="1"/>
    <xf numFmtId="5" fontId="40" fillId="0" borderId="42" xfId="123" applyNumberFormat="1" applyFont="1" applyBorder="1" applyAlignment="1">
      <alignment horizontal="right"/>
    </xf>
    <xf numFmtId="8" fontId="40" fillId="0" borderId="0" xfId="123" applyNumberFormat="1" applyFont="1"/>
    <xf numFmtId="3" fontId="40" fillId="0" borderId="0" xfId="123" applyNumberFormat="1" applyFont="1"/>
    <xf numFmtId="3" fontId="40" fillId="0" borderId="42" xfId="123" applyNumberFormat="1" applyFont="1" applyBorder="1"/>
    <xf numFmtId="5" fontId="40" fillId="0" borderId="0" xfId="123" applyNumberFormat="1" applyFont="1"/>
    <xf numFmtId="3" fontId="40" fillId="0" borderId="42" xfId="123" applyNumberFormat="1" applyFont="1" applyBorder="1" applyAlignment="1">
      <alignment horizontal="right"/>
    </xf>
    <xf numFmtId="37" fontId="40" fillId="0" borderId="48" xfId="123" applyNumberFormat="1" applyFont="1" applyBorder="1" applyAlignment="1">
      <alignment horizontal="right"/>
    </xf>
    <xf numFmtId="166" fontId="40" fillId="0" borderId="42" xfId="123" applyNumberFormat="1" applyFont="1" applyBorder="1"/>
    <xf numFmtId="3" fontId="40" fillId="0" borderId="15" xfId="123" applyNumberFormat="1" applyFont="1" applyBorder="1"/>
    <xf numFmtId="3" fontId="40" fillId="0" borderId="41" xfId="123" applyNumberFormat="1" applyFont="1" applyBorder="1"/>
    <xf numFmtId="5" fontId="40" fillId="0" borderId="42" xfId="123" applyNumberFormat="1" applyFont="1" applyBorder="1"/>
    <xf numFmtId="0" fontId="46" fillId="27" borderId="14" xfId="123" applyFont="1" applyFill="1" applyBorder="1"/>
    <xf numFmtId="167" fontId="40" fillId="0" borderId="0" xfId="128" applyNumberFormat="1" applyFont="1"/>
    <xf numFmtId="166" fontId="40" fillId="0" borderId="14" xfId="123" applyNumberFormat="1" applyFont="1" applyBorder="1"/>
    <xf numFmtId="8" fontId="40" fillId="0" borderId="14" xfId="123" applyNumberFormat="1" applyFont="1" applyBorder="1"/>
    <xf numFmtId="166" fontId="40" fillId="0" borderId="48" xfId="123" applyNumberFormat="1" applyFont="1" applyBorder="1"/>
    <xf numFmtId="166" fontId="40" fillId="0" borderId="0" xfId="123" applyNumberFormat="1" applyFont="1"/>
    <xf numFmtId="0" fontId="40" fillId="0" borderId="14" xfId="123" applyFont="1" applyBorder="1"/>
    <xf numFmtId="3" fontId="45" fillId="27" borderId="15" xfId="123" applyNumberFormat="1" applyFont="1" applyFill="1" applyBorder="1"/>
    <xf numFmtId="3" fontId="45" fillId="27" borderId="41" xfId="123" applyNumberFormat="1" applyFont="1" applyFill="1" applyBorder="1"/>
    <xf numFmtId="166" fontId="40" fillId="0" borderId="41" xfId="123" applyNumberFormat="1" applyFont="1" applyBorder="1"/>
    <xf numFmtId="166" fontId="40" fillId="0" borderId="15" xfId="123" applyNumberFormat="1" applyFont="1" applyBorder="1"/>
    <xf numFmtId="3" fontId="45" fillId="27" borderId="14" xfId="123" applyNumberFormat="1" applyFont="1" applyFill="1" applyBorder="1"/>
    <xf numFmtId="3" fontId="45" fillId="27" borderId="48" xfId="123" applyNumberFormat="1" applyFont="1" applyFill="1" applyBorder="1"/>
    <xf numFmtId="5" fontId="42" fillId="0" borderId="42" xfId="123" applyNumberFormat="1" applyFont="1" applyBorder="1"/>
    <xf numFmtId="5" fontId="42" fillId="0" borderId="0" xfId="123" applyNumberFormat="1" applyFont="1"/>
    <xf numFmtId="0" fontId="41" fillId="0" borderId="0" xfId="123" applyFont="1" applyAlignment="1">
      <alignment horizontal="left"/>
    </xf>
    <xf numFmtId="10" fontId="42" fillId="0" borderId="42" xfId="123" applyNumberFormat="1" applyFont="1" applyBorder="1"/>
    <xf numFmtId="10" fontId="42" fillId="0" borderId="0" xfId="123" applyNumberFormat="1" applyFont="1"/>
    <xf numFmtId="0" fontId="41" fillId="0" borderId="14" xfId="123" applyFont="1" applyBorder="1" applyAlignment="1">
      <alignment horizontal="left"/>
    </xf>
    <xf numFmtId="3" fontId="40" fillId="0" borderId="48" xfId="123" applyNumberFormat="1" applyFont="1" applyBorder="1"/>
    <xf numFmtId="0" fontId="45" fillId="27" borderId="15" xfId="123" applyFont="1" applyFill="1" applyBorder="1" applyAlignment="1">
      <alignment horizontal="left"/>
    </xf>
    <xf numFmtId="0" fontId="44" fillId="27" borderId="0" xfId="123" applyFont="1" applyFill="1" applyAlignment="1">
      <alignment horizontal="left"/>
    </xf>
    <xf numFmtId="3" fontId="45" fillId="27" borderId="0" xfId="123" applyNumberFormat="1" applyFont="1" applyFill="1"/>
    <xf numFmtId="3" fontId="45" fillId="27" borderId="42" xfId="123" applyNumberFormat="1" applyFont="1" applyFill="1" applyBorder="1"/>
    <xf numFmtId="166" fontId="40" fillId="0" borderId="42" xfId="123" quotePrefix="1" applyNumberFormat="1" applyFont="1" applyBorder="1"/>
    <xf numFmtId="0" fontId="45" fillId="27" borderId="35" xfId="123" applyFont="1" applyFill="1" applyBorder="1"/>
    <xf numFmtId="0" fontId="45" fillId="27" borderId="37" xfId="123" applyFont="1" applyFill="1" applyBorder="1"/>
    <xf numFmtId="0" fontId="45" fillId="27" borderId="43" xfId="123" applyFont="1" applyFill="1" applyBorder="1"/>
    <xf numFmtId="0" fontId="40" fillId="0" borderId="36" xfId="123" applyFont="1" applyBorder="1"/>
    <xf numFmtId="5" fontId="40" fillId="0" borderId="39" xfId="123" applyNumberFormat="1" applyFont="1" applyBorder="1"/>
    <xf numFmtId="5" fontId="40" fillId="0" borderId="37" xfId="123" applyNumberFormat="1" applyFont="1" applyBorder="1"/>
    <xf numFmtId="5" fontId="40" fillId="0" borderId="43" xfId="123" applyNumberFormat="1" applyFont="1" applyBorder="1"/>
    <xf numFmtId="10" fontId="41" fillId="0" borderId="0" xfId="123" applyNumberFormat="1" applyFont="1"/>
    <xf numFmtId="44" fontId="40" fillId="0" borderId="0" xfId="61" applyFont="1"/>
    <xf numFmtId="0" fontId="38" fillId="0" borderId="0" xfId="123" applyFont="1"/>
    <xf numFmtId="0" fontId="38" fillId="0" borderId="0" xfId="123" applyFont="1" applyAlignment="1">
      <alignment horizontal="right"/>
    </xf>
    <xf numFmtId="0" fontId="40" fillId="0" borderId="0" xfId="123" applyFont="1" applyAlignment="1">
      <alignment horizontal="center"/>
    </xf>
    <xf numFmtId="0" fontId="42" fillId="0" borderId="14" xfId="123" applyFont="1" applyBorder="1" applyAlignment="1">
      <alignment horizontal="left"/>
    </xf>
    <xf numFmtId="0" fontId="40" fillId="0" borderId="14" xfId="123" applyFont="1" applyBorder="1" applyAlignment="1">
      <alignment horizontal="center"/>
    </xf>
    <xf numFmtId="5" fontId="42" fillId="0" borderId="14" xfId="123" applyNumberFormat="1" applyFont="1" applyBorder="1"/>
    <xf numFmtId="0" fontId="40" fillId="0" borderId="0" xfId="123" quotePrefix="1" applyFont="1"/>
    <xf numFmtId="175" fontId="40" fillId="0" borderId="0" xfId="56" applyNumberFormat="1" applyFont="1"/>
    <xf numFmtId="7" fontId="40" fillId="0" borderId="0" xfId="123" applyNumberFormat="1" applyFont="1" applyAlignment="1">
      <alignment horizontal="center"/>
    </xf>
    <xf numFmtId="5" fontId="40" fillId="0" borderId="0" xfId="123" applyNumberFormat="1" applyFont="1" applyAlignment="1">
      <alignment horizontal="center"/>
    </xf>
    <xf numFmtId="166" fontId="42" fillId="0" borderId="0" xfId="122" applyNumberFormat="1" applyFont="1" applyAlignment="1">
      <alignment horizontal="center"/>
    </xf>
    <xf numFmtId="0" fontId="38" fillId="0" borderId="0" xfId="122" applyFont="1"/>
    <xf numFmtId="166" fontId="38" fillId="0" borderId="0" xfId="122" applyNumberFormat="1" applyFont="1"/>
    <xf numFmtId="166" fontId="44" fillId="27" borderId="33" xfId="122" applyNumberFormat="1" applyFont="1" applyFill="1" applyBorder="1" applyAlignment="1">
      <alignment horizontal="center"/>
    </xf>
    <xf numFmtId="166" fontId="44" fillId="27" borderId="29" xfId="122" applyNumberFormat="1" applyFont="1" applyFill="1" applyBorder="1" applyAlignment="1">
      <alignment horizontal="left"/>
    </xf>
    <xf numFmtId="166" fontId="44" fillId="27" borderId="34" xfId="122" applyNumberFormat="1" applyFont="1" applyFill="1" applyBorder="1" applyAlignment="1">
      <alignment horizontal="center"/>
    </xf>
    <xf numFmtId="166" fontId="38" fillId="0" borderId="13" xfId="122" applyNumberFormat="1" applyFont="1" applyBorder="1"/>
    <xf numFmtId="166" fontId="38" fillId="0" borderId="14" xfId="122" applyNumberFormat="1" applyFont="1" applyBorder="1"/>
    <xf numFmtId="166" fontId="47" fillId="27" borderId="35" xfId="122" applyNumberFormat="1" applyFont="1" applyFill="1" applyBorder="1" applyAlignment="1">
      <alignment horizontal="left"/>
    </xf>
    <xf numFmtId="166" fontId="44" fillId="27" borderId="36" xfId="122" applyNumberFormat="1" applyFont="1" applyFill="1" applyBorder="1" applyAlignment="1">
      <alignment horizontal="left"/>
    </xf>
    <xf numFmtId="166" fontId="44" fillId="27" borderId="37" xfId="122" applyNumberFormat="1" applyFont="1" applyFill="1" applyBorder="1" applyAlignment="1">
      <alignment horizontal="left"/>
    </xf>
    <xf numFmtId="0" fontId="39" fillId="27" borderId="37" xfId="122" applyFont="1" applyFill="1" applyBorder="1"/>
    <xf numFmtId="166" fontId="44" fillId="27" borderId="38" xfId="122" applyNumberFormat="1" applyFont="1" applyFill="1" applyBorder="1" applyAlignment="1">
      <alignment horizontal="center"/>
    </xf>
    <xf numFmtId="167" fontId="44" fillId="27" borderId="36" xfId="122" applyNumberFormat="1" applyFont="1" applyFill="1" applyBorder="1" applyAlignment="1">
      <alignment horizontal="center"/>
    </xf>
    <xf numFmtId="166" fontId="44" fillId="27" borderId="39" xfId="122" applyNumberFormat="1" applyFont="1" applyFill="1" applyBorder="1" applyAlignment="1">
      <alignment horizontal="center"/>
    </xf>
    <xf numFmtId="167" fontId="38" fillId="0" borderId="0" xfId="122" applyNumberFormat="1" applyFont="1"/>
    <xf numFmtId="166" fontId="38" fillId="0" borderId="6" xfId="122" applyNumberFormat="1" applyFont="1" applyBorder="1" applyAlignment="1">
      <alignment horizontal="left"/>
    </xf>
    <xf numFmtId="166" fontId="38" fillId="0" borderId="0" xfId="122" applyNumberFormat="1" applyFont="1" applyAlignment="1">
      <alignment horizontal="left"/>
    </xf>
    <xf numFmtId="166" fontId="38" fillId="0" borderId="15" xfId="122" applyNumberFormat="1" applyFont="1" applyBorder="1" applyAlignment="1">
      <alignment horizontal="left"/>
    </xf>
    <xf numFmtId="166" fontId="38" fillId="0" borderId="16" xfId="122" applyNumberFormat="1" applyFont="1" applyBorder="1"/>
    <xf numFmtId="167" fontId="38" fillId="0" borderId="16" xfId="122" applyNumberFormat="1" applyFont="1" applyBorder="1" applyAlignment="1">
      <alignment horizontal="center"/>
    </xf>
    <xf numFmtId="166" fontId="38" fillId="0" borderId="16" xfId="122" applyNumberFormat="1" applyFont="1" applyBorder="1" applyAlignment="1">
      <alignment horizontal="center"/>
    </xf>
    <xf numFmtId="166" fontId="42" fillId="0" borderId="6" xfId="122" applyNumberFormat="1" applyFont="1" applyBorder="1" applyAlignment="1">
      <alignment horizontal="left"/>
    </xf>
    <xf numFmtId="166" fontId="42" fillId="0" borderId="0" xfId="122" applyNumberFormat="1" applyFont="1" applyAlignment="1">
      <alignment horizontal="left"/>
    </xf>
    <xf numFmtId="165" fontId="38" fillId="0" borderId="0" xfId="122" applyNumberFormat="1" applyFont="1" applyAlignment="1">
      <alignment horizontal="right"/>
    </xf>
    <xf numFmtId="165" fontId="38" fillId="0" borderId="0" xfId="122" quotePrefix="1" applyNumberFormat="1" applyFont="1" applyAlignment="1">
      <alignment horizontal="center"/>
    </xf>
    <xf numFmtId="3" fontId="38" fillId="0" borderId="0" xfId="122" quotePrefix="1" applyNumberFormat="1" applyFont="1" applyAlignment="1">
      <alignment horizontal="center"/>
    </xf>
    <xf numFmtId="0" fontId="38" fillId="23" borderId="0" xfId="122" applyFont="1" applyFill="1" applyAlignment="1">
      <alignment horizontal="left"/>
    </xf>
    <xf numFmtId="5" fontId="38" fillId="0" borderId="17" xfId="122" applyNumberFormat="1" applyFont="1" applyBorder="1" applyAlignment="1">
      <alignment horizontal="right"/>
    </xf>
    <xf numFmtId="174" fontId="38" fillId="0" borderId="17" xfId="122" applyNumberFormat="1" applyFont="1" applyBorder="1" applyAlignment="1">
      <alignment horizontal="right"/>
    </xf>
    <xf numFmtId="165" fontId="38" fillId="26" borderId="0" xfId="122" applyNumberFormat="1" applyFont="1" applyFill="1" applyAlignment="1">
      <alignment horizontal="right"/>
    </xf>
    <xf numFmtId="166" fontId="40" fillId="0" borderId="17" xfId="122" applyNumberFormat="1" applyFont="1" applyBorder="1" applyAlignment="1">
      <alignment horizontal="right"/>
    </xf>
    <xf numFmtId="5" fontId="38" fillId="0" borderId="0" xfId="122" applyNumberFormat="1" applyFont="1" applyAlignment="1">
      <alignment horizontal="right"/>
    </xf>
    <xf numFmtId="167" fontId="42" fillId="0" borderId="0" xfId="122" applyNumberFormat="1" applyFont="1" applyAlignment="1">
      <alignment horizontal="left"/>
    </xf>
    <xf numFmtId="37" fontId="38" fillId="0" borderId="18" xfId="122" applyNumberFormat="1" applyFont="1" applyBorder="1" applyAlignment="1">
      <alignment horizontal="right"/>
    </xf>
    <xf numFmtId="5" fontId="38" fillId="0" borderId="0" xfId="122" applyNumberFormat="1" applyFont="1"/>
    <xf numFmtId="10" fontId="38" fillId="0" borderId="0" xfId="122" applyNumberFormat="1" applyFont="1"/>
    <xf numFmtId="166" fontId="38" fillId="0" borderId="6" xfId="122" applyNumberFormat="1" applyFont="1" applyBorder="1"/>
    <xf numFmtId="166" fontId="38" fillId="0" borderId="17" xfId="122" applyNumberFormat="1" applyFont="1" applyBorder="1" applyAlignment="1">
      <alignment horizontal="center"/>
    </xf>
    <xf numFmtId="166" fontId="38" fillId="0" borderId="17" xfId="122" applyNumberFormat="1" applyFont="1" applyBorder="1" applyAlignment="1">
      <alignment horizontal="right"/>
    </xf>
    <xf numFmtId="10" fontId="38" fillId="0" borderId="17" xfId="122" applyNumberFormat="1" applyFont="1" applyBorder="1" applyAlignment="1">
      <alignment horizontal="center"/>
    </xf>
    <xf numFmtId="5" fontId="42" fillId="0" borderId="17" xfId="122" applyNumberFormat="1" applyFont="1" applyBorder="1" applyAlignment="1">
      <alignment horizontal="right"/>
    </xf>
    <xf numFmtId="166" fontId="42" fillId="0" borderId="17" xfId="122" applyNumberFormat="1" applyFont="1" applyBorder="1" applyAlignment="1">
      <alignment horizontal="right"/>
    </xf>
    <xf numFmtId="166" fontId="42" fillId="0" borderId="16" xfId="122" applyNumberFormat="1" applyFont="1" applyBorder="1" applyAlignment="1">
      <alignment horizontal="right"/>
    </xf>
    <xf numFmtId="10" fontId="38" fillId="0" borderId="0" xfId="122" applyNumberFormat="1" applyFont="1" applyAlignment="1">
      <alignment horizontal="left"/>
    </xf>
    <xf numFmtId="166" fontId="42" fillId="0" borderId="17" xfId="122" applyNumberFormat="1" applyFont="1" applyBorder="1" applyAlignment="1">
      <alignment horizontal="center"/>
    </xf>
    <xf numFmtId="7" fontId="38" fillId="0" borderId="0" xfId="122" applyNumberFormat="1" applyFont="1"/>
    <xf numFmtId="166" fontId="38" fillId="0" borderId="0" xfId="122" quotePrefix="1" applyNumberFormat="1" applyFont="1"/>
    <xf numFmtId="5" fontId="42" fillId="0" borderId="18" xfId="122" applyNumberFormat="1" applyFont="1" applyBorder="1" applyAlignment="1">
      <alignment horizontal="right"/>
    </xf>
    <xf numFmtId="174" fontId="38" fillId="0" borderId="18" xfId="122" applyNumberFormat="1" applyFont="1" applyBorder="1" applyAlignment="1">
      <alignment horizontal="right"/>
    </xf>
    <xf numFmtId="0" fontId="42" fillId="0" borderId="0" xfId="122" applyFont="1" applyAlignment="1">
      <alignment horizontal="right"/>
    </xf>
    <xf numFmtId="166" fontId="44" fillId="27" borderId="40" xfId="122" applyNumberFormat="1" applyFont="1" applyFill="1" applyBorder="1" applyAlignment="1">
      <alignment horizontal="left"/>
    </xf>
    <xf numFmtId="0" fontId="39" fillId="27" borderId="15" xfId="122" applyFont="1" applyFill="1" applyBorder="1"/>
    <xf numFmtId="0" fontId="39" fillId="27" borderId="41" xfId="122" applyFont="1" applyFill="1" applyBorder="1"/>
    <xf numFmtId="0" fontId="38" fillId="0" borderId="17" xfId="122" applyFont="1" applyBorder="1"/>
    <xf numFmtId="166" fontId="44" fillId="27" borderId="6" xfId="122" applyNumberFormat="1" applyFont="1" applyFill="1" applyBorder="1" applyAlignment="1">
      <alignment horizontal="left"/>
    </xf>
    <xf numFmtId="166" fontId="44" fillId="27" borderId="0" xfId="122" applyNumberFormat="1" applyFont="1" applyFill="1" applyAlignment="1">
      <alignment horizontal="left"/>
    </xf>
    <xf numFmtId="0" fontId="39" fillId="27" borderId="42" xfId="122" applyFont="1" applyFill="1" applyBorder="1"/>
    <xf numFmtId="166" fontId="39" fillId="27" borderId="35" xfId="122" applyNumberFormat="1" applyFont="1" applyFill="1" applyBorder="1"/>
    <xf numFmtId="166" fontId="39" fillId="27" borderId="37" xfId="122" applyNumberFormat="1" applyFont="1" applyFill="1" applyBorder="1"/>
    <xf numFmtId="166" fontId="39" fillId="27" borderId="43" xfId="122" applyNumberFormat="1" applyFont="1" applyFill="1" applyBorder="1"/>
    <xf numFmtId="0" fontId="38" fillId="0" borderId="19" xfId="122" applyFont="1" applyBorder="1"/>
    <xf numFmtId="166" fontId="38" fillId="0" borderId="20" xfId="122" applyNumberFormat="1" applyFont="1" applyBorder="1" applyAlignment="1">
      <alignment horizontal="center"/>
    </xf>
    <xf numFmtId="166" fontId="38" fillId="0" borderId="20" xfId="122" applyNumberFormat="1" applyFont="1" applyBorder="1"/>
    <xf numFmtId="0" fontId="40" fillId="0" borderId="0" xfId="122" applyFont="1"/>
    <xf numFmtId="7" fontId="38" fillId="0" borderId="0" xfId="122" applyNumberFormat="1" applyFont="1" applyAlignment="1">
      <alignment horizontal="right"/>
    </xf>
    <xf numFmtId="2" fontId="38" fillId="0" borderId="0" xfId="122" applyNumberFormat="1" applyFont="1"/>
    <xf numFmtId="0" fontId="48" fillId="0" borderId="0" xfId="121" applyFont="1"/>
    <xf numFmtId="0" fontId="40" fillId="0" borderId="0" xfId="121" applyFont="1"/>
    <xf numFmtId="0" fontId="38" fillId="0" borderId="0" xfId="121" applyFont="1"/>
    <xf numFmtId="0" fontId="48" fillId="0" borderId="0" xfId="121" applyFont="1" applyAlignment="1">
      <alignment horizontal="centerContinuous"/>
    </xf>
    <xf numFmtId="0" fontId="40" fillId="0" borderId="0" xfId="121" applyFont="1" applyAlignment="1">
      <alignment horizontal="centerContinuous"/>
    </xf>
    <xf numFmtId="0" fontId="44" fillId="27" borderId="49" xfId="121" applyFont="1" applyFill="1" applyBorder="1"/>
    <xf numFmtId="0" fontId="45" fillId="27" borderId="50" xfId="121" applyFont="1" applyFill="1" applyBorder="1"/>
    <xf numFmtId="0" fontId="45" fillId="27" borderId="51" xfId="121" applyFont="1" applyFill="1" applyBorder="1"/>
    <xf numFmtId="0" fontId="38" fillId="0" borderId="6" xfId="121" applyFont="1" applyBorder="1"/>
    <xf numFmtId="0" fontId="40" fillId="0" borderId="0" xfId="121" applyFont="1" applyAlignment="1">
      <alignment horizontal="center"/>
    </xf>
    <xf numFmtId="0" fontId="38" fillId="26" borderId="42" xfId="121" applyFont="1" applyFill="1" applyBorder="1" applyAlignment="1">
      <alignment horizontal="center"/>
    </xf>
    <xf numFmtId="0" fontId="38" fillId="0" borderId="0" xfId="121" applyFont="1" applyAlignment="1">
      <alignment horizontal="center"/>
    </xf>
    <xf numFmtId="0" fontId="38" fillId="0" borderId="37" xfId="121" applyFont="1" applyBorder="1"/>
    <xf numFmtId="7" fontId="45" fillId="27" borderId="50" xfId="121" applyNumberFormat="1" applyFont="1" applyFill="1" applyBorder="1" applyAlignment="1">
      <alignment horizontal="center"/>
    </xf>
    <xf numFmtId="7" fontId="39" fillId="27" borderId="50" xfId="121" applyNumberFormat="1" applyFont="1" applyFill="1" applyBorder="1" applyAlignment="1">
      <alignment horizontal="center"/>
    </xf>
    <xf numFmtId="7" fontId="39" fillId="27" borderId="51" xfId="121" applyNumberFormat="1" applyFont="1" applyFill="1" applyBorder="1" applyAlignment="1">
      <alignment horizontal="center"/>
    </xf>
    <xf numFmtId="0" fontId="48" fillId="23" borderId="6" xfId="121" applyFont="1" applyFill="1" applyBorder="1"/>
    <xf numFmtId="7" fontId="40" fillId="23" borderId="0" xfId="121" applyNumberFormat="1" applyFont="1" applyFill="1" applyAlignment="1">
      <alignment horizontal="center"/>
    </xf>
    <xf numFmtId="7" fontId="38" fillId="23" borderId="0" xfId="121" applyNumberFormat="1" applyFont="1" applyFill="1" applyAlignment="1">
      <alignment horizontal="center"/>
    </xf>
    <xf numFmtId="7" fontId="38" fillId="23" borderId="42" xfId="121" applyNumberFormat="1" applyFont="1" applyFill="1" applyBorder="1" applyAlignment="1">
      <alignment horizontal="center"/>
    </xf>
    <xf numFmtId="0" fontId="42" fillId="0" borderId="6" xfId="121" applyFont="1" applyBorder="1"/>
    <xf numFmtId="7" fontId="38" fillId="0" borderId="0" xfId="121" applyNumberFormat="1" applyFont="1" applyAlignment="1">
      <alignment horizontal="left"/>
    </xf>
    <xf numFmtId="7" fontId="40" fillId="0" borderId="0" xfId="121" applyNumberFormat="1" applyFont="1" applyAlignment="1">
      <alignment horizontal="center"/>
    </xf>
    <xf numFmtId="7" fontId="38" fillId="0" borderId="0" xfId="121" applyNumberFormat="1" applyFont="1" applyAlignment="1">
      <alignment horizontal="center"/>
    </xf>
    <xf numFmtId="165" fontId="38" fillId="26" borderId="0" xfId="121" applyNumberFormat="1" applyFont="1" applyFill="1" applyAlignment="1">
      <alignment horizontal="right"/>
    </xf>
    <xf numFmtId="7" fontId="38" fillId="0" borderId="42" xfId="121" applyNumberFormat="1" applyFont="1" applyBorder="1" applyAlignment="1">
      <alignment horizontal="center"/>
    </xf>
    <xf numFmtId="165" fontId="38" fillId="0" borderId="0" xfId="121" applyNumberFormat="1" applyFont="1" applyAlignment="1">
      <alignment horizontal="right"/>
    </xf>
    <xf numFmtId="164" fontId="38" fillId="0" borderId="42" xfId="121" applyNumberFormat="1" applyFont="1" applyBorder="1" applyAlignment="1">
      <alignment horizontal="right"/>
    </xf>
    <xf numFmtId="169" fontId="38" fillId="26" borderId="42" xfId="121" applyNumberFormat="1" applyFont="1" applyFill="1" applyBorder="1" applyAlignment="1">
      <alignment horizontal="right"/>
    </xf>
    <xf numFmtId="169" fontId="38" fillId="0" borderId="42" xfId="121" applyNumberFormat="1" applyFont="1" applyBorder="1" applyAlignment="1">
      <alignment horizontal="right"/>
    </xf>
    <xf numFmtId="4" fontId="40" fillId="0" borderId="0" xfId="121" applyNumberFormat="1" applyFont="1" applyAlignment="1">
      <alignment horizontal="center"/>
    </xf>
    <xf numFmtId="4" fontId="38" fillId="0" borderId="0" xfId="121" applyNumberFormat="1" applyFont="1" applyAlignment="1">
      <alignment horizontal="center"/>
    </xf>
    <xf numFmtId="169" fontId="38" fillId="26" borderId="48" xfId="121" applyNumberFormat="1" applyFont="1" applyFill="1" applyBorder="1" applyAlignment="1">
      <alignment horizontal="right"/>
    </xf>
    <xf numFmtId="0" fontId="38" fillId="0" borderId="13" xfId="121" applyFont="1" applyBorder="1"/>
    <xf numFmtId="0" fontId="42" fillId="0" borderId="14" xfId="121" applyFont="1" applyBorder="1"/>
    <xf numFmtId="7" fontId="40" fillId="0" borderId="14" xfId="121" applyNumberFormat="1" applyFont="1" applyBorder="1" applyAlignment="1">
      <alignment horizontal="center"/>
    </xf>
    <xf numFmtId="7" fontId="38" fillId="0" borderId="14" xfId="121" applyNumberFormat="1" applyFont="1" applyBorder="1" applyAlignment="1">
      <alignment horizontal="center"/>
    </xf>
    <xf numFmtId="7" fontId="38" fillId="0" borderId="48" xfId="121" applyNumberFormat="1" applyFont="1" applyBorder="1" applyAlignment="1">
      <alignment horizontal="center"/>
    </xf>
    <xf numFmtId="165" fontId="38" fillId="0" borderId="54" xfId="121" applyNumberFormat="1" applyFont="1" applyBorder="1" applyAlignment="1">
      <alignment horizontal="right"/>
    </xf>
    <xf numFmtId="164" fontId="42" fillId="26" borderId="42" xfId="121" applyNumberFormat="1" applyFont="1" applyFill="1" applyBorder="1" applyAlignment="1">
      <alignment horizontal="right"/>
    </xf>
    <xf numFmtId="9" fontId="38" fillId="0" borderId="0" xfId="128" applyFont="1"/>
    <xf numFmtId="164" fontId="38" fillId="0" borderId="0" xfId="121" applyNumberFormat="1" applyFont="1"/>
    <xf numFmtId="7" fontId="38" fillId="26" borderId="42" xfId="121" applyNumberFormat="1" applyFont="1" applyFill="1" applyBorder="1" applyAlignment="1">
      <alignment horizontal="center"/>
    </xf>
    <xf numFmtId="164" fontId="38" fillId="26" borderId="42" xfId="121" applyNumberFormat="1" applyFont="1" applyFill="1" applyBorder="1" applyAlignment="1">
      <alignment horizontal="right"/>
    </xf>
    <xf numFmtId="0" fontId="40" fillId="26" borderId="0" xfId="121" applyFont="1" applyFill="1"/>
    <xf numFmtId="0" fontId="42" fillId="0" borderId="0" xfId="121" applyFont="1"/>
    <xf numFmtId="164" fontId="42" fillId="0" borderId="42" xfId="121" applyNumberFormat="1" applyFont="1" applyBorder="1" applyAlignment="1">
      <alignment horizontal="right"/>
    </xf>
    <xf numFmtId="170" fontId="42" fillId="0" borderId="0" xfId="121" applyNumberFormat="1" applyFont="1" applyAlignment="1">
      <alignment horizontal="center"/>
    </xf>
    <xf numFmtId="7" fontId="42" fillId="0" borderId="0" xfId="121" quotePrefix="1" applyNumberFormat="1" applyFont="1" applyAlignment="1">
      <alignment horizontal="center"/>
    </xf>
    <xf numFmtId="0" fontId="38" fillId="0" borderId="35" xfId="121" applyFont="1" applyBorder="1"/>
    <xf numFmtId="0" fontId="40" fillId="0" borderId="37" xfId="121" applyFont="1" applyBorder="1" applyAlignment="1">
      <alignment horizontal="center"/>
    </xf>
    <xf numFmtId="0" fontId="38" fillId="0" borderId="37" xfId="121" applyFont="1" applyBorder="1" applyAlignment="1">
      <alignment horizontal="center"/>
    </xf>
    <xf numFmtId="0" fontId="38" fillId="0" borderId="43" xfId="121" applyFont="1" applyBorder="1" applyAlignment="1">
      <alignment horizontal="center"/>
    </xf>
    <xf numFmtId="0" fontId="44" fillId="27" borderId="49" xfId="121" applyFont="1" applyFill="1" applyBorder="1" applyAlignment="1">
      <alignment horizontal="left"/>
    </xf>
    <xf numFmtId="5" fontId="45" fillId="27" borderId="50" xfId="121" applyNumberFormat="1" applyFont="1" applyFill="1" applyBorder="1" applyAlignment="1">
      <alignment horizontal="center"/>
    </xf>
    <xf numFmtId="5" fontId="39" fillId="27" borderId="50" xfId="121" applyNumberFormat="1" applyFont="1" applyFill="1" applyBorder="1" applyAlignment="1">
      <alignment horizontal="center"/>
    </xf>
    <xf numFmtId="5" fontId="39" fillId="27" borderId="51" xfId="121" applyNumberFormat="1" applyFont="1" applyFill="1" applyBorder="1" applyAlignment="1">
      <alignment horizontal="center"/>
    </xf>
    <xf numFmtId="0" fontId="40" fillId="0" borderId="6" xfId="121" applyFont="1" applyBorder="1"/>
    <xf numFmtId="173" fontId="38" fillId="0" borderId="0" xfId="121" applyNumberFormat="1" applyFont="1" applyAlignment="1">
      <alignment horizontal="center"/>
    </xf>
    <xf numFmtId="164" fontId="38" fillId="0" borderId="0" xfId="121" applyNumberFormat="1" applyFont="1" applyAlignment="1">
      <alignment horizontal="center"/>
    </xf>
    <xf numFmtId="172" fontId="38" fillId="0" borderId="0" xfId="121" applyNumberFormat="1" applyFont="1" applyAlignment="1">
      <alignment horizontal="center"/>
    </xf>
    <xf numFmtId="0" fontId="40" fillId="0" borderId="35" xfId="121" applyFont="1" applyBorder="1"/>
    <xf numFmtId="0" fontId="38" fillId="0" borderId="43" xfId="121" applyFont="1" applyBorder="1"/>
    <xf numFmtId="172" fontId="38" fillId="26" borderId="0" xfId="121" applyNumberFormat="1" applyFont="1" applyFill="1" applyAlignment="1">
      <alignment horizontal="center"/>
    </xf>
    <xf numFmtId="0" fontId="38" fillId="26" borderId="37" xfId="121" applyFont="1" applyFill="1" applyBorder="1"/>
    <xf numFmtId="5" fontId="38" fillId="0" borderId="0" xfId="121" applyNumberFormat="1" applyFont="1"/>
    <xf numFmtId="5" fontId="40" fillId="0" borderId="42" xfId="121" applyNumberFormat="1" applyFont="1" applyBorder="1"/>
    <xf numFmtId="5" fontId="38" fillId="0" borderId="14" xfId="121" applyNumberFormat="1" applyFont="1" applyBorder="1"/>
    <xf numFmtId="0" fontId="38" fillId="0" borderId="42" xfId="121" applyFont="1" applyBorder="1"/>
    <xf numFmtId="0" fontId="40" fillId="0" borderId="37" xfId="121" applyFont="1" applyBorder="1"/>
    <xf numFmtId="5" fontId="38" fillId="0" borderId="43" xfId="121" applyNumberFormat="1" applyFont="1" applyBorder="1"/>
    <xf numFmtId="0" fontId="49" fillId="27" borderId="50" xfId="121" applyFont="1" applyFill="1" applyBorder="1"/>
    <xf numFmtId="0" fontId="39" fillId="27" borderId="50" xfId="121" applyFont="1" applyFill="1" applyBorder="1"/>
    <xf numFmtId="0" fontId="39" fillId="27" borderId="51" xfId="121" applyFont="1" applyFill="1" applyBorder="1"/>
    <xf numFmtId="0" fontId="38" fillId="0" borderId="0" xfId="121" applyFont="1" applyAlignment="1">
      <alignment horizontal="right"/>
    </xf>
    <xf numFmtId="164" fontId="38" fillId="0" borderId="42" xfId="121" applyNumberFormat="1" applyFont="1" applyBorder="1"/>
    <xf numFmtId="5" fontId="50" fillId="0" borderId="0" xfId="121" applyNumberFormat="1" applyFont="1"/>
    <xf numFmtId="0" fontId="47" fillId="27" borderId="55" xfId="121" applyFont="1" applyFill="1" applyBorder="1"/>
    <xf numFmtId="0" fontId="44" fillId="27" borderId="47" xfId="121" applyFont="1" applyFill="1" applyBorder="1"/>
    <xf numFmtId="5" fontId="44" fillId="27" borderId="47" xfId="121" applyNumberFormat="1" applyFont="1" applyFill="1" applyBorder="1"/>
    <xf numFmtId="0" fontId="44" fillId="27" borderId="47" xfId="121" applyFont="1" applyFill="1" applyBorder="1" applyAlignment="1">
      <alignment horizontal="right"/>
    </xf>
    <xf numFmtId="164" fontId="47" fillId="27" borderId="46" xfId="121" applyNumberFormat="1" applyFont="1" applyFill="1" applyBorder="1" applyAlignment="1">
      <alignment horizontal="right"/>
    </xf>
    <xf numFmtId="0" fontId="51" fillId="27" borderId="45" xfId="121" applyFont="1" applyFill="1" applyBorder="1"/>
    <xf numFmtId="0" fontId="44" fillId="27" borderId="25" xfId="121" applyFont="1" applyFill="1" applyBorder="1"/>
    <xf numFmtId="5" fontId="44" fillId="27" borderId="25" xfId="121" applyNumberFormat="1" applyFont="1" applyFill="1" applyBorder="1"/>
    <xf numFmtId="0" fontId="44" fillId="27" borderId="25" xfId="121" applyFont="1" applyFill="1" applyBorder="1" applyAlignment="1">
      <alignment horizontal="right"/>
    </xf>
    <xf numFmtId="165" fontId="44" fillId="27" borderId="44" xfId="121" applyNumberFormat="1" applyFont="1" applyFill="1" applyBorder="1" applyAlignment="1">
      <alignment horizontal="right"/>
    </xf>
    <xf numFmtId="0" fontId="40" fillId="0" borderId="42" xfId="123" applyFont="1" applyBorder="1" applyAlignment="1">
      <alignment horizontal="center"/>
    </xf>
    <xf numFmtId="10" fontId="40" fillId="0" borderId="42" xfId="123" applyNumberFormat="1" applyFont="1" applyBorder="1" applyAlignment="1">
      <alignment horizontal="center"/>
    </xf>
    <xf numFmtId="0" fontId="38" fillId="0" borderId="0" xfId="120" applyFont="1"/>
    <xf numFmtId="0" fontId="38" fillId="0" borderId="0" xfId="120" applyFont="1" applyAlignment="1">
      <alignment horizontal="center"/>
    </xf>
    <xf numFmtId="0" fontId="38" fillId="0" borderId="0" xfId="0" applyFont="1" applyAlignment="1">
      <alignment horizontal="center" vertical="center" wrapText="1"/>
    </xf>
    <xf numFmtId="6" fontId="38" fillId="0" borderId="0" xfId="0" applyNumberFormat="1" applyFont="1" applyAlignment="1">
      <alignment horizontal="center" vertical="center" wrapText="1"/>
    </xf>
    <xf numFmtId="6" fontId="42" fillId="0" borderId="0" xfId="0" applyNumberFormat="1" applyFont="1" applyAlignment="1">
      <alignment horizontal="center" vertical="center" wrapText="1"/>
    </xf>
    <xf numFmtId="8" fontId="42" fillId="0" borderId="0" xfId="0" applyNumberFormat="1" applyFont="1" applyAlignment="1">
      <alignment horizontal="center" vertical="center" wrapText="1"/>
    </xf>
    <xf numFmtId="10" fontId="38" fillId="0" borderId="0" xfId="128" applyNumberFormat="1" applyFont="1"/>
    <xf numFmtId="6" fontId="38" fillId="0" borderId="0" xfId="120" applyNumberFormat="1" applyFont="1"/>
    <xf numFmtId="175" fontId="38" fillId="0" borderId="0" xfId="56" applyNumberFormat="1" applyFont="1"/>
    <xf numFmtId="44" fontId="38" fillId="0" borderId="0" xfId="61" applyFont="1"/>
    <xf numFmtId="6" fontId="38" fillId="0" borderId="29" xfId="0" applyNumberFormat="1" applyFont="1" applyBorder="1" applyAlignment="1">
      <alignment horizontal="center" vertical="center" wrapText="1"/>
    </xf>
    <xf numFmtId="8" fontId="42" fillId="0" borderId="32" xfId="0" applyNumberFormat="1" applyFont="1" applyBorder="1" applyAlignment="1">
      <alignment horizontal="center" vertical="center" wrapText="1"/>
    </xf>
    <xf numFmtId="0" fontId="38" fillId="26" borderId="0" xfId="120" applyFont="1" applyFill="1"/>
    <xf numFmtId="175" fontId="38" fillId="26" borderId="0" xfId="56" applyNumberFormat="1" applyFont="1" applyFill="1"/>
    <xf numFmtId="0" fontId="38" fillId="0" borderId="22" xfId="0" applyFont="1" applyBorder="1" applyAlignment="1">
      <alignment horizontal="left" vertical="center" wrapText="1"/>
    </xf>
    <xf numFmtId="0" fontId="38" fillId="26" borderId="22" xfId="0" applyFont="1" applyFill="1" applyBorder="1" applyAlignment="1">
      <alignment horizontal="center" vertical="center" wrapText="1"/>
    </xf>
    <xf numFmtId="0" fontId="38" fillId="26" borderId="23" xfId="0" applyFont="1" applyFill="1" applyBorder="1" applyAlignment="1">
      <alignment horizontal="center" vertical="center" wrapText="1"/>
    </xf>
    <xf numFmtId="175" fontId="38" fillId="0" borderId="0" xfId="120" applyNumberFormat="1" applyFont="1"/>
    <xf numFmtId="6" fontId="38" fillId="0" borderId="27" xfId="0" applyNumberFormat="1" applyFont="1" applyBorder="1" applyAlignment="1">
      <alignment horizontal="center" vertical="center" wrapText="1"/>
    </xf>
    <xf numFmtId="167" fontId="38" fillId="0" borderId="27" xfId="128" applyNumberFormat="1" applyFont="1" applyBorder="1" applyAlignment="1">
      <alignment horizontal="center" vertical="center" wrapText="1"/>
    </xf>
    <xf numFmtId="6" fontId="38" fillId="0" borderId="26" xfId="0" applyNumberFormat="1" applyFont="1" applyBorder="1" applyAlignment="1">
      <alignment horizontal="center" vertical="center" wrapText="1"/>
    </xf>
    <xf numFmtId="6" fontId="38" fillId="0" borderId="28" xfId="0" applyNumberFormat="1" applyFont="1" applyBorder="1" applyAlignment="1">
      <alignment horizontal="center" vertical="center" wrapText="1"/>
    </xf>
    <xf numFmtId="167" fontId="38" fillId="0" borderId="28" xfId="128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right" vertical="center" wrapText="1"/>
    </xf>
    <xf numFmtId="3" fontId="38" fillId="0" borderId="0" xfId="0" applyNumberFormat="1" applyFont="1" applyAlignment="1">
      <alignment horizontal="right" vertical="center" wrapText="1"/>
    </xf>
    <xf numFmtId="0" fontId="38" fillId="0" borderId="28" xfId="0" applyFont="1" applyBorder="1" applyAlignment="1">
      <alignment horizontal="left" vertical="center" wrapText="1"/>
    </xf>
    <xf numFmtId="167" fontId="38" fillId="0" borderId="30" xfId="128" applyNumberFormat="1" applyFont="1" applyBorder="1" applyAlignment="1">
      <alignment horizontal="center" vertical="center" wrapText="1"/>
    </xf>
    <xf numFmtId="0" fontId="42" fillId="0" borderId="22" xfId="0" applyFont="1" applyBorder="1" applyAlignment="1">
      <alignment horizontal="left" vertical="center" wrapText="1"/>
    </xf>
    <xf numFmtId="6" fontId="38" fillId="0" borderId="22" xfId="0" applyNumberFormat="1" applyFont="1" applyBorder="1" applyAlignment="1">
      <alignment horizontal="center" vertical="center" wrapText="1"/>
    </xf>
    <xf numFmtId="167" fontId="42" fillId="0" borderId="22" xfId="128" applyNumberFormat="1" applyFont="1" applyBorder="1" applyAlignment="1">
      <alignment horizontal="center" vertical="center" wrapText="1"/>
    </xf>
    <xf numFmtId="6" fontId="42" fillId="0" borderId="23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167" fontId="42" fillId="0" borderId="0" xfId="128" applyNumberFormat="1" applyFont="1" applyAlignment="1">
      <alignment horizontal="center" vertical="center" wrapText="1"/>
    </xf>
    <xf numFmtId="0" fontId="38" fillId="0" borderId="0" xfId="0" applyFont="1" applyAlignment="1">
      <alignment horizontal="justify" vertical="center" wrapText="1"/>
    </xf>
    <xf numFmtId="10" fontId="38" fillId="0" borderId="0" xfId="0" applyNumberFormat="1" applyFont="1" applyAlignment="1">
      <alignment horizontal="center" vertical="center" wrapText="1"/>
    </xf>
    <xf numFmtId="6" fontId="42" fillId="0" borderId="31" xfId="0" applyNumberFormat="1" applyFont="1" applyBorder="1" applyAlignment="1">
      <alignment horizontal="center" vertical="center" wrapText="1"/>
    </xf>
    <xf numFmtId="177" fontId="42" fillId="0" borderId="23" xfId="0" applyNumberFormat="1" applyFont="1" applyBorder="1" applyAlignment="1">
      <alignment horizontal="center" vertical="center" wrapText="1"/>
    </xf>
    <xf numFmtId="165" fontId="38" fillId="0" borderId="0" xfId="120" applyNumberFormat="1" applyFont="1"/>
    <xf numFmtId="3" fontId="38" fillId="0" borderId="0" xfId="120" applyNumberFormat="1" applyFont="1"/>
    <xf numFmtId="0" fontId="38" fillId="26" borderId="0" xfId="0" applyFont="1" applyFill="1" applyAlignment="1">
      <alignment horizontal="justify" vertical="center" wrapText="1"/>
    </xf>
    <xf numFmtId="3" fontId="38" fillId="26" borderId="0" xfId="0" applyNumberFormat="1" applyFont="1" applyFill="1" applyAlignment="1">
      <alignment horizontal="right" vertical="center" wrapText="1"/>
    </xf>
    <xf numFmtId="0" fontId="38" fillId="0" borderId="31" xfId="121" applyFont="1" applyBorder="1" applyAlignment="1">
      <alignment horizontal="center"/>
    </xf>
    <xf numFmtId="3" fontId="38" fillId="0" borderId="0" xfId="121" applyNumberFormat="1" applyFont="1" applyAlignment="1">
      <alignment horizontal="center"/>
    </xf>
    <xf numFmtId="0" fontId="38" fillId="0" borderId="35" xfId="121" applyFont="1" applyBorder="1" applyAlignment="1">
      <alignment horizontal="center"/>
    </xf>
    <xf numFmtId="7" fontId="40" fillId="26" borderId="48" xfId="123" applyNumberFormat="1" applyFont="1" applyFill="1" applyBorder="1" applyAlignment="1">
      <alignment horizontal="center"/>
    </xf>
    <xf numFmtId="0" fontId="44" fillId="27" borderId="21" xfId="0" applyFont="1" applyFill="1" applyBorder="1" applyAlignment="1">
      <alignment horizontal="left" vertical="center" wrapText="1"/>
    </xf>
    <xf numFmtId="0" fontId="44" fillId="27" borderId="21" xfId="0" applyFont="1" applyFill="1" applyBorder="1" applyAlignment="1">
      <alignment horizontal="center" vertical="center" wrapText="1"/>
    </xf>
    <xf numFmtId="0" fontId="44" fillId="27" borderId="0" xfId="0" applyFont="1" applyFill="1" applyAlignment="1">
      <alignment horizontal="center" vertical="center" wrapText="1"/>
    </xf>
    <xf numFmtId="0" fontId="44" fillId="27" borderId="24" xfId="0" applyFont="1" applyFill="1" applyBorder="1" applyAlignment="1">
      <alignment horizontal="left" vertical="center" wrapText="1"/>
    </xf>
    <xf numFmtId="0" fontId="44" fillId="27" borderId="24" xfId="0" applyFont="1" applyFill="1" applyBorder="1" applyAlignment="1">
      <alignment horizontal="center" vertical="center" wrapText="1"/>
    </xf>
    <xf numFmtId="0" fontId="44" fillId="27" borderId="25" xfId="0" applyFont="1" applyFill="1" applyBorder="1" applyAlignment="1">
      <alignment horizontal="center" vertical="center" wrapText="1"/>
    </xf>
    <xf numFmtId="0" fontId="38" fillId="26" borderId="56" xfId="0" quotePrefix="1" applyFont="1" applyFill="1" applyBorder="1" applyAlignment="1">
      <alignment horizontal="center" vertical="center" wrapText="1"/>
    </xf>
    <xf numFmtId="0" fontId="38" fillId="26" borderId="30" xfId="0" quotePrefix="1" applyFont="1" applyFill="1" applyBorder="1" applyAlignment="1">
      <alignment horizontal="center" vertical="center" wrapText="1"/>
    </xf>
    <xf numFmtId="0" fontId="38" fillId="0" borderId="21" xfId="0" applyFont="1" applyBorder="1" applyAlignment="1">
      <alignment horizontal="left" vertical="center" wrapText="1"/>
    </xf>
    <xf numFmtId="0" fontId="38" fillId="26" borderId="21" xfId="0" applyFont="1" applyFill="1" applyBorder="1" applyAlignment="1">
      <alignment horizontal="center" vertical="center" wrapText="1"/>
    </xf>
    <xf numFmtId="0" fontId="38" fillId="26" borderId="0" xfId="0" applyFont="1" applyFill="1" applyBorder="1" applyAlignment="1">
      <alignment horizontal="center" vertical="center" wrapText="1"/>
    </xf>
    <xf numFmtId="0" fontId="38" fillId="26" borderId="58" xfId="0" quotePrefix="1" applyFont="1" applyFill="1" applyBorder="1" applyAlignment="1">
      <alignment horizontal="center" vertical="center" wrapText="1"/>
    </xf>
    <xf numFmtId="0" fontId="38" fillId="26" borderId="28" xfId="0" applyFont="1" applyFill="1" applyBorder="1" applyAlignment="1">
      <alignment horizontal="center" vertical="center" wrapText="1"/>
    </xf>
    <xf numFmtId="0" fontId="38" fillId="26" borderId="29" xfId="0" applyFont="1" applyFill="1" applyBorder="1" applyAlignment="1">
      <alignment horizontal="center" vertical="center" wrapText="1"/>
    </xf>
    <xf numFmtId="0" fontId="38" fillId="0" borderId="57" xfId="0" applyFont="1" applyBorder="1" applyAlignment="1">
      <alignment horizontal="left" vertical="center" wrapText="1"/>
    </xf>
    <xf numFmtId="0" fontId="44" fillId="27" borderId="0" xfId="120" applyFont="1" applyFill="1"/>
    <xf numFmtId="0" fontId="44" fillId="27" borderId="0" xfId="120" applyFont="1" applyFill="1" applyAlignment="1">
      <alignment horizontal="center"/>
    </xf>
    <xf numFmtId="0" fontId="44" fillId="27" borderId="14" xfId="120" applyFont="1" applyFill="1" applyBorder="1" applyAlignment="1">
      <alignment horizontal="center"/>
    </xf>
    <xf numFmtId="175" fontId="38" fillId="28" borderId="0" xfId="56" applyNumberFormat="1" applyFont="1" applyFill="1"/>
    <xf numFmtId="0" fontId="39" fillId="27" borderId="0" xfId="120" applyFont="1" applyFill="1"/>
    <xf numFmtId="0" fontId="44" fillId="27" borderId="0" xfId="120" applyFont="1" applyFill="1" applyAlignment="1">
      <alignment horizontal="right"/>
    </xf>
    <xf numFmtId="0" fontId="44" fillId="27" borderId="0" xfId="0" applyFont="1" applyFill="1" applyAlignment="1">
      <alignment horizontal="justify" vertical="center" wrapText="1"/>
    </xf>
    <xf numFmtId="2" fontId="38" fillId="0" borderId="0" xfId="0" applyNumberFormat="1" applyFont="1" applyBorder="1" applyAlignment="1">
      <alignment horizontal="right" vertical="center" wrapText="1"/>
    </xf>
    <xf numFmtId="3" fontId="38" fillId="0" borderId="0" xfId="0" applyNumberFormat="1" applyFont="1" applyBorder="1" applyAlignment="1">
      <alignment horizontal="right" vertical="center" wrapText="1"/>
    </xf>
    <xf numFmtId="0" fontId="38" fillId="0" borderId="0" xfId="120" applyFont="1" applyBorder="1"/>
    <xf numFmtId="43" fontId="38" fillId="0" borderId="0" xfId="120" applyNumberFormat="1" applyFont="1" applyBorder="1"/>
    <xf numFmtId="6" fontId="38" fillId="0" borderId="0" xfId="120" applyNumberFormat="1" applyFont="1" applyAlignment="1">
      <alignment horizontal="justify"/>
    </xf>
    <xf numFmtId="0" fontId="44" fillId="27" borderId="59" xfId="121" applyFont="1" applyFill="1" applyBorder="1"/>
    <xf numFmtId="0" fontId="44" fillId="27" borderId="31" xfId="121" applyFont="1" applyFill="1" applyBorder="1"/>
    <xf numFmtId="0" fontId="44" fillId="27" borderId="60" xfId="121" applyFont="1" applyFill="1" applyBorder="1"/>
    <xf numFmtId="0" fontId="38" fillId="0" borderId="61" xfId="121" applyFont="1" applyBorder="1"/>
    <xf numFmtId="0" fontId="38" fillId="0" borderId="0" xfId="121" applyFont="1" applyBorder="1"/>
    <xf numFmtId="0" fontId="38" fillId="0" borderId="21" xfId="121" applyFont="1" applyBorder="1"/>
    <xf numFmtId="0" fontId="42" fillId="0" borderId="0" xfId="121" applyFont="1" applyBorder="1"/>
    <xf numFmtId="0" fontId="44" fillId="27" borderId="61" xfId="121" applyFont="1" applyFill="1" applyBorder="1" applyAlignment="1">
      <alignment horizontal="center"/>
    </xf>
    <xf numFmtId="0" fontId="44" fillId="27" borderId="0" xfId="121" applyFont="1" applyFill="1" applyBorder="1" applyAlignment="1">
      <alignment horizontal="center"/>
    </xf>
    <xf numFmtId="0" fontId="44" fillId="27" borderId="21" xfId="121" applyFont="1" applyFill="1" applyBorder="1" applyAlignment="1">
      <alignment horizontal="center"/>
    </xf>
    <xf numFmtId="9" fontId="38" fillId="0" borderId="61" xfId="128" applyFont="1" applyBorder="1" applyAlignment="1">
      <alignment horizontal="center"/>
    </xf>
    <xf numFmtId="9" fontId="38" fillId="0" borderId="0" xfId="128" applyFont="1" applyBorder="1" applyAlignment="1">
      <alignment horizontal="center"/>
    </xf>
    <xf numFmtId="164" fontId="38" fillId="0" borderId="0" xfId="121" applyNumberFormat="1" applyFont="1" applyBorder="1" applyAlignment="1">
      <alignment horizontal="center"/>
    </xf>
    <xf numFmtId="164" fontId="38" fillId="0" borderId="21" xfId="121" applyNumberFormat="1" applyFont="1" applyBorder="1" applyAlignment="1">
      <alignment horizontal="center"/>
    </xf>
    <xf numFmtId="0" fontId="38" fillId="0" borderId="61" xfId="121" applyFont="1" applyBorder="1" applyAlignment="1">
      <alignment horizontal="center"/>
    </xf>
    <xf numFmtId="0" fontId="38" fillId="0" borderId="0" xfId="121" applyFont="1" applyBorder="1" applyAlignment="1">
      <alignment horizontal="center"/>
    </xf>
    <xf numFmtId="0" fontId="38" fillId="0" borderId="21" xfId="121" applyFont="1" applyBorder="1" applyAlignment="1">
      <alignment horizontal="center"/>
    </xf>
    <xf numFmtId="0" fontId="38" fillId="0" borderId="62" xfId="121" applyFont="1" applyBorder="1" applyAlignment="1">
      <alignment horizontal="center"/>
    </xf>
    <xf numFmtId="0" fontId="38" fillId="0" borderId="63" xfId="121" applyFont="1" applyBorder="1" applyAlignment="1">
      <alignment horizontal="center"/>
    </xf>
    <xf numFmtId="6" fontId="44" fillId="27" borderId="0" xfId="0" applyNumberFormat="1" applyFont="1" applyFill="1" applyAlignment="1">
      <alignment horizontal="center" vertical="center" wrapText="1"/>
    </xf>
    <xf numFmtId="9" fontId="39" fillId="27" borderId="0" xfId="128" applyFont="1" applyFill="1" applyAlignment="1">
      <alignment horizontal="center"/>
    </xf>
    <xf numFmtId="6" fontId="39" fillId="27" borderId="0" xfId="0" applyNumberFormat="1" applyFont="1" applyFill="1" applyAlignment="1">
      <alignment horizontal="center" vertical="center" wrapText="1"/>
    </xf>
    <xf numFmtId="0" fontId="44" fillId="27" borderId="64" xfId="120" applyFont="1" applyFill="1" applyBorder="1" applyAlignment="1">
      <alignment horizontal="center"/>
    </xf>
    <xf numFmtId="0" fontId="44" fillId="27" borderId="64" xfId="120" applyFont="1" applyFill="1" applyBorder="1"/>
    <xf numFmtId="6" fontId="44" fillId="27" borderId="64" xfId="0" applyNumberFormat="1" applyFont="1" applyFill="1" applyBorder="1" applyAlignment="1">
      <alignment horizontal="center" vertical="center" wrapText="1"/>
    </xf>
    <xf numFmtId="9" fontId="39" fillId="27" borderId="64" xfId="128" applyFont="1" applyFill="1" applyBorder="1" applyAlignment="1">
      <alignment horizontal="center"/>
    </xf>
    <xf numFmtId="0" fontId="38" fillId="28" borderId="0" xfId="0" applyFont="1" applyFill="1" applyAlignment="1">
      <alignment horizontal="justify" vertical="center" wrapText="1"/>
    </xf>
    <xf numFmtId="3" fontId="38" fillId="28" borderId="0" xfId="0" applyNumberFormat="1" applyFont="1" applyFill="1" applyAlignment="1">
      <alignment horizontal="right" vertical="center" wrapText="1"/>
    </xf>
    <xf numFmtId="0" fontId="38" fillId="28" borderId="0" xfId="120" applyFont="1" applyFill="1"/>
    <xf numFmtId="0" fontId="38" fillId="28" borderId="14" xfId="120" applyFont="1" applyFill="1" applyBorder="1"/>
    <xf numFmtId="175" fontId="38" fillId="28" borderId="14" xfId="56" applyNumberFormat="1" applyFont="1" applyFill="1" applyBorder="1" applyAlignment="1">
      <alignment horizontal="right"/>
    </xf>
    <xf numFmtId="175" fontId="38" fillId="28" borderId="14" xfId="56" applyNumberFormat="1" applyFont="1" applyFill="1" applyBorder="1"/>
    <xf numFmtId="175" fontId="38" fillId="28" borderId="0" xfId="56" applyNumberFormat="1" applyFont="1" applyFill="1" applyAlignment="1">
      <alignment horizontal="right"/>
    </xf>
    <xf numFmtId="0" fontId="54" fillId="28" borderId="0" xfId="0" applyFont="1" applyFill="1" applyAlignment="1">
      <alignment horizontal="justify" vertical="center" wrapText="1"/>
    </xf>
    <xf numFmtId="0" fontId="38" fillId="28" borderId="0" xfId="0" applyFont="1" applyFill="1" applyAlignment="1">
      <alignment horizontal="right" vertical="center" wrapText="1"/>
    </xf>
    <xf numFmtId="175" fontId="38" fillId="28" borderId="0" xfId="56" quotePrefix="1" applyNumberFormat="1" applyFont="1" applyFill="1"/>
    <xf numFmtId="0" fontId="38" fillId="28" borderId="14" xfId="0" applyFont="1" applyFill="1" applyBorder="1" applyAlignment="1">
      <alignment horizontal="justify" vertical="center" wrapText="1"/>
    </xf>
    <xf numFmtId="3" fontId="38" fillId="28" borderId="14" xfId="0" applyNumberFormat="1" applyFont="1" applyFill="1" applyBorder="1" applyAlignment="1">
      <alignment horizontal="right" vertical="center" wrapText="1"/>
    </xf>
    <xf numFmtId="0" fontId="38" fillId="28" borderId="0" xfId="0" quotePrefix="1" applyFont="1" applyFill="1" applyAlignment="1">
      <alignment horizontal="justify" vertical="center" wrapText="1"/>
    </xf>
    <xf numFmtId="175" fontId="38" fillId="28" borderId="0" xfId="56" applyNumberFormat="1" applyFont="1" applyFill="1" applyAlignment="1">
      <alignment horizontal="right" vertical="center" wrapText="1"/>
    </xf>
    <xf numFmtId="0" fontId="42" fillId="28" borderId="0" xfId="120" applyFont="1" applyFill="1"/>
    <xf numFmtId="175" fontId="42" fillId="28" borderId="0" xfId="56" applyNumberFormat="1" applyFont="1" applyFill="1"/>
    <xf numFmtId="167" fontId="38" fillId="28" borderId="6" xfId="128" applyNumberFormat="1" applyFont="1" applyFill="1" applyBorder="1"/>
    <xf numFmtId="175" fontId="38" fillId="28" borderId="6" xfId="56" applyNumberFormat="1" applyFont="1" applyFill="1" applyBorder="1"/>
    <xf numFmtId="167" fontId="42" fillId="28" borderId="6" xfId="128" applyNumberFormat="1" applyFont="1" applyFill="1" applyBorder="1"/>
    <xf numFmtId="167" fontId="38" fillId="28" borderId="13" xfId="128" applyNumberFormat="1" applyFont="1" applyFill="1" applyBorder="1"/>
    <xf numFmtId="0" fontId="44" fillId="27" borderId="23" xfId="120" applyFont="1" applyFill="1" applyBorder="1"/>
    <xf numFmtId="175" fontId="44" fillId="27" borderId="23" xfId="56" applyNumberFormat="1" applyFont="1" applyFill="1" applyBorder="1"/>
    <xf numFmtId="175" fontId="44" fillId="27" borderId="65" xfId="56" applyNumberFormat="1" applyFont="1" applyFill="1" applyBorder="1"/>
    <xf numFmtId="0" fontId="44" fillId="27" borderId="0" xfId="120" applyFont="1" applyFill="1" applyBorder="1" applyAlignment="1">
      <alignment horizontal="center"/>
    </xf>
    <xf numFmtId="0" fontId="38" fillId="0" borderId="0" xfId="120" applyFont="1" applyBorder="1" applyAlignment="1">
      <alignment horizontal="center"/>
    </xf>
    <xf numFmtId="0" fontId="44" fillId="26" borderId="0" xfId="120" applyFont="1" applyFill="1" applyAlignment="1">
      <alignment horizontal="center"/>
    </xf>
    <xf numFmtId="0" fontId="44" fillId="26" borderId="0" xfId="120" applyFont="1" applyFill="1" applyBorder="1" applyAlignment="1">
      <alignment horizontal="center"/>
    </xf>
    <xf numFmtId="0" fontId="38" fillId="0" borderId="37" xfId="121" applyFont="1" applyBorder="1" applyAlignment="1">
      <alignment horizontal="left"/>
    </xf>
    <xf numFmtId="171" fontId="38" fillId="26" borderId="0" xfId="121" applyNumberFormat="1" applyFont="1" applyFill="1" applyBorder="1" applyAlignment="1">
      <alignment horizontal="center"/>
    </xf>
    <xf numFmtId="6" fontId="39" fillId="27" borderId="64" xfId="120" applyNumberFormat="1" applyFont="1" applyFill="1" applyBorder="1" applyAlignment="1">
      <alignment horizontal="center"/>
    </xf>
    <xf numFmtId="7" fontId="39" fillId="27" borderId="64" xfId="61" applyNumberFormat="1" applyFont="1" applyFill="1" applyBorder="1"/>
    <xf numFmtId="7" fontId="39" fillId="27" borderId="70" xfId="61" applyNumberFormat="1" applyFont="1" applyFill="1" applyBorder="1" applyAlignment="1">
      <alignment horizontal="center"/>
    </xf>
    <xf numFmtId="0" fontId="44" fillId="27" borderId="69" xfId="120" applyFont="1" applyFill="1" applyBorder="1" applyAlignment="1">
      <alignment horizontal="center"/>
    </xf>
    <xf numFmtId="0" fontId="44" fillId="27" borderId="71" xfId="0" applyFont="1" applyFill="1" applyBorder="1" applyAlignment="1">
      <alignment horizontal="center" vertical="center" wrapText="1"/>
    </xf>
    <xf numFmtId="8" fontId="38" fillId="0" borderId="72" xfId="120" applyNumberFormat="1" applyFont="1" applyBorder="1" applyAlignment="1">
      <alignment horizontal="center"/>
    </xf>
    <xf numFmtId="8" fontId="38" fillId="0" borderId="73" xfId="120" applyNumberFormat="1" applyFont="1" applyBorder="1" applyAlignment="1">
      <alignment horizontal="center"/>
    </xf>
    <xf numFmtId="167" fontId="44" fillId="27" borderId="74" xfId="128" applyNumberFormat="1" applyFont="1" applyFill="1" applyBorder="1"/>
    <xf numFmtId="0" fontId="38" fillId="28" borderId="0" xfId="0" applyFont="1" applyFill="1" applyAlignment="1">
      <alignment horizontal="left" vertical="center" wrapText="1"/>
    </xf>
    <xf numFmtId="2" fontId="38" fillId="28" borderId="0" xfId="0" applyNumberFormat="1" applyFont="1" applyFill="1" applyAlignment="1">
      <alignment horizontal="right" vertical="center" wrapText="1"/>
    </xf>
    <xf numFmtId="0" fontId="44" fillId="27" borderId="59" xfId="0" applyFont="1" applyFill="1" applyBorder="1" applyAlignment="1">
      <alignment horizontal="center" vertical="center" wrapText="1"/>
    </xf>
    <xf numFmtId="0" fontId="38" fillId="0" borderId="59" xfId="120" applyFont="1" applyBorder="1"/>
    <xf numFmtId="0" fontId="38" fillId="0" borderId="31" xfId="120" applyFont="1" applyBorder="1"/>
    <xf numFmtId="0" fontId="38" fillId="0" borderId="60" xfId="120" applyFont="1" applyBorder="1"/>
    <xf numFmtId="0" fontId="38" fillId="0" borderId="61" xfId="120" applyFont="1" applyBorder="1"/>
    <xf numFmtId="0" fontId="38" fillId="0" borderId="21" xfId="120" applyFont="1" applyBorder="1"/>
    <xf numFmtId="0" fontId="38" fillId="0" borderId="21" xfId="0" applyFont="1" applyBorder="1" applyAlignment="1">
      <alignment horizontal="right" vertical="center" wrapText="1"/>
    </xf>
    <xf numFmtId="0" fontId="38" fillId="0" borderId="62" xfId="120" applyFont="1" applyBorder="1"/>
    <xf numFmtId="0" fontId="38" fillId="0" borderId="37" xfId="120" applyFont="1" applyBorder="1"/>
    <xf numFmtId="175" fontId="38" fillId="0" borderId="37" xfId="56" applyNumberFormat="1" applyFont="1" applyBorder="1"/>
    <xf numFmtId="0" fontId="38" fillId="0" borderId="63" xfId="0" applyFont="1" applyBorder="1" applyAlignment="1">
      <alignment horizontal="right" vertical="center" wrapText="1"/>
    </xf>
    <xf numFmtId="8" fontId="42" fillId="0" borderId="0" xfId="0" applyNumberFormat="1" applyFont="1" applyBorder="1" applyAlignment="1">
      <alignment horizontal="center" vertical="center" wrapText="1"/>
    </xf>
    <xf numFmtId="8" fontId="38" fillId="0" borderId="0" xfId="120" applyNumberFormat="1" applyFont="1" applyBorder="1" applyAlignment="1">
      <alignment horizontal="center"/>
    </xf>
    <xf numFmtId="9" fontId="39" fillId="27" borderId="0" xfId="128" applyFont="1" applyFill="1" applyBorder="1" applyAlignment="1">
      <alignment horizontal="center"/>
    </xf>
    <xf numFmtId="0" fontId="42" fillId="0" borderId="0" xfId="120" applyFont="1" applyBorder="1"/>
    <xf numFmtId="175" fontId="42" fillId="0" borderId="0" xfId="56" applyNumberFormat="1" applyFont="1" applyBorder="1"/>
    <xf numFmtId="168" fontId="42" fillId="0" borderId="0" xfId="56" applyNumberFormat="1" applyFont="1" applyBorder="1"/>
    <xf numFmtId="167" fontId="42" fillId="0" borderId="0" xfId="128" applyNumberFormat="1" applyFont="1" applyBorder="1"/>
    <xf numFmtId="43" fontId="44" fillId="27" borderId="0" xfId="120" applyNumberFormat="1" applyFont="1" applyFill="1"/>
    <xf numFmtId="175" fontId="44" fillId="27" borderId="0" xfId="56" applyNumberFormat="1" applyFont="1" applyFill="1" applyAlignment="1">
      <alignment horizontal="right"/>
    </xf>
    <xf numFmtId="0" fontId="38" fillId="26" borderId="19" xfId="121" applyFont="1" applyFill="1" applyBorder="1" applyAlignment="1">
      <alignment horizontal="center"/>
    </xf>
    <xf numFmtId="176" fontId="38" fillId="0" borderId="42" xfId="119" applyNumberFormat="1" applyFont="1" applyFill="1" applyBorder="1" applyAlignment="1">
      <alignment horizontal="right"/>
    </xf>
    <xf numFmtId="176" fontId="40" fillId="0" borderId="42" xfId="119" applyNumberFormat="1" applyFont="1" applyFill="1" applyBorder="1" applyAlignment="1">
      <alignment horizontal="right"/>
    </xf>
    <xf numFmtId="0" fontId="42" fillId="0" borderId="33" xfId="120" applyFont="1" applyBorder="1" applyAlignment="1">
      <alignment horizontal="center"/>
    </xf>
    <xf numFmtId="6" fontId="42" fillId="0" borderId="54" xfId="120" applyNumberFormat="1" applyFont="1" applyBorder="1" applyAlignment="1">
      <alignment horizontal="center"/>
    </xf>
    <xf numFmtId="172" fontId="38" fillId="0" borderId="76" xfId="61" applyNumberFormat="1" applyFont="1" applyBorder="1" applyAlignment="1">
      <alignment horizontal="center"/>
    </xf>
    <xf numFmtId="0" fontId="38" fillId="0" borderId="73" xfId="120" applyFont="1" applyBorder="1" applyAlignment="1">
      <alignment horizontal="center"/>
    </xf>
    <xf numFmtId="164" fontId="38" fillId="26" borderId="0" xfId="0" applyNumberFormat="1" applyFont="1" applyFill="1" applyAlignment="1">
      <alignment horizontal="center" vertical="center" wrapText="1"/>
    </xf>
    <xf numFmtId="165" fontId="42" fillId="26" borderId="0" xfId="0" applyNumberFormat="1" applyFont="1" applyFill="1" applyAlignment="1">
      <alignment horizontal="center" vertical="center" wrapText="1"/>
    </xf>
    <xf numFmtId="0" fontId="38" fillId="26" borderId="75" xfId="120" applyFont="1" applyFill="1" applyBorder="1" applyAlignment="1">
      <alignment horizontal="center" vertical="center"/>
    </xf>
    <xf numFmtId="0" fontId="38" fillId="26" borderId="0" xfId="120" applyFont="1" applyFill="1" applyAlignment="1">
      <alignment horizontal="center" vertical="center"/>
    </xf>
    <xf numFmtId="0" fontId="38" fillId="26" borderId="14" xfId="120" applyFont="1" applyFill="1" applyBorder="1" applyAlignment="1">
      <alignment horizontal="center" vertical="center"/>
    </xf>
    <xf numFmtId="164" fontId="38" fillId="0" borderId="0" xfId="120" applyNumberFormat="1" applyFont="1" applyAlignment="1">
      <alignment horizontal="center" vertical="center"/>
    </xf>
    <xf numFmtId="165" fontId="42" fillId="0" borderId="0" xfId="120" applyNumberFormat="1" applyFont="1" applyAlignment="1">
      <alignment horizontal="center" vertical="center"/>
    </xf>
    <xf numFmtId="0" fontId="44" fillId="27" borderId="76" xfId="147" applyFont="1" applyFill="1" applyBorder="1" applyAlignment="1">
      <alignment horizontal="center"/>
    </xf>
    <xf numFmtId="0" fontId="44" fillId="27" borderId="72" xfId="147" applyFont="1" applyFill="1" applyBorder="1" applyAlignment="1">
      <alignment horizontal="center"/>
    </xf>
    <xf numFmtId="7" fontId="40" fillId="0" borderId="72" xfId="148" applyNumberFormat="1" applyFont="1" applyBorder="1"/>
    <xf numFmtId="167" fontId="38" fillId="0" borderId="73" xfId="134" applyNumberFormat="1" applyFont="1" applyBorder="1" applyAlignment="1">
      <alignment horizontal="center"/>
    </xf>
    <xf numFmtId="6" fontId="42" fillId="0" borderId="17" xfId="122" applyNumberFormat="1" applyFont="1" applyBorder="1" applyAlignment="1">
      <alignment horizontal="right"/>
    </xf>
    <xf numFmtId="0" fontId="38" fillId="0" borderId="16" xfId="121" applyFont="1" applyBorder="1"/>
    <xf numFmtId="3" fontId="42" fillId="0" borderId="18" xfId="121" applyNumberFormat="1" applyFont="1" applyBorder="1" applyAlignment="1">
      <alignment horizontal="center"/>
    </xf>
    <xf numFmtId="0" fontId="57" fillId="27" borderId="31" xfId="121" applyFont="1" applyFill="1" applyBorder="1" applyAlignment="1">
      <alignment horizontal="center"/>
    </xf>
    <xf numFmtId="0" fontId="40" fillId="0" borderId="40" xfId="123" applyFont="1" applyBorder="1" applyAlignment="1">
      <alignment horizontal="center"/>
    </xf>
    <xf numFmtId="6" fontId="40" fillId="0" borderId="13" xfId="123" applyNumberFormat="1" applyFont="1" applyBorder="1" applyAlignment="1">
      <alignment horizontal="center"/>
    </xf>
    <xf numFmtId="0" fontId="46" fillId="27" borderId="0" xfId="123" applyFont="1" applyFill="1" applyAlignment="1">
      <alignment horizontal="center"/>
    </xf>
    <xf numFmtId="5" fontId="40" fillId="26" borderId="40" xfId="123" applyNumberFormat="1" applyFont="1" applyFill="1" applyBorder="1" applyAlignment="1">
      <alignment horizontal="center"/>
    </xf>
    <xf numFmtId="7" fontId="40" fillId="0" borderId="13" xfId="123" applyNumberFormat="1" applyFont="1" applyBorder="1" applyAlignment="1">
      <alignment horizontal="center"/>
    </xf>
    <xf numFmtId="0" fontId="40" fillId="0" borderId="41" xfId="123" applyFont="1" applyBorder="1" applyAlignment="1">
      <alignment horizontal="center"/>
    </xf>
    <xf numFmtId="10" fontId="40" fillId="0" borderId="48" xfId="128" applyNumberFormat="1" applyFont="1" applyBorder="1" applyAlignment="1">
      <alignment horizontal="center"/>
    </xf>
    <xf numFmtId="8" fontId="40" fillId="26" borderId="41" xfId="123" applyNumberFormat="1" applyFont="1" applyFill="1" applyBorder="1" applyAlignment="1">
      <alignment horizontal="center"/>
    </xf>
    <xf numFmtId="0" fontId="40" fillId="0" borderId="48" xfId="123" applyFont="1" applyBorder="1" applyAlignment="1">
      <alignment horizontal="center"/>
    </xf>
    <xf numFmtId="10" fontId="41" fillId="0" borderId="33" xfId="128" applyNumberFormat="1" applyFont="1" applyBorder="1"/>
    <xf numFmtId="10" fontId="41" fillId="0" borderId="34" xfId="128" applyNumberFormat="1" applyFont="1" applyBorder="1"/>
    <xf numFmtId="164" fontId="41" fillId="0" borderId="6" xfId="123" applyNumberFormat="1" applyFont="1" applyBorder="1"/>
    <xf numFmtId="164" fontId="41" fillId="0" borderId="42" xfId="123" applyNumberFormat="1" applyFont="1" applyBorder="1"/>
    <xf numFmtId="0" fontId="41" fillId="0" borderId="6" xfId="123" applyFont="1" applyBorder="1"/>
    <xf numFmtId="0" fontId="41" fillId="0" borderId="42" xfId="123" applyFont="1" applyBorder="1"/>
    <xf numFmtId="44" fontId="41" fillId="0" borderId="13" xfId="61" applyFont="1" applyBorder="1"/>
    <xf numFmtId="44" fontId="41" fillId="0" borderId="48" xfId="61" applyFont="1" applyBorder="1"/>
    <xf numFmtId="0" fontId="38" fillId="0" borderId="0" xfId="121" applyFont="1" applyAlignment="1">
      <alignment vertical="top"/>
    </xf>
    <xf numFmtId="0" fontId="38" fillId="0" borderId="52" xfId="121" applyFont="1" applyBorder="1" applyAlignment="1">
      <alignment horizontal="center" vertical="top" wrapText="1"/>
    </xf>
    <xf numFmtId="0" fontId="38" fillId="0" borderId="53" xfId="121" applyFont="1" applyBorder="1" applyAlignment="1">
      <alignment vertical="top" wrapText="1"/>
    </xf>
    <xf numFmtId="0" fontId="38" fillId="26" borderId="42" xfId="121" applyFont="1" applyFill="1" applyBorder="1" applyAlignment="1">
      <alignment horizontal="center" vertical="top" wrapText="1"/>
    </xf>
    <xf numFmtId="0" fontId="38" fillId="0" borderId="6" xfId="121" applyFont="1" applyBorder="1" applyAlignment="1">
      <alignment horizontal="center" vertical="top" wrapText="1"/>
    </xf>
    <xf numFmtId="0" fontId="38" fillId="0" borderId="0" xfId="121" applyFont="1" applyAlignment="1">
      <alignment vertical="top" wrapText="1"/>
    </xf>
    <xf numFmtId="0" fontId="38" fillId="26" borderId="17" xfId="121" applyFont="1" applyFill="1" applyBorder="1" applyAlignment="1">
      <alignment horizontal="center" vertical="top" wrapText="1"/>
    </xf>
    <xf numFmtId="0" fontId="38" fillId="0" borderId="17" xfId="121" applyFont="1" applyBorder="1" applyAlignment="1">
      <alignment horizontal="center" vertical="top" wrapText="1"/>
    </xf>
    <xf numFmtId="3" fontId="38" fillId="0" borderId="6" xfId="121" applyNumberFormat="1" applyFont="1" applyBorder="1" applyAlignment="1">
      <alignment horizontal="center" vertical="top" wrapText="1"/>
    </xf>
    <xf numFmtId="3" fontId="38" fillId="26" borderId="17" xfId="121" applyNumberFormat="1" applyFont="1" applyFill="1" applyBorder="1" applyAlignment="1">
      <alignment horizontal="center" vertical="top" wrapText="1"/>
    </xf>
    <xf numFmtId="3" fontId="38" fillId="0" borderId="67" xfId="121" applyNumberFormat="1" applyFont="1" applyBorder="1" applyAlignment="1">
      <alignment horizontal="center" vertical="top" wrapText="1"/>
    </xf>
    <xf numFmtId="0" fontId="38" fillId="0" borderId="68" xfId="121" applyFont="1" applyBorder="1" applyAlignment="1">
      <alignment vertical="top" wrapText="1"/>
    </xf>
    <xf numFmtId="3" fontId="38" fillId="26" borderId="66" xfId="121" applyNumberFormat="1" applyFont="1" applyFill="1" applyBorder="1" applyAlignment="1">
      <alignment horizontal="center" vertical="top" wrapText="1"/>
    </xf>
    <xf numFmtId="0" fontId="38" fillId="0" borderId="6" xfId="121" applyFont="1" applyBorder="1" applyAlignment="1">
      <alignment horizontal="center"/>
    </xf>
    <xf numFmtId="0" fontId="38" fillId="0" borderId="17" xfId="121" applyFont="1" applyBorder="1" applyAlignment="1">
      <alignment horizontal="center"/>
    </xf>
    <xf numFmtId="165" fontId="38" fillId="26" borderId="0" xfId="121" quotePrefix="1" applyNumberFormat="1" applyFont="1" applyFill="1" applyBorder="1" applyAlignment="1">
      <alignment horizontal="right"/>
    </xf>
    <xf numFmtId="165" fontId="38" fillId="0" borderId="0" xfId="121" applyNumberFormat="1" applyFont="1" applyBorder="1" applyAlignment="1">
      <alignment horizontal="right"/>
    </xf>
    <xf numFmtId="171" fontId="38" fillId="0" borderId="0" xfId="121" applyNumberFormat="1" applyFont="1" applyBorder="1" applyAlignment="1">
      <alignment horizontal="right"/>
    </xf>
    <xf numFmtId="165" fontId="38" fillId="0" borderId="75" xfId="121" applyNumberFormat="1" applyFont="1" applyBorder="1" applyAlignment="1">
      <alignment horizontal="right"/>
    </xf>
    <xf numFmtId="0" fontId="38" fillId="0" borderId="75" xfId="121" applyFont="1" applyBorder="1"/>
    <xf numFmtId="165" fontId="38" fillId="26" borderId="0" xfId="121" applyNumberFormat="1" applyFont="1" applyFill="1" applyBorder="1" applyAlignment="1">
      <alignment horizontal="right"/>
    </xf>
    <xf numFmtId="0" fontId="43" fillId="0" borderId="0" xfId="121" applyFont="1" applyAlignment="1">
      <alignment horizontal="center"/>
    </xf>
    <xf numFmtId="0" fontId="56" fillId="0" borderId="0" xfId="0" applyFont="1" applyAlignment="1">
      <alignment horizontal="center"/>
    </xf>
    <xf numFmtId="166" fontId="43" fillId="0" borderId="0" xfId="122" applyNumberFormat="1" applyFont="1" applyAlignment="1">
      <alignment horizontal="center"/>
    </xf>
    <xf numFmtId="0" fontId="55" fillId="0" borderId="0" xfId="0" applyFont="1" applyAlignment="1"/>
    <xf numFmtId="0" fontId="43" fillId="0" borderId="0" xfId="123" applyFont="1" applyAlignment="1">
      <alignment horizontal="center"/>
    </xf>
    <xf numFmtId="0" fontId="42" fillId="0" borderId="31" xfId="0" applyFont="1" applyBorder="1" applyAlignment="1">
      <alignment horizontal="justify" vertical="center" wrapText="1"/>
    </xf>
    <xf numFmtId="0" fontId="42" fillId="0" borderId="23" xfId="0" applyFont="1" applyBorder="1" applyAlignment="1">
      <alignment horizontal="justify" vertical="center" wrapText="1"/>
    </xf>
    <xf numFmtId="6" fontId="38" fillId="0" borderId="31" xfId="0" applyNumberFormat="1" applyFont="1" applyBorder="1" applyAlignment="1">
      <alignment horizontal="center" vertical="center" wrapText="1"/>
    </xf>
    <xf numFmtId="6" fontId="38" fillId="0" borderId="23" xfId="0" applyNumberFormat="1" applyFont="1" applyBorder="1" applyAlignment="1">
      <alignment horizontal="center" vertical="center" wrapText="1"/>
    </xf>
    <xf numFmtId="10" fontId="42" fillId="0" borderId="31" xfId="128" applyNumberFormat="1" applyFont="1" applyBorder="1" applyAlignment="1">
      <alignment horizontal="center" vertical="center" wrapText="1"/>
    </xf>
    <xf numFmtId="10" fontId="42" fillId="0" borderId="23" xfId="128" applyNumberFormat="1" applyFont="1" applyBorder="1" applyAlignment="1">
      <alignment horizontal="center" vertical="center" wrapText="1"/>
    </xf>
  </cellXfs>
  <cellStyles count="149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" xfId="56" builtinId="3"/>
    <cellStyle name="Comma 2" xfId="57" xr:uid="{00000000-0005-0000-0000-000038000000}"/>
    <cellStyle name="Comma 2 2" xfId="58" xr:uid="{00000000-0005-0000-0000-000039000000}"/>
    <cellStyle name="Comma 3" xfId="59" xr:uid="{00000000-0005-0000-0000-00003A000000}"/>
    <cellStyle name="Comma0" xfId="60" xr:uid="{00000000-0005-0000-0000-00003B000000}"/>
    <cellStyle name="Currency" xfId="61" builtinId="4"/>
    <cellStyle name="Currency 2" xfId="62" xr:uid="{00000000-0005-0000-0000-00003D000000}"/>
    <cellStyle name="Currency 2 2" xfId="63" xr:uid="{00000000-0005-0000-0000-00003E000000}"/>
    <cellStyle name="Currency 2 3" xfId="64" xr:uid="{00000000-0005-0000-0000-00003F000000}"/>
    <cellStyle name="Currency 3" xfId="65" xr:uid="{00000000-0005-0000-0000-000040000000}"/>
    <cellStyle name="Currency 4" xfId="66" xr:uid="{00000000-0005-0000-0000-000041000000}"/>
    <cellStyle name="Currency 5" xfId="67" xr:uid="{00000000-0005-0000-0000-000042000000}"/>
    <cellStyle name="Currency0" xfId="68" xr:uid="{00000000-0005-0000-0000-000043000000}"/>
    <cellStyle name="Date" xfId="69" xr:uid="{00000000-0005-0000-0000-000044000000}"/>
    <cellStyle name="Explanatory Text" xfId="70" builtinId="53" customBuiltin="1"/>
    <cellStyle name="Explanatory Text 2" xfId="71" xr:uid="{00000000-0005-0000-0000-000046000000}"/>
    <cellStyle name="F2" xfId="72" xr:uid="{00000000-0005-0000-0000-000047000000}"/>
    <cellStyle name="F3" xfId="73" xr:uid="{00000000-0005-0000-0000-000048000000}"/>
    <cellStyle name="F4" xfId="74" xr:uid="{00000000-0005-0000-0000-000049000000}"/>
    <cellStyle name="F5" xfId="75" xr:uid="{00000000-0005-0000-0000-00004A000000}"/>
    <cellStyle name="F6" xfId="76" xr:uid="{00000000-0005-0000-0000-00004B000000}"/>
    <cellStyle name="F7" xfId="77" xr:uid="{00000000-0005-0000-0000-00004C000000}"/>
    <cellStyle name="F8" xfId="78" xr:uid="{00000000-0005-0000-0000-00004D000000}"/>
    <cellStyle name="Fixed" xfId="79" xr:uid="{00000000-0005-0000-0000-00004E000000}"/>
    <cellStyle name="Good" xfId="80" builtinId="26" customBuiltin="1"/>
    <cellStyle name="Good 2" xfId="81" xr:uid="{00000000-0005-0000-0000-000050000000}"/>
    <cellStyle name="Heading 1" xfId="82" builtinId="16" customBuiltin="1"/>
    <cellStyle name="Heading 1 2" xfId="83" xr:uid="{00000000-0005-0000-0000-000052000000}"/>
    <cellStyle name="Heading 2" xfId="84" builtinId="17" customBuiltin="1"/>
    <cellStyle name="Heading 2 2" xfId="85" xr:uid="{00000000-0005-0000-0000-000054000000}"/>
    <cellStyle name="Heading 3" xfId="86" builtinId="18" customBuiltin="1"/>
    <cellStyle name="Heading 3 2" xfId="87" xr:uid="{00000000-0005-0000-0000-000056000000}"/>
    <cellStyle name="Heading 4" xfId="88" builtinId="19" customBuiltin="1"/>
    <cellStyle name="Heading 4 2" xfId="89" xr:uid="{00000000-0005-0000-0000-000058000000}"/>
    <cellStyle name="Input" xfId="90" builtinId="20" customBuiltin="1"/>
    <cellStyle name="Input 2" xfId="91" xr:uid="{00000000-0005-0000-0000-00005A000000}"/>
    <cellStyle name="Light Shade" xfId="92" xr:uid="{00000000-0005-0000-0000-00005B000000}"/>
    <cellStyle name="Linked Cell" xfId="93" builtinId="24" customBuiltin="1"/>
    <cellStyle name="Linked Cell 2" xfId="94" xr:uid="{00000000-0005-0000-0000-00005D000000}"/>
    <cellStyle name="LockedCellRight" xfId="95" xr:uid="{00000000-0005-0000-0000-00005E000000}"/>
    <cellStyle name="Neutral" xfId="96" builtinId="28" customBuiltin="1"/>
    <cellStyle name="Neutral 2" xfId="97" xr:uid="{00000000-0005-0000-0000-000060000000}"/>
    <cellStyle name="Normal" xfId="0" builtinId="0"/>
    <cellStyle name="Normal 10" xfId="98" xr:uid="{00000000-0005-0000-0000-000062000000}"/>
    <cellStyle name="Normal 11" xfId="99" xr:uid="{00000000-0005-0000-0000-000063000000}"/>
    <cellStyle name="Normal 12" xfId="100" xr:uid="{00000000-0005-0000-0000-000064000000}"/>
    <cellStyle name="Normal 13" xfId="101" xr:uid="{00000000-0005-0000-0000-000065000000}"/>
    <cellStyle name="Normal 14" xfId="102" xr:uid="{00000000-0005-0000-0000-000066000000}"/>
    <cellStyle name="Normal 15" xfId="145" xr:uid="{0B574D31-BF59-4347-9D64-7A587BE9C084}"/>
    <cellStyle name="Normal 16" xfId="146" xr:uid="{1FFF620E-11BB-46AE-97AE-4566E8D8643F}"/>
    <cellStyle name="Normal 2" xfId="103" xr:uid="{00000000-0005-0000-0000-000067000000}"/>
    <cellStyle name="Normal 2 2" xfId="104" xr:uid="{00000000-0005-0000-0000-000068000000}"/>
    <cellStyle name="Normal 2 3" xfId="105" xr:uid="{00000000-0005-0000-0000-000069000000}"/>
    <cellStyle name="Normal 3" xfId="106" xr:uid="{00000000-0005-0000-0000-00006A000000}"/>
    <cellStyle name="Normal 3 2" xfId="107" xr:uid="{00000000-0005-0000-0000-00006B000000}"/>
    <cellStyle name="Normal 4" xfId="108" xr:uid="{00000000-0005-0000-0000-00006C000000}"/>
    <cellStyle name="Normal 4 2" xfId="109" xr:uid="{00000000-0005-0000-0000-00006D000000}"/>
    <cellStyle name="Normal 5" xfId="110" xr:uid="{00000000-0005-0000-0000-00006E000000}"/>
    <cellStyle name="Normal 5 2" xfId="111" xr:uid="{00000000-0005-0000-0000-00006F000000}"/>
    <cellStyle name="Normal 5 2 2" xfId="112" xr:uid="{00000000-0005-0000-0000-000070000000}"/>
    <cellStyle name="Normal 6" xfId="113" xr:uid="{00000000-0005-0000-0000-000071000000}"/>
    <cellStyle name="Normal 6 2" xfId="114" xr:uid="{00000000-0005-0000-0000-000072000000}"/>
    <cellStyle name="Normal 6 2 2" xfId="115" xr:uid="{00000000-0005-0000-0000-000073000000}"/>
    <cellStyle name="Normal 7" xfId="116" xr:uid="{00000000-0005-0000-0000-000074000000}"/>
    <cellStyle name="Normal 8" xfId="117" xr:uid="{00000000-0005-0000-0000-000075000000}"/>
    <cellStyle name="Normal 9" xfId="118" xr:uid="{00000000-0005-0000-0000-000076000000}"/>
    <cellStyle name="Normal_03mc-111 - Bartells Industrial, Gresham, Jan-03" xfId="148" xr:uid="{8D73D4E8-3A12-4CEE-B227-6AC46220827D}"/>
    <cellStyle name="Normal_04mc-142 - Proposed Wytek Controls Warehouse, Tualatin, April-04" xfId="119" xr:uid="{00000000-0005-0000-0000-000078000000}"/>
    <cellStyle name="Normal_09mc-102 - Gresham RV Ctr, Gresham, Jan-09" xfId="120" xr:uid="{00000000-0005-0000-0000-000079000000}"/>
    <cellStyle name="Normal_98MC-120 - DeMarini Warehouse, Hillsboro, Apr-98.xlw" xfId="121" xr:uid="{00000000-0005-0000-0000-00007A000000}"/>
    <cellStyle name="Normal_Cost Approach" xfId="122" xr:uid="{00000000-0005-0000-0000-00007C000000}"/>
    <cellStyle name="Normal_INCOME" xfId="147" xr:uid="{F6E013D0-AC60-412A-B428-7DCE189D4A44}"/>
    <cellStyle name="Normal_Income Approach" xfId="123" xr:uid="{00000000-0005-0000-0000-00007D000000}"/>
    <cellStyle name="Note" xfId="124" builtinId="10" customBuiltin="1"/>
    <cellStyle name="Note 2" xfId="125" xr:uid="{00000000-0005-0000-0000-000082000000}"/>
    <cellStyle name="Output" xfId="126" builtinId="21" customBuiltin="1"/>
    <cellStyle name="Output 2" xfId="127" xr:uid="{00000000-0005-0000-0000-000084000000}"/>
    <cellStyle name="Percent" xfId="128" builtinId="5"/>
    <cellStyle name="Percent 2" xfId="129" xr:uid="{00000000-0005-0000-0000-000086000000}"/>
    <cellStyle name="Percent 2 2" xfId="130" xr:uid="{00000000-0005-0000-0000-000087000000}"/>
    <cellStyle name="Percent 2 2 2" xfId="131" xr:uid="{00000000-0005-0000-0000-000088000000}"/>
    <cellStyle name="Percent 2 3" xfId="132" xr:uid="{00000000-0005-0000-0000-000089000000}"/>
    <cellStyle name="Percent 3" xfId="133" xr:uid="{00000000-0005-0000-0000-00008A000000}"/>
    <cellStyle name="Percent 3 2" xfId="134" xr:uid="{00000000-0005-0000-0000-00008B000000}"/>
    <cellStyle name="Percent 4" xfId="135" xr:uid="{00000000-0005-0000-0000-00008C000000}"/>
    <cellStyle name="Percent 5" xfId="136" xr:uid="{00000000-0005-0000-0000-00008D000000}"/>
    <cellStyle name="Spreadsheet" xfId="137" xr:uid="{00000000-0005-0000-0000-00008E000000}"/>
    <cellStyle name="Title" xfId="138" builtinId="15" customBuiltin="1"/>
    <cellStyle name="Title 2" xfId="139" xr:uid="{00000000-0005-0000-0000-000090000000}"/>
    <cellStyle name="Total" xfId="140" builtinId="25" customBuiltin="1"/>
    <cellStyle name="Total 2" xfId="141" xr:uid="{00000000-0005-0000-0000-000092000000}"/>
    <cellStyle name="Total Bold" xfId="142" xr:uid="{00000000-0005-0000-0000-000093000000}"/>
    <cellStyle name="Warning Text" xfId="143" builtinId="11" customBuiltin="1"/>
    <cellStyle name="Warning Text 2" xfId="144" xr:uid="{00000000-0005-0000-0000-000095000000}"/>
  </cellStyles>
  <dxfs count="0"/>
  <tableStyles count="0" defaultTableStyle="TableStyleMedium2" defaultPivotStyle="PivotStyleLight16"/>
  <colors>
    <mruColors>
      <color rgb="FF1E4959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zoomScale="90" zoomScaleNormal="90" workbookViewId="0">
      <selection activeCell="F9" sqref="F9"/>
    </sheetView>
  </sheetViews>
  <sheetFormatPr defaultColWidth="9.109375" defaultRowHeight="13.8"/>
  <cols>
    <col min="1" max="1" width="4.5546875" style="163" customWidth="1"/>
    <col min="2" max="2" width="11.33203125" style="163" customWidth="1"/>
    <col min="3" max="3" width="11.88671875" style="163" customWidth="1"/>
    <col min="4" max="4" width="21.88671875" style="163" customWidth="1"/>
    <col min="5" max="5" width="2" style="163" customWidth="1"/>
    <col min="6" max="6" width="24.109375" style="163" customWidth="1"/>
    <col min="7" max="7" width="6.88671875" style="163" customWidth="1"/>
    <col min="8" max="8" width="23.109375" style="163" customWidth="1"/>
    <col min="9" max="9" width="24.44140625" style="163" customWidth="1"/>
    <col min="10" max="10" width="2.88671875" style="163" customWidth="1"/>
    <col min="11" max="11" width="13.33203125" style="164" customWidth="1"/>
    <col min="12" max="12" width="7.109375" style="164" customWidth="1"/>
    <col min="13" max="13" width="12.109375" style="164" customWidth="1"/>
    <col min="14" max="14" width="17.44140625" style="164" customWidth="1"/>
    <col min="15" max="16384" width="9.109375" style="164"/>
  </cols>
  <sheetData>
    <row r="1" spans="1:13" ht="15.6">
      <c r="A1" s="162"/>
    </row>
    <row r="2" spans="1:13" ht="18">
      <c r="A2" s="468" t="s">
        <v>3</v>
      </c>
      <c r="B2" s="469"/>
      <c r="C2" s="469"/>
      <c r="D2" s="469"/>
      <c r="E2" s="469"/>
      <c r="F2" s="469"/>
      <c r="G2" s="469"/>
      <c r="H2" s="469"/>
      <c r="I2" s="469"/>
    </row>
    <row r="3" spans="1:13" ht="8.25" customHeight="1" thickBot="1">
      <c r="A3" s="165"/>
      <c r="B3" s="166"/>
      <c r="C3" s="166"/>
      <c r="D3" s="166"/>
      <c r="E3" s="166"/>
      <c r="F3" s="166"/>
      <c r="G3" s="166"/>
      <c r="H3" s="166"/>
      <c r="I3" s="166"/>
    </row>
    <row r="4" spans="1:13" ht="16.5" customHeight="1" thickBot="1">
      <c r="A4" s="167" t="s">
        <v>4</v>
      </c>
      <c r="B4" s="168"/>
      <c r="C4" s="168"/>
      <c r="D4" s="168"/>
      <c r="E4" s="168"/>
      <c r="F4" s="168"/>
      <c r="G4" s="168"/>
      <c r="H4" s="168"/>
      <c r="I4" s="169"/>
    </row>
    <row r="5" spans="1:13">
      <c r="A5" s="170"/>
      <c r="B5" s="447" t="s">
        <v>191</v>
      </c>
      <c r="C5" s="171"/>
      <c r="D5" s="292"/>
      <c r="E5" s="164"/>
      <c r="F5" s="448" t="s">
        <v>116</v>
      </c>
      <c r="G5" s="449"/>
      <c r="H5" s="450" t="s">
        <v>117</v>
      </c>
      <c r="I5" s="450" t="s">
        <v>123</v>
      </c>
    </row>
    <row r="6" spans="1:13" ht="14.4" thickBot="1">
      <c r="A6" s="170"/>
      <c r="B6" s="447" t="s">
        <v>5</v>
      </c>
      <c r="C6" s="171"/>
      <c r="D6" s="173"/>
      <c r="E6" s="164"/>
      <c r="F6" s="451" t="s">
        <v>121</v>
      </c>
      <c r="G6" s="452"/>
      <c r="H6" s="453" t="s">
        <v>94</v>
      </c>
      <c r="I6" s="453" t="s">
        <v>94</v>
      </c>
    </row>
    <row r="7" spans="1:13">
      <c r="A7" s="170"/>
      <c r="B7" s="447" t="s">
        <v>6</v>
      </c>
      <c r="C7" s="171"/>
      <c r="D7" s="173"/>
      <c r="E7" s="164"/>
      <c r="F7" s="451" t="s">
        <v>126</v>
      </c>
      <c r="G7" s="452"/>
      <c r="H7" s="451" t="s">
        <v>126</v>
      </c>
      <c r="I7" s="454" t="s">
        <v>126</v>
      </c>
      <c r="K7" s="422"/>
    </row>
    <row r="8" spans="1:13">
      <c r="A8" s="170"/>
      <c r="B8" s="447" t="s">
        <v>150</v>
      </c>
      <c r="C8" s="171"/>
      <c r="D8" s="173"/>
      <c r="E8" s="164"/>
      <c r="F8" s="451" t="s">
        <v>2</v>
      </c>
      <c r="G8" s="452"/>
      <c r="H8" s="451" t="s">
        <v>2</v>
      </c>
      <c r="I8" s="454" t="s">
        <v>2</v>
      </c>
      <c r="K8" s="423" t="s">
        <v>182</v>
      </c>
    </row>
    <row r="9" spans="1:13">
      <c r="A9" s="170"/>
      <c r="B9" s="447" t="s">
        <v>7</v>
      </c>
      <c r="C9" s="171"/>
      <c r="D9" s="173"/>
      <c r="E9" s="164"/>
      <c r="F9" s="460" t="s">
        <v>192</v>
      </c>
      <c r="G9" s="164"/>
      <c r="H9" s="461" t="s">
        <v>193</v>
      </c>
      <c r="I9" s="461" t="s">
        <v>193</v>
      </c>
      <c r="K9" s="427"/>
      <c r="M9" s="327"/>
    </row>
    <row r="10" spans="1:13">
      <c r="A10" s="170"/>
      <c r="B10" s="447" t="s">
        <v>148</v>
      </c>
      <c r="C10" s="171"/>
      <c r="D10" s="293"/>
      <c r="E10" s="164"/>
      <c r="F10" s="455">
        <v>7141</v>
      </c>
      <c r="G10" s="452"/>
      <c r="H10" s="456">
        <v>8801</v>
      </c>
      <c r="I10" s="456">
        <v>26033</v>
      </c>
      <c r="K10" s="428">
        <f>SUM(F10:I10)</f>
        <v>41975</v>
      </c>
      <c r="M10" s="329"/>
    </row>
    <row r="11" spans="1:13">
      <c r="A11" s="170"/>
      <c r="B11" s="447" t="s">
        <v>149</v>
      </c>
      <c r="C11" s="171"/>
      <c r="D11" s="293"/>
      <c r="E11" s="164"/>
      <c r="F11" s="457">
        <v>5875</v>
      </c>
      <c r="G11" s="458"/>
      <c r="H11" s="457">
        <v>8801</v>
      </c>
      <c r="I11" s="459">
        <v>22972</v>
      </c>
      <c r="K11" s="423" t="s">
        <v>183</v>
      </c>
      <c r="M11" s="329"/>
    </row>
    <row r="12" spans="1:13">
      <c r="A12" s="170"/>
      <c r="B12" s="447" t="s">
        <v>151</v>
      </c>
      <c r="C12" s="171"/>
      <c r="D12" s="293"/>
      <c r="E12" s="164"/>
      <c r="F12" s="455">
        <f>F10-F11</f>
        <v>1266</v>
      </c>
      <c r="G12" s="452"/>
      <c r="H12" s="455">
        <f>H10-H11</f>
        <v>0</v>
      </c>
      <c r="I12" s="456">
        <f>I10-I11</f>
        <v>3061</v>
      </c>
      <c r="K12" s="428">
        <f>SUM(F11:I11)</f>
        <v>37648</v>
      </c>
      <c r="M12" s="329"/>
    </row>
    <row r="13" spans="1:13">
      <c r="A13" s="170"/>
      <c r="B13" s="447" t="s">
        <v>152</v>
      </c>
      <c r="C13" s="171"/>
      <c r="D13" s="173"/>
      <c r="E13" s="164"/>
      <c r="F13" s="451" t="s">
        <v>173</v>
      </c>
      <c r="G13" s="452"/>
      <c r="H13" s="454" t="s">
        <v>173</v>
      </c>
      <c r="I13" s="454" t="s">
        <v>174</v>
      </c>
      <c r="M13" s="329"/>
    </row>
    <row r="14" spans="1:13">
      <c r="A14" s="170"/>
      <c r="B14" s="447" t="s">
        <v>9</v>
      </c>
      <c r="C14" s="171"/>
      <c r="D14" s="173"/>
      <c r="E14" s="164"/>
      <c r="F14" s="451" t="s">
        <v>184</v>
      </c>
      <c r="G14" s="452"/>
      <c r="H14" s="451" t="s">
        <v>184</v>
      </c>
      <c r="I14" s="454" t="s">
        <v>184</v>
      </c>
    </row>
    <row r="15" spans="1:13" ht="3" customHeight="1" thickBot="1">
      <c r="A15" s="170"/>
      <c r="B15" s="164"/>
      <c r="C15" s="171"/>
      <c r="D15" s="376"/>
      <c r="E15" s="224"/>
      <c r="F15" s="294"/>
      <c r="G15" s="174"/>
      <c r="H15" s="408"/>
      <c r="I15" s="172"/>
    </row>
    <row r="16" spans="1:13" ht="15.75" customHeight="1" thickBot="1">
      <c r="A16" s="167" t="s">
        <v>109</v>
      </c>
      <c r="B16" s="175"/>
      <c r="C16" s="175"/>
      <c r="D16" s="176"/>
      <c r="E16" s="176"/>
      <c r="F16" s="176"/>
      <c r="G16" s="176"/>
      <c r="H16" s="176"/>
      <c r="I16" s="177"/>
    </row>
    <row r="17" spans="1:14" ht="18" customHeight="1">
      <c r="A17" s="178" t="s">
        <v>118</v>
      </c>
      <c r="B17" s="179"/>
      <c r="C17" s="179"/>
      <c r="D17" s="180"/>
      <c r="E17" s="180"/>
      <c r="F17" s="180"/>
      <c r="G17" s="180"/>
      <c r="H17" s="180"/>
      <c r="I17" s="181"/>
    </row>
    <row r="18" spans="1:14">
      <c r="A18" s="182"/>
      <c r="B18" s="183" t="s">
        <v>10</v>
      </c>
      <c r="C18" s="184"/>
      <c r="D18" s="185"/>
      <c r="E18" s="185"/>
      <c r="F18" s="185"/>
      <c r="G18" s="185"/>
      <c r="H18" s="186">
        <v>134</v>
      </c>
      <c r="I18" s="187"/>
    </row>
    <row r="19" spans="1:14">
      <c r="A19" s="182"/>
      <c r="B19" s="183" t="s">
        <v>155</v>
      </c>
      <c r="C19" s="184"/>
      <c r="D19" s="185"/>
      <c r="E19" s="185"/>
      <c r="F19" s="377">
        <f>F12</f>
        <v>1266</v>
      </c>
      <c r="G19" s="185">
        <f>(30.25+54)/2</f>
        <v>42.125</v>
      </c>
      <c r="H19" s="186">
        <f>((G19)*F19)/F11</f>
        <v>9.0774893617021277</v>
      </c>
      <c r="I19" s="187"/>
    </row>
    <row r="20" spans="1:14">
      <c r="A20" s="182"/>
      <c r="B20" s="183" t="s">
        <v>156</v>
      </c>
      <c r="C20" s="184"/>
      <c r="D20" s="185"/>
      <c r="E20" s="185"/>
      <c r="F20" s="377">
        <v>0</v>
      </c>
      <c r="G20" s="185">
        <f>(30.25+54)/2</f>
        <v>42.125</v>
      </c>
      <c r="H20" s="186">
        <f>((G20)*F20)/F11</f>
        <v>0</v>
      </c>
      <c r="I20" s="187"/>
    </row>
    <row r="21" spans="1:14">
      <c r="A21" s="182"/>
      <c r="B21" s="183" t="s">
        <v>157</v>
      </c>
      <c r="C21" s="184"/>
      <c r="D21" s="185"/>
      <c r="E21" s="185"/>
      <c r="F21" s="377">
        <v>0</v>
      </c>
      <c r="G21" s="185">
        <f>(30.25+54)/2</f>
        <v>42.125</v>
      </c>
      <c r="H21" s="186">
        <f>((G21)*F21)/F11</f>
        <v>0</v>
      </c>
      <c r="I21" s="187"/>
    </row>
    <row r="22" spans="1:14">
      <c r="A22" s="182"/>
      <c r="B22" s="183" t="s">
        <v>158</v>
      </c>
      <c r="C22" s="184"/>
      <c r="D22" s="185"/>
      <c r="E22" s="185"/>
      <c r="F22" s="185"/>
      <c r="G22" s="185"/>
      <c r="H22" s="462">
        <v>0</v>
      </c>
      <c r="I22" s="187"/>
    </row>
    <row r="23" spans="1:14">
      <c r="A23" s="182"/>
      <c r="B23" s="183" t="s">
        <v>97</v>
      </c>
      <c r="C23" s="184"/>
      <c r="D23" s="185"/>
      <c r="E23" s="185"/>
      <c r="F23" s="185"/>
      <c r="G23" s="185"/>
      <c r="H23" s="465">
        <f>SUM(H18:H22)</f>
        <v>143.07748936170213</v>
      </c>
      <c r="I23" s="187"/>
    </row>
    <row r="24" spans="1:14">
      <c r="A24" s="170"/>
      <c r="B24" s="164" t="s">
        <v>99</v>
      </c>
      <c r="C24" s="184"/>
      <c r="D24" s="185"/>
      <c r="E24" s="185"/>
      <c r="F24" s="185"/>
      <c r="G24" s="185"/>
      <c r="H24" s="464">
        <f>F11</f>
        <v>5875</v>
      </c>
      <c r="I24" s="187"/>
    </row>
    <row r="25" spans="1:14" ht="14.4" thickBot="1">
      <c r="A25" s="170"/>
      <c r="B25" s="164" t="s">
        <v>12</v>
      </c>
      <c r="C25" s="184"/>
      <c r="D25" s="185"/>
      <c r="E25" s="185"/>
      <c r="F25" s="185"/>
      <c r="G25" s="185"/>
      <c r="H25" s="466"/>
      <c r="I25" s="189">
        <f>+H24*H23</f>
        <v>840580.25</v>
      </c>
    </row>
    <row r="26" spans="1:14" ht="14.4">
      <c r="A26" s="170"/>
      <c r="B26" s="164" t="s">
        <v>163</v>
      </c>
      <c r="C26" s="184"/>
      <c r="D26" s="185"/>
      <c r="E26" s="185"/>
      <c r="F26" s="185"/>
      <c r="G26" s="185"/>
      <c r="H26" s="164"/>
      <c r="I26" s="190">
        <v>1</v>
      </c>
      <c r="K26" s="323"/>
      <c r="L26" s="324"/>
      <c r="M26" s="429" t="s">
        <v>143</v>
      </c>
      <c r="N26" s="325"/>
    </row>
    <row r="27" spans="1:14">
      <c r="A27" s="170"/>
      <c r="B27" s="164" t="s">
        <v>164</v>
      </c>
      <c r="C27" s="184"/>
      <c r="D27" s="185"/>
      <c r="E27" s="185"/>
      <c r="F27" s="185"/>
      <c r="G27" s="185"/>
      <c r="H27" s="164"/>
      <c r="I27" s="191">
        <v>1</v>
      </c>
      <c r="K27" s="330" t="s">
        <v>34</v>
      </c>
      <c r="L27" s="331"/>
      <c r="M27" s="331" t="s">
        <v>73</v>
      </c>
      <c r="N27" s="332" t="s">
        <v>144</v>
      </c>
    </row>
    <row r="28" spans="1:14">
      <c r="A28" s="170"/>
      <c r="B28" s="164" t="s">
        <v>13</v>
      </c>
      <c r="C28" s="192"/>
      <c r="D28" s="193"/>
      <c r="E28" s="193"/>
      <c r="F28" s="193"/>
      <c r="G28" s="193"/>
      <c r="H28" s="164"/>
      <c r="I28" s="190">
        <v>1</v>
      </c>
      <c r="K28" s="326"/>
      <c r="L28" s="327"/>
      <c r="M28" s="327"/>
      <c r="N28" s="328"/>
    </row>
    <row r="29" spans="1:14">
      <c r="A29" s="170"/>
      <c r="B29" s="164" t="s">
        <v>14</v>
      </c>
      <c r="C29" s="192"/>
      <c r="D29" s="193"/>
      <c r="E29" s="193"/>
      <c r="F29" s="193"/>
      <c r="G29" s="193"/>
      <c r="H29" s="164"/>
      <c r="I29" s="194">
        <v>1</v>
      </c>
      <c r="K29" s="326"/>
      <c r="L29" s="327"/>
      <c r="M29" s="327"/>
      <c r="N29" s="328"/>
    </row>
    <row r="30" spans="1:14">
      <c r="A30" s="195"/>
      <c r="B30" s="196" t="s">
        <v>98</v>
      </c>
      <c r="C30" s="197"/>
      <c r="D30" s="198"/>
      <c r="E30" s="198"/>
      <c r="F30" s="198"/>
      <c r="G30" s="199"/>
      <c r="H30" s="200">
        <f>I30/$F$10</f>
        <v>117.63058395182748</v>
      </c>
      <c r="I30" s="201">
        <f>MROUND(I25*I26*I27*I28*I29,5000)</f>
        <v>840000</v>
      </c>
      <c r="K30" s="333">
        <f>I30/$I$60</f>
        <v>0.25531914893617019</v>
      </c>
      <c r="L30" s="334"/>
      <c r="M30" s="335">
        <f>K30*$I$72</f>
        <v>35234.042553191488</v>
      </c>
      <c r="N30" s="336">
        <f>ROUND(M30+I30,-3)</f>
        <v>875000</v>
      </c>
    </row>
    <row r="31" spans="1:14" ht="18" customHeight="1">
      <c r="A31" s="178" t="s">
        <v>124</v>
      </c>
      <c r="B31" s="179"/>
      <c r="C31" s="179"/>
      <c r="D31" s="180"/>
      <c r="E31" s="180"/>
      <c r="F31" s="180"/>
      <c r="G31" s="180"/>
      <c r="H31" s="180"/>
      <c r="I31" s="204"/>
      <c r="K31" s="337"/>
      <c r="L31" s="338"/>
      <c r="M31" s="338"/>
      <c r="N31" s="339"/>
    </row>
    <row r="32" spans="1:14">
      <c r="A32" s="182"/>
      <c r="B32" s="183" t="s">
        <v>10</v>
      </c>
      <c r="C32" s="184"/>
      <c r="D32" s="185"/>
      <c r="E32" s="185"/>
      <c r="F32" s="185"/>
      <c r="G32" s="185"/>
      <c r="H32" s="186">
        <v>79.5</v>
      </c>
      <c r="I32" s="204"/>
      <c r="K32" s="337"/>
      <c r="L32" s="338"/>
      <c r="M32" s="338"/>
      <c r="N32" s="339"/>
    </row>
    <row r="33" spans="1:14">
      <c r="A33" s="182"/>
      <c r="B33" s="183" t="s">
        <v>165</v>
      </c>
      <c r="C33" s="184"/>
      <c r="D33" s="185"/>
      <c r="E33" s="185"/>
      <c r="F33" s="185"/>
      <c r="G33" s="185"/>
      <c r="H33" s="186" t="s">
        <v>122</v>
      </c>
      <c r="I33" s="204"/>
      <c r="K33" s="337"/>
      <c r="L33" s="338"/>
      <c r="M33" s="338"/>
      <c r="N33" s="339"/>
    </row>
    <row r="34" spans="1:14">
      <c r="A34" s="182"/>
      <c r="B34" s="183" t="s">
        <v>159</v>
      </c>
      <c r="C34" s="184"/>
      <c r="D34" s="185"/>
      <c r="E34" s="185"/>
      <c r="F34" s="377">
        <f>'Misc. Sheet'!N16</f>
        <v>431</v>
      </c>
      <c r="G34" s="185">
        <v>32.25</v>
      </c>
      <c r="H34" s="186">
        <f>(G34*F34)/MVS!H11</f>
        <v>1.579337575275537</v>
      </c>
      <c r="I34" s="204"/>
      <c r="K34" s="337"/>
      <c r="L34" s="338"/>
      <c r="M34" s="338"/>
      <c r="N34" s="339"/>
    </row>
    <row r="35" spans="1:14">
      <c r="A35" s="182"/>
      <c r="B35" s="183" t="s">
        <v>160</v>
      </c>
      <c r="C35" s="184"/>
      <c r="D35" s="185"/>
      <c r="E35" s="185"/>
      <c r="F35" s="377">
        <v>827</v>
      </c>
      <c r="G35" s="185">
        <v>21.75</v>
      </c>
      <c r="H35" s="186">
        <f>(G35*F35)/H11</f>
        <v>2.0437734348369503</v>
      </c>
      <c r="I35" s="204"/>
      <c r="K35" s="337"/>
      <c r="L35" s="338"/>
      <c r="M35" s="338"/>
      <c r="N35" s="339"/>
    </row>
    <row r="36" spans="1:14">
      <c r="A36" s="182"/>
      <c r="B36" s="183" t="s">
        <v>161</v>
      </c>
      <c r="C36" s="184"/>
      <c r="D36" s="185"/>
      <c r="E36" s="185"/>
      <c r="F36" s="377">
        <v>400</v>
      </c>
      <c r="G36" s="185">
        <v>15</v>
      </c>
      <c r="H36" s="186">
        <f>(G36*F36)/H11</f>
        <v>0.68174071128280878</v>
      </c>
      <c r="I36" s="204"/>
      <c r="K36" s="337"/>
      <c r="L36" s="338"/>
      <c r="M36" s="338"/>
      <c r="N36" s="339"/>
    </row>
    <row r="37" spans="1:14">
      <c r="A37" s="182"/>
      <c r="B37" s="183" t="s">
        <v>162</v>
      </c>
      <c r="C37" s="184"/>
      <c r="D37" s="185"/>
      <c r="E37" s="185"/>
      <c r="F37" s="377">
        <v>161</v>
      </c>
      <c r="G37" s="185">
        <v>25.5</v>
      </c>
      <c r="H37" s="467">
        <f>(G37*F37)/H11</f>
        <v>0.46648108169526192</v>
      </c>
      <c r="I37" s="204"/>
      <c r="K37" s="337"/>
      <c r="L37" s="338"/>
      <c r="M37" s="338"/>
      <c r="N37" s="339"/>
    </row>
    <row r="38" spans="1:14">
      <c r="A38" s="182"/>
      <c r="B38" s="183" t="s">
        <v>11</v>
      </c>
      <c r="C38" s="184"/>
      <c r="D38" s="185"/>
      <c r="E38" s="185"/>
      <c r="F38" s="185"/>
      <c r="G38" s="185"/>
      <c r="H38" s="465">
        <f>SUM(H32:H37)</f>
        <v>84.271332803090559</v>
      </c>
      <c r="I38" s="204"/>
      <c r="K38" s="337"/>
      <c r="L38" s="338"/>
      <c r="M38" s="338"/>
      <c r="N38" s="339"/>
    </row>
    <row r="39" spans="1:14">
      <c r="A39" s="170"/>
      <c r="B39" s="164" t="s">
        <v>99</v>
      </c>
      <c r="C39" s="184"/>
      <c r="D39" s="185"/>
      <c r="E39" s="185"/>
      <c r="F39" s="185"/>
      <c r="G39" s="185"/>
      <c r="H39" s="464">
        <f>H11</f>
        <v>8801</v>
      </c>
      <c r="I39" s="204"/>
      <c r="K39" s="337"/>
      <c r="L39" s="338"/>
      <c r="M39" s="338"/>
      <c r="N39" s="339"/>
    </row>
    <row r="40" spans="1:14">
      <c r="A40" s="170"/>
      <c r="B40" s="183" t="s">
        <v>120</v>
      </c>
      <c r="C40" s="184"/>
      <c r="D40" s="185"/>
      <c r="E40" s="185"/>
      <c r="F40" s="185"/>
      <c r="G40" s="185"/>
      <c r="H40" s="466"/>
      <c r="I40" s="205">
        <f>+H39*H38</f>
        <v>741672</v>
      </c>
      <c r="K40" s="337"/>
      <c r="L40" s="338"/>
      <c r="M40" s="338"/>
      <c r="N40" s="339"/>
    </row>
    <row r="41" spans="1:14">
      <c r="A41" s="170"/>
      <c r="B41" s="164" t="s">
        <v>163</v>
      </c>
      <c r="C41" s="184"/>
      <c r="D41" s="185"/>
      <c r="E41" s="185"/>
      <c r="F41" s="185"/>
      <c r="G41" s="185"/>
      <c r="H41" s="164"/>
      <c r="I41" s="190">
        <v>1</v>
      </c>
      <c r="K41" s="337"/>
      <c r="L41" s="338"/>
      <c r="M41" s="338"/>
      <c r="N41" s="339"/>
    </row>
    <row r="42" spans="1:14">
      <c r="A42" s="170"/>
      <c r="B42" s="164" t="s">
        <v>164</v>
      </c>
      <c r="C42" s="184"/>
      <c r="D42" s="185"/>
      <c r="E42" s="185"/>
      <c r="F42" s="185"/>
      <c r="G42" s="185"/>
      <c r="H42" s="164"/>
      <c r="I42" s="191">
        <v>1</v>
      </c>
      <c r="J42" s="206"/>
      <c r="K42" s="337"/>
      <c r="L42" s="338"/>
      <c r="M42" s="338"/>
      <c r="N42" s="339"/>
    </row>
    <row r="43" spans="1:14">
      <c r="A43" s="170"/>
      <c r="B43" s="164" t="s">
        <v>13</v>
      </c>
      <c r="C43" s="192"/>
      <c r="D43" s="193"/>
      <c r="E43" s="193"/>
      <c r="F43" s="193"/>
      <c r="G43" s="193"/>
      <c r="H43" s="164"/>
      <c r="I43" s="190">
        <v>1</v>
      </c>
      <c r="K43" s="337"/>
      <c r="L43" s="338"/>
      <c r="M43" s="338"/>
      <c r="N43" s="339"/>
    </row>
    <row r="44" spans="1:14">
      <c r="A44" s="170"/>
      <c r="B44" s="164" t="s">
        <v>14</v>
      </c>
      <c r="C44" s="192"/>
      <c r="D44" s="193"/>
      <c r="E44" s="193"/>
      <c r="F44" s="193"/>
      <c r="G44" s="193"/>
      <c r="H44" s="164"/>
      <c r="I44" s="194">
        <v>1</v>
      </c>
      <c r="K44" s="337"/>
      <c r="L44" s="338"/>
      <c r="M44" s="338"/>
      <c r="N44" s="339"/>
    </row>
    <row r="45" spans="1:14">
      <c r="A45" s="195"/>
      <c r="B45" s="196" t="s">
        <v>98</v>
      </c>
      <c r="C45" s="197"/>
      <c r="D45" s="198"/>
      <c r="E45" s="198"/>
      <c r="F45" s="198"/>
      <c r="G45" s="199"/>
      <c r="H45" s="200">
        <f>I45/$H$10</f>
        <v>84.081354391546412</v>
      </c>
      <c r="I45" s="201">
        <f>MROUND(I40*I41*I42*I43*I44,5000)</f>
        <v>740000</v>
      </c>
      <c r="K45" s="333">
        <f>I45/$I$60</f>
        <v>0.22492401215805471</v>
      </c>
      <c r="L45" s="334"/>
      <c r="M45" s="335">
        <f>K45*$I$72</f>
        <v>31039.513677811552</v>
      </c>
      <c r="N45" s="336">
        <f>ROUND(M45+I45,-3)</f>
        <v>771000</v>
      </c>
    </row>
    <row r="46" spans="1:14" ht="18" customHeight="1">
      <c r="A46" s="178" t="s">
        <v>127</v>
      </c>
      <c r="B46" s="179"/>
      <c r="C46" s="179"/>
      <c r="D46" s="180"/>
      <c r="E46" s="180"/>
      <c r="F46" s="180"/>
      <c r="G46" s="180"/>
      <c r="H46" s="180"/>
      <c r="I46" s="204"/>
      <c r="K46" s="337"/>
      <c r="L46" s="338"/>
      <c r="M46" s="338"/>
      <c r="N46" s="339"/>
    </row>
    <row r="47" spans="1:14">
      <c r="A47" s="182"/>
      <c r="B47" s="183" t="s">
        <v>153</v>
      </c>
      <c r="C47" s="184"/>
      <c r="D47" s="185"/>
      <c r="E47" s="185"/>
      <c r="F47" s="185"/>
      <c r="G47" s="185"/>
      <c r="H47" s="188">
        <v>66</v>
      </c>
      <c r="I47" s="204"/>
      <c r="K47" s="337"/>
      <c r="L47" s="338"/>
      <c r="M47" s="338"/>
      <c r="N47" s="339"/>
    </row>
    <row r="48" spans="1:14">
      <c r="A48" s="182"/>
      <c r="B48" s="183" t="s">
        <v>165</v>
      </c>
      <c r="C48" s="184"/>
      <c r="D48" s="185"/>
      <c r="E48" s="185"/>
      <c r="F48" s="185"/>
      <c r="G48" s="185"/>
      <c r="H48" s="188" t="s">
        <v>122</v>
      </c>
      <c r="I48" s="204"/>
      <c r="K48" s="337"/>
      <c r="L48" s="338"/>
      <c r="M48" s="338"/>
      <c r="N48" s="339"/>
    </row>
    <row r="49" spans="1:14">
      <c r="A49" s="182"/>
      <c r="B49" s="183" t="s">
        <v>166</v>
      </c>
      <c r="C49" s="184"/>
      <c r="D49" s="185"/>
      <c r="E49" s="185"/>
      <c r="F49" s="377">
        <f>'Misc. Sheet'!N22</f>
        <v>3898</v>
      </c>
      <c r="G49" s="185">
        <v>32.25</v>
      </c>
      <c r="H49" s="188">
        <f>(32.25*F49)/I11</f>
        <v>5.4723358871669863</v>
      </c>
      <c r="I49" s="204"/>
      <c r="K49" s="337"/>
      <c r="L49" s="338"/>
      <c r="M49" s="338"/>
      <c r="N49" s="339"/>
    </row>
    <row r="50" spans="1:14">
      <c r="A50" s="182"/>
      <c r="B50" s="183" t="s">
        <v>167</v>
      </c>
      <c r="C50" s="184"/>
      <c r="D50" s="185"/>
      <c r="E50" s="185"/>
      <c r="F50" s="377">
        <f>I12</f>
        <v>3061</v>
      </c>
      <c r="G50" s="185">
        <f>(32+57.5)/2</f>
        <v>44.75</v>
      </c>
      <c r="H50" s="463">
        <f>((G50)/2*F50)/I11</f>
        <v>2.9814502437750305</v>
      </c>
      <c r="I50" s="204"/>
      <c r="K50" s="337"/>
      <c r="L50" s="338"/>
      <c r="M50" s="338"/>
      <c r="N50" s="339"/>
    </row>
    <row r="51" spans="1:14">
      <c r="A51" s="182"/>
      <c r="B51" s="183" t="s">
        <v>11</v>
      </c>
      <c r="C51" s="184"/>
      <c r="D51" s="185"/>
      <c r="E51" s="185"/>
      <c r="F51" s="185"/>
      <c r="G51" s="185"/>
      <c r="H51" s="465">
        <f>SUM(H47:H50)</f>
        <v>74.453786130942021</v>
      </c>
      <c r="I51" s="204"/>
      <c r="K51" s="337"/>
      <c r="L51" s="338"/>
      <c r="M51" s="338"/>
      <c r="N51" s="339"/>
    </row>
    <row r="52" spans="1:14">
      <c r="A52" s="170"/>
      <c r="B52" s="164" t="s">
        <v>154</v>
      </c>
      <c r="C52" s="184"/>
      <c r="D52" s="185"/>
      <c r="E52" s="185"/>
      <c r="F52" s="185"/>
      <c r="G52" s="185"/>
      <c r="H52" s="464">
        <f>I11</f>
        <v>22972</v>
      </c>
      <c r="I52" s="204"/>
      <c r="K52" s="337"/>
      <c r="L52" s="338"/>
      <c r="M52" s="338"/>
      <c r="N52" s="339"/>
    </row>
    <row r="53" spans="1:14">
      <c r="A53" s="170"/>
      <c r="B53" s="183" t="s">
        <v>119</v>
      </c>
      <c r="C53" s="184"/>
      <c r="D53" s="185"/>
      <c r="E53" s="185"/>
      <c r="F53" s="185"/>
      <c r="G53" s="185"/>
      <c r="H53" s="466"/>
      <c r="I53" s="205">
        <f>+H52*H51</f>
        <v>1710352.375</v>
      </c>
      <c r="K53" s="337"/>
      <c r="L53" s="338"/>
      <c r="M53" s="338"/>
      <c r="N53" s="339"/>
    </row>
    <row r="54" spans="1:14">
      <c r="A54" s="170"/>
      <c r="B54" s="164" t="s">
        <v>163</v>
      </c>
      <c r="C54" s="184"/>
      <c r="D54" s="185"/>
      <c r="E54" s="185"/>
      <c r="F54" s="185"/>
      <c r="G54" s="185"/>
      <c r="H54" s="164"/>
      <c r="I54" s="190">
        <v>1</v>
      </c>
      <c r="K54" s="337"/>
      <c r="L54" s="338"/>
      <c r="M54" s="338"/>
      <c r="N54" s="339"/>
    </row>
    <row r="55" spans="1:14">
      <c r="A55" s="170"/>
      <c r="B55" s="164" t="s">
        <v>164</v>
      </c>
      <c r="C55" s="184"/>
      <c r="D55" s="185"/>
      <c r="E55" s="185"/>
      <c r="F55" s="185"/>
      <c r="G55" s="185"/>
      <c r="H55" s="164"/>
      <c r="I55" s="191">
        <v>1</v>
      </c>
      <c r="K55" s="337"/>
      <c r="L55" s="338"/>
      <c r="M55" s="338"/>
      <c r="N55" s="339"/>
    </row>
    <row r="56" spans="1:14">
      <c r="A56" s="170"/>
      <c r="B56" s="164" t="s">
        <v>13</v>
      </c>
      <c r="C56" s="192"/>
      <c r="D56" s="193"/>
      <c r="E56" s="193"/>
      <c r="F56" s="193"/>
      <c r="G56" s="193"/>
      <c r="H56" s="164"/>
      <c r="I56" s="190">
        <v>1</v>
      </c>
      <c r="K56" s="337"/>
      <c r="L56" s="338"/>
      <c r="M56" s="338"/>
      <c r="N56" s="339"/>
    </row>
    <row r="57" spans="1:14">
      <c r="A57" s="170"/>
      <c r="B57" s="164" t="s">
        <v>14</v>
      </c>
      <c r="C57" s="192"/>
      <c r="D57" s="193"/>
      <c r="E57" s="193"/>
      <c r="F57" s="193"/>
      <c r="G57" s="193"/>
      <c r="H57" s="164"/>
      <c r="I57" s="194">
        <v>1</v>
      </c>
      <c r="K57" s="337"/>
      <c r="L57" s="338"/>
      <c r="M57" s="338"/>
      <c r="N57" s="339"/>
    </row>
    <row r="58" spans="1:14">
      <c r="A58" s="195"/>
      <c r="B58" s="196" t="s">
        <v>98</v>
      </c>
      <c r="C58" s="197"/>
      <c r="D58" s="198"/>
      <c r="E58" s="198"/>
      <c r="F58" s="198"/>
      <c r="G58" s="199"/>
      <c r="H58" s="200">
        <f>I58/$H$10</f>
        <v>194.29610271560051</v>
      </c>
      <c r="I58" s="201">
        <f>MROUND(I53*I54*I55*I56*I57,5000)</f>
        <v>1710000</v>
      </c>
      <c r="K58" s="333">
        <f>I58/$I$60</f>
        <v>0.51975683890577506</v>
      </c>
      <c r="L58" s="334"/>
      <c r="M58" s="335">
        <f>K58*$I$72</f>
        <v>71726.443768996964</v>
      </c>
      <c r="N58" s="336">
        <f>ROUND(M58+I58,-3)</f>
        <v>1782000</v>
      </c>
    </row>
    <row r="59" spans="1:14">
      <c r="A59" s="170"/>
      <c r="B59" s="207"/>
      <c r="C59" s="184"/>
      <c r="D59" s="185"/>
      <c r="E59" s="185"/>
      <c r="F59" s="185"/>
      <c r="G59" s="185"/>
      <c r="H59" s="188"/>
      <c r="I59" s="208"/>
      <c r="K59" s="337"/>
      <c r="L59" s="338"/>
      <c r="M59" s="338"/>
      <c r="N59" s="339"/>
    </row>
    <row r="60" spans="1:14">
      <c r="A60" s="182" t="s">
        <v>66</v>
      </c>
      <c r="B60" s="164"/>
      <c r="C60" s="184"/>
      <c r="D60" s="209">
        <f>+K10</f>
        <v>41975</v>
      </c>
      <c r="E60" s="210" t="s">
        <v>84</v>
      </c>
      <c r="F60" s="185"/>
      <c r="G60" s="185"/>
      <c r="H60" s="200">
        <f>I60/K10</f>
        <v>78.379988088147712</v>
      </c>
      <c r="I60" s="208">
        <f>SUM(I30,I45,I58)</f>
        <v>3290000</v>
      </c>
      <c r="K60" s="337"/>
      <c r="L60" s="338"/>
      <c r="M60" s="338"/>
      <c r="N60" s="339"/>
    </row>
    <row r="61" spans="1:14" ht="6" customHeight="1" thickBot="1">
      <c r="A61" s="211"/>
      <c r="B61" s="212"/>
      <c r="C61" s="212"/>
      <c r="D61" s="213"/>
      <c r="E61" s="213"/>
      <c r="F61" s="213"/>
      <c r="G61" s="213"/>
      <c r="H61" s="213"/>
      <c r="I61" s="214"/>
      <c r="K61" s="340"/>
      <c r="L61" s="213"/>
      <c r="M61" s="213"/>
      <c r="N61" s="341"/>
    </row>
    <row r="62" spans="1:14" ht="16.5" customHeight="1" thickBot="1">
      <c r="A62" s="215" t="s">
        <v>15</v>
      </c>
      <c r="B62" s="216"/>
      <c r="C62" s="216"/>
      <c r="D62" s="217"/>
      <c r="E62" s="217"/>
      <c r="F62" s="217"/>
      <c r="G62" s="217"/>
      <c r="H62" s="217"/>
      <c r="I62" s="218"/>
    </row>
    <row r="63" spans="1:14" ht="20.399999999999999" customHeight="1">
      <c r="A63" s="219"/>
      <c r="B63" s="164" t="s">
        <v>16</v>
      </c>
      <c r="C63" s="220"/>
      <c r="D63" s="221"/>
      <c r="E63" s="222"/>
      <c r="F63" s="222"/>
      <c r="G63" s="222"/>
      <c r="H63" s="203"/>
      <c r="I63" s="189">
        <f>SUM(H62:H62)</f>
        <v>0</v>
      </c>
    </row>
    <row r="64" spans="1:14" ht="7.5" customHeight="1" thickBot="1">
      <c r="A64" s="223"/>
      <c r="B64" s="174"/>
      <c r="C64" s="174"/>
      <c r="D64" s="174"/>
      <c r="E64" s="174"/>
      <c r="F64" s="174"/>
      <c r="G64" s="174"/>
      <c r="H64" s="174"/>
      <c r="I64" s="224"/>
    </row>
    <row r="65" spans="1:14" ht="16.5" customHeight="1" thickBot="1">
      <c r="A65" s="215" t="s">
        <v>17</v>
      </c>
      <c r="B65" s="216"/>
      <c r="C65" s="216"/>
      <c r="D65" s="217"/>
      <c r="E65" s="217"/>
      <c r="F65" s="217"/>
      <c r="G65" s="217"/>
      <c r="H65" s="217"/>
      <c r="I65" s="218"/>
    </row>
    <row r="66" spans="1:14" ht="19.8" customHeight="1">
      <c r="A66" s="219"/>
      <c r="B66" s="164" t="s">
        <v>72</v>
      </c>
      <c r="C66" s="220">
        <f>'Misc. Sheet'!N37</f>
        <v>0</v>
      </c>
      <c r="D66" s="225">
        <v>8</v>
      </c>
      <c r="I66" s="208">
        <f>MROUND(C66*D66,1000)</f>
        <v>0</v>
      </c>
    </row>
    <row r="67" spans="1:14" ht="7.5" customHeight="1" thickBot="1">
      <c r="A67" s="223"/>
      <c r="B67" s="174"/>
      <c r="C67" s="174"/>
      <c r="D67" s="226"/>
      <c r="E67" s="174"/>
      <c r="F67" s="174"/>
      <c r="G67" s="174"/>
      <c r="H67" s="174"/>
      <c r="I67" s="224"/>
    </row>
    <row r="68" spans="1:14" ht="16.5" customHeight="1" thickBot="1">
      <c r="A68" s="167" t="s">
        <v>18</v>
      </c>
      <c r="B68" s="168"/>
      <c r="C68" s="168"/>
      <c r="D68" s="168"/>
      <c r="E68" s="168"/>
      <c r="F68" s="168"/>
      <c r="G68" s="168"/>
      <c r="H68" s="168"/>
      <c r="I68" s="169"/>
    </row>
    <row r="69" spans="1:14" ht="19.2" customHeight="1">
      <c r="A69" s="219"/>
      <c r="B69" s="164" t="s">
        <v>19</v>
      </c>
      <c r="C69" s="164"/>
      <c r="D69" s="164"/>
      <c r="E69" s="164"/>
      <c r="F69" s="164"/>
      <c r="G69" s="164"/>
      <c r="H69" s="227">
        <v>75000</v>
      </c>
      <c r="I69" s="228"/>
    </row>
    <row r="70" spans="1:14">
      <c r="A70" s="219"/>
      <c r="B70" s="164" t="s">
        <v>20</v>
      </c>
      <c r="C70" s="164"/>
      <c r="D70" s="164"/>
      <c r="E70" s="164"/>
      <c r="F70" s="164"/>
      <c r="G70" s="164"/>
      <c r="H70" s="227">
        <f>ROUND('Misc. Sheet'!G13,-3)</f>
        <v>40000</v>
      </c>
      <c r="I70" s="228"/>
    </row>
    <row r="71" spans="1:14">
      <c r="A71" s="170"/>
      <c r="B71" s="164" t="s">
        <v>91</v>
      </c>
      <c r="C71" s="164"/>
      <c r="D71" s="164"/>
      <c r="E71" s="164"/>
      <c r="F71" s="164"/>
      <c r="G71" s="164"/>
      <c r="H71" s="229">
        <f>ROUND(SUM(H69:H70)*0.2,-3)</f>
        <v>23000</v>
      </c>
      <c r="I71" s="230"/>
    </row>
    <row r="72" spans="1:14">
      <c r="A72" s="170"/>
      <c r="B72" s="164" t="s">
        <v>21</v>
      </c>
      <c r="H72" s="164"/>
      <c r="I72" s="208">
        <f>SUM(H69:H71)</f>
        <v>138000</v>
      </c>
    </row>
    <row r="73" spans="1:14" ht="4.5" customHeight="1" thickBot="1">
      <c r="A73" s="211"/>
      <c r="B73" s="174"/>
      <c r="C73" s="231"/>
      <c r="D73" s="231"/>
      <c r="E73" s="231"/>
      <c r="F73" s="231"/>
      <c r="G73" s="231"/>
      <c r="H73" s="174"/>
      <c r="I73" s="232"/>
    </row>
    <row r="74" spans="1:14" ht="16.2" thickBot="1">
      <c r="A74" s="215" t="s">
        <v>22</v>
      </c>
      <c r="B74" s="233"/>
      <c r="C74" s="234"/>
      <c r="D74" s="233"/>
      <c r="E74" s="233"/>
      <c r="F74" s="233"/>
      <c r="G74" s="233"/>
      <c r="H74" s="234"/>
      <c r="I74" s="235"/>
    </row>
    <row r="75" spans="1:14">
      <c r="A75" s="219"/>
      <c r="B75" s="164" t="s">
        <v>23</v>
      </c>
      <c r="C75" s="236"/>
      <c r="D75" s="227"/>
      <c r="E75" s="227"/>
      <c r="F75" s="227"/>
      <c r="G75" s="227"/>
      <c r="H75" s="164"/>
      <c r="I75" s="237">
        <f>I60</f>
        <v>3290000</v>
      </c>
    </row>
    <row r="76" spans="1:14">
      <c r="A76" s="219"/>
      <c r="B76" s="164" t="s">
        <v>24</v>
      </c>
      <c r="C76" s="236"/>
      <c r="D76" s="227"/>
      <c r="E76" s="227"/>
      <c r="F76" s="227"/>
      <c r="G76" s="227"/>
      <c r="H76" s="164"/>
      <c r="I76" s="237">
        <f>I63</f>
        <v>0</v>
      </c>
    </row>
    <row r="77" spans="1:14">
      <c r="A77" s="219"/>
      <c r="B77" s="164" t="str">
        <f>+A65</f>
        <v>SITE IMPROVEMENTS:</v>
      </c>
      <c r="C77" s="236"/>
      <c r="D77" s="227"/>
      <c r="E77" s="227"/>
      <c r="F77" s="227"/>
      <c r="G77" s="227"/>
      <c r="H77" s="164"/>
      <c r="I77" s="237">
        <f>I66</f>
        <v>0</v>
      </c>
      <c r="N77" s="203"/>
    </row>
    <row r="78" spans="1:14">
      <c r="A78" s="219"/>
      <c r="B78" s="164" t="str">
        <f>+A68</f>
        <v>ADDITIONAL SOFT COSTS:</v>
      </c>
      <c r="C78" s="236"/>
      <c r="D78" s="238"/>
      <c r="E78" s="238"/>
      <c r="F78" s="238"/>
      <c r="G78" s="238"/>
      <c r="H78" s="164"/>
      <c r="I78" s="237">
        <f>I72</f>
        <v>138000</v>
      </c>
    </row>
    <row r="79" spans="1:14" ht="6.75" customHeight="1" thickBot="1">
      <c r="A79" s="219"/>
      <c r="B79" s="164"/>
      <c r="C79" s="236"/>
      <c r="D79" s="238"/>
      <c r="E79" s="238"/>
      <c r="F79" s="238"/>
      <c r="G79" s="238"/>
      <c r="H79" s="164"/>
      <c r="I79" s="237"/>
    </row>
    <row r="80" spans="1:14" ht="21.75" customHeight="1" thickTop="1">
      <c r="A80" s="239" t="s">
        <v>25</v>
      </c>
      <c r="B80" s="240"/>
      <c r="C80" s="240"/>
      <c r="D80" s="241"/>
      <c r="E80" s="241"/>
      <c r="F80" s="241"/>
      <c r="G80" s="241"/>
      <c r="H80" s="242" t="s">
        <v>26</v>
      </c>
      <c r="I80" s="243">
        <f>SUM(I75:I79)</f>
        <v>3428000</v>
      </c>
      <c r="N80" s="203"/>
    </row>
    <row r="81" spans="1:10" ht="14.4" thickBot="1">
      <c r="A81" s="244"/>
      <c r="B81" s="245"/>
      <c r="C81" s="245"/>
      <c r="D81" s="246"/>
      <c r="E81" s="246"/>
      <c r="F81" s="246"/>
      <c r="G81" s="246"/>
      <c r="H81" s="247" t="s">
        <v>27</v>
      </c>
      <c r="I81" s="248">
        <f>I80/K10</f>
        <v>81.667659321024416</v>
      </c>
    </row>
    <row r="82" spans="1:10" ht="5.25" customHeight="1" thickTop="1">
      <c r="H82" s="163" t="s">
        <v>28</v>
      </c>
    </row>
    <row r="83" spans="1:10">
      <c r="A83" s="164"/>
      <c r="B83" s="164"/>
      <c r="C83" s="164"/>
      <c r="D83" s="164"/>
      <c r="E83" s="164"/>
      <c r="F83" s="164"/>
      <c r="G83" s="164"/>
      <c r="H83" s="164"/>
      <c r="I83" s="86"/>
      <c r="J83" s="164"/>
    </row>
  </sheetData>
  <mergeCells count="1">
    <mergeCell ref="A2:I2"/>
  </mergeCells>
  <dataValidations count="9">
    <dataValidation type="list" allowBlank="1" showInputMessage="1" sqref="H8:I8 F8" xr:uid="{0CE21FEE-104E-4679-B4BD-2218FAD4A736}">
      <formula1>"Low Cost, Average, Good, Excellent"</formula1>
    </dataValidation>
    <dataValidation allowBlank="1" showInputMessage="1" sqref="H13:I13 F13" xr:uid="{7868072D-8273-4CB1-8921-2EC7A88BE34D}"/>
    <dataValidation type="list" allowBlank="1" showInputMessage="1" sqref="F6" xr:uid="{EBDB6435-7CF7-4A5A-9BDE-8FFCDF1E47F8}">
      <formula1>"Showrooms (303), Complete Auto Dealerships (455)"</formula1>
    </dataValidation>
    <dataValidation type="list" allowBlank="1" showInputMessage="1" sqref="F14" xr:uid="{E6015DB3-43F4-4872-863B-1DBC0768D11A}">
      <formula1>"Sec. 14, P. 30 (2/20), Sec. 14, P. 31 (2/20)"</formula1>
    </dataValidation>
    <dataValidation type="list" allowBlank="1" showInputMessage="1" sqref="H14:I14" xr:uid="{8673994E-3B21-4D18-9230-D9300D0BA943}">
      <formula1>"Sec. 14, P. 31 (2/20), Sec. 14, P. 32 (2/20)"</formula1>
    </dataValidation>
    <dataValidation type="list" allowBlank="1" showInputMessage="1" sqref="H6:I6" xr:uid="{594B7765-0489-4281-A413-EFC4BA7A6E2E}">
      <formula1>"Auto Service Centers (455), Svc. (Repair) Garages (528)"</formula1>
    </dataValidation>
    <dataValidation type="list" allowBlank="1" showInputMessage="1" sqref="F7 H7:I7" xr:uid="{AB62AFA3-E31B-4267-905A-D9526905ADA5}">
      <formula1>"""A"", ""B"", ""C"", ""D"", ""S"""</formula1>
    </dataValidation>
    <dataValidation type="list" allowBlank="1" showInputMessage="1" sqref="F9" xr:uid="{1F8CAC34-F2C0-4C95-B4C0-04EC1852880B}">
      <formula1>"Wood, Wood/ Brick, Wood / Stone, Wood / EIFS, Steel-Frame / Metal Clad, Steel / Composite / Glass, CTU / Glass, CMU / EIFS / Glass"</formula1>
    </dataValidation>
    <dataValidation type="list" allowBlank="1" showInputMessage="1" sqref="H9:I9" xr:uid="{0EB8425A-36C6-485C-8864-BC7E60DBD6EC}">
      <formula1>"Wood, Wood/ Brick, Wood / Stone, Wood / EIFS, Steel-Frame / Metal Clad, Steel / Glass, CTU / Glass, CMU, CMU / EIFS / Glass"</formula1>
    </dataValidation>
  </dataValidations>
  <printOptions horizontalCentered="1" verticalCentered="1"/>
  <pageMargins left="0.25" right="0.25" top="0" bottom="0" header="0.26" footer="0.27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showGridLines="0" defaultGridColor="0" colorId="12" zoomScaleNormal="100" workbookViewId="0">
      <selection activeCell="I5" sqref="I5"/>
    </sheetView>
  </sheetViews>
  <sheetFormatPr defaultColWidth="8" defaultRowHeight="13.8"/>
  <cols>
    <col min="1" max="1" width="1.88671875" style="97" customWidth="1"/>
    <col min="2" max="2" width="30" style="97" customWidth="1"/>
    <col min="3" max="3" width="8.6640625" style="97" customWidth="1"/>
    <col min="4" max="4" width="8.109375" style="97" customWidth="1"/>
    <col min="5" max="6" width="3.88671875" style="97" customWidth="1"/>
    <col min="7" max="8" width="12.5546875" style="97" customWidth="1"/>
    <col min="9" max="9" width="11" style="97" customWidth="1"/>
    <col min="10" max="10" width="5" style="97" customWidth="1"/>
    <col min="11" max="11" width="10.5546875" style="97" customWidth="1"/>
    <col min="12" max="15" width="8.44140625" style="97" customWidth="1"/>
    <col min="16" max="16" width="11.88671875" style="97" customWidth="1"/>
    <col min="17" max="17" width="8" style="97" customWidth="1"/>
    <col min="18" max="18" width="11.88671875" style="97" customWidth="1"/>
    <col min="19" max="16384" width="8" style="97"/>
  </cols>
  <sheetData>
    <row r="1" spans="1:19" ht="18">
      <c r="A1" s="470" t="s">
        <v>141</v>
      </c>
      <c r="B1" s="471"/>
      <c r="C1" s="471"/>
      <c r="D1" s="471"/>
      <c r="E1" s="471"/>
      <c r="F1" s="471"/>
      <c r="G1" s="471"/>
      <c r="H1" s="471"/>
      <c r="I1" s="471"/>
      <c r="M1" s="96"/>
    </row>
    <row r="2" spans="1:19" ht="18">
      <c r="A2" s="470" t="s">
        <v>30</v>
      </c>
      <c r="B2" s="471"/>
      <c r="C2" s="471"/>
      <c r="D2" s="471"/>
      <c r="E2" s="471"/>
      <c r="F2" s="471"/>
      <c r="G2" s="471"/>
      <c r="H2" s="471"/>
      <c r="I2" s="471"/>
      <c r="M2" s="96"/>
    </row>
    <row r="3" spans="1:19">
      <c r="A3" s="95"/>
      <c r="B3" s="95"/>
      <c r="C3" s="95"/>
      <c r="D3" s="95"/>
      <c r="E3" s="95"/>
      <c r="F3" s="95"/>
      <c r="G3" s="96"/>
      <c r="H3" s="96"/>
      <c r="M3" s="96"/>
    </row>
    <row r="4" spans="1:19" ht="24.75" customHeight="1">
      <c r="A4" s="98"/>
      <c r="B4" s="99" t="s">
        <v>31</v>
      </c>
      <c r="C4" s="99"/>
      <c r="D4" s="99"/>
      <c r="E4" s="99"/>
      <c r="F4" s="99"/>
      <c r="G4" s="99"/>
      <c r="H4" s="99"/>
      <c r="I4" s="100"/>
      <c r="M4" s="96"/>
    </row>
    <row r="5" spans="1:19" ht="24" customHeight="1">
      <c r="A5" s="101"/>
      <c r="B5" s="102" t="s">
        <v>43</v>
      </c>
      <c r="C5" s="102"/>
      <c r="D5" s="102"/>
      <c r="E5" s="102"/>
      <c r="F5" s="102"/>
      <c r="G5" s="102"/>
      <c r="H5" s="102"/>
      <c r="I5" s="409">
        <v>0</v>
      </c>
    </row>
    <row r="6" spans="1:19" ht="24.75" customHeight="1" thickBot="1">
      <c r="A6" s="103"/>
      <c r="B6" s="104" t="s">
        <v>32</v>
      </c>
      <c r="C6" s="105"/>
      <c r="D6" s="105"/>
      <c r="E6" s="105"/>
      <c r="F6" s="106"/>
      <c r="G6" s="107" t="s">
        <v>33</v>
      </c>
      <c r="H6" s="108" t="s">
        <v>29</v>
      </c>
      <c r="I6" s="109" t="s">
        <v>34</v>
      </c>
      <c r="L6" s="110"/>
      <c r="R6" s="110"/>
    </row>
    <row r="7" spans="1:19">
      <c r="A7" s="111"/>
      <c r="B7" s="112"/>
      <c r="C7" s="112"/>
      <c r="D7" s="112"/>
      <c r="E7" s="112"/>
      <c r="F7" s="113"/>
      <c r="G7" s="114"/>
      <c r="H7" s="115"/>
      <c r="I7" s="116"/>
      <c r="R7" s="110"/>
    </row>
    <row r="8" spans="1:19">
      <c r="A8" s="117"/>
      <c r="B8" s="118" t="s">
        <v>35</v>
      </c>
      <c r="C8" s="119"/>
      <c r="D8" s="120"/>
      <c r="E8" s="121"/>
      <c r="F8" s="122"/>
      <c r="G8" s="123"/>
      <c r="H8" s="96"/>
      <c r="I8" s="124"/>
    </row>
    <row r="9" spans="1:19" ht="2.25" customHeight="1">
      <c r="A9" s="117"/>
      <c r="B9" s="118"/>
      <c r="C9" s="119"/>
      <c r="D9" s="120"/>
      <c r="E9" s="121"/>
      <c r="F9" s="122"/>
      <c r="G9" s="123"/>
      <c r="H9" s="96"/>
      <c r="I9" s="124"/>
    </row>
    <row r="10" spans="1:19">
      <c r="A10" s="117"/>
      <c r="B10" s="125">
        <f>MVS!I81</f>
        <v>81.667659321024416</v>
      </c>
      <c r="C10" s="120" t="s">
        <v>108</v>
      </c>
      <c r="D10" s="121">
        <f>'Misc. Sheet'!L24</f>
        <v>41975</v>
      </c>
      <c r="E10" s="122" t="s">
        <v>68</v>
      </c>
      <c r="G10" s="123">
        <f>MROUND(SUM(B10*D10),1000)</f>
        <v>3428000</v>
      </c>
      <c r="H10" s="123"/>
      <c r="I10" s="124"/>
    </row>
    <row r="11" spans="1:19">
      <c r="A11" s="117"/>
      <c r="B11" s="118"/>
      <c r="C11" s="118"/>
      <c r="D11" s="118"/>
      <c r="E11" s="118"/>
      <c r="F11" s="96"/>
      <c r="G11" s="126"/>
      <c r="H11" s="127"/>
      <c r="I11" s="124"/>
    </row>
    <row r="12" spans="1:19">
      <c r="A12" s="117"/>
      <c r="B12" s="118" t="s">
        <v>37</v>
      </c>
      <c r="C12" s="128">
        <v>0</v>
      </c>
      <c r="D12" s="118"/>
      <c r="E12" s="118"/>
      <c r="F12" s="96"/>
      <c r="G12" s="129">
        <f>ROUND(G10*C12,-3)</f>
        <v>0</v>
      </c>
      <c r="H12" s="96"/>
      <c r="I12" s="124"/>
      <c r="L12" s="130"/>
      <c r="M12" s="131"/>
      <c r="P12" s="130"/>
      <c r="Q12" s="131"/>
      <c r="R12" s="130"/>
      <c r="S12" s="131"/>
    </row>
    <row r="13" spans="1:19" ht="6.75" customHeight="1" thickBot="1">
      <c r="A13" s="132"/>
      <c r="F13" s="96"/>
      <c r="G13" s="133"/>
      <c r="H13" s="134"/>
      <c r="I13" s="135"/>
      <c r="M13" s="131"/>
      <c r="Q13" s="131"/>
      <c r="S13" s="131"/>
    </row>
    <row r="14" spans="1:19">
      <c r="A14" s="117"/>
      <c r="B14" s="118" t="s">
        <v>38</v>
      </c>
      <c r="C14" s="118"/>
      <c r="D14" s="118"/>
      <c r="E14" s="118"/>
      <c r="F14" s="96"/>
      <c r="G14" s="133"/>
      <c r="H14" s="136">
        <f>SUM(G10:G12)</f>
        <v>3428000</v>
      </c>
      <c r="I14" s="124"/>
      <c r="K14" s="422" t="s">
        <v>178</v>
      </c>
      <c r="M14" s="131"/>
      <c r="Q14" s="131"/>
      <c r="S14" s="131"/>
    </row>
    <row r="15" spans="1:19" ht="18.75" customHeight="1">
      <c r="A15" s="117"/>
      <c r="B15" s="118" t="s">
        <v>181</v>
      </c>
      <c r="C15" s="118"/>
      <c r="D15" s="118"/>
      <c r="E15" s="118"/>
      <c r="F15" s="96"/>
      <c r="G15" s="133"/>
      <c r="H15" s="96"/>
      <c r="I15" s="133"/>
      <c r="K15" s="423" t="s">
        <v>179</v>
      </c>
      <c r="L15" s="130"/>
      <c r="M15" s="131"/>
      <c r="P15" s="130"/>
      <c r="Q15" s="131"/>
      <c r="R15" s="130"/>
      <c r="S15" s="131"/>
    </row>
    <row r="16" spans="1:19">
      <c r="A16" s="117"/>
      <c r="B16" s="118" t="s">
        <v>39</v>
      </c>
      <c r="C16" s="118"/>
      <c r="D16" s="118"/>
      <c r="E16" s="118"/>
      <c r="F16" s="96"/>
      <c r="G16" s="426">
        <f>-'Misc. Sheet'!F35</f>
        <v>-1030000</v>
      </c>
      <c r="H16" s="137"/>
      <c r="I16" s="133"/>
      <c r="K16" s="424"/>
      <c r="L16" s="130"/>
      <c r="M16" s="131"/>
      <c r="P16" s="130"/>
      <c r="Q16" s="131"/>
      <c r="R16" s="130"/>
      <c r="S16" s="131"/>
    </row>
    <row r="17" spans="1:20" ht="14.4" thickBot="1">
      <c r="A17" s="117"/>
      <c r="B17" s="118" t="s">
        <v>40</v>
      </c>
      <c r="C17" s="118"/>
      <c r="D17" s="118"/>
      <c r="E17" s="118"/>
      <c r="F17" s="96"/>
      <c r="G17" s="426">
        <f>ROUND(H14*K17,-3)</f>
        <v>0</v>
      </c>
      <c r="H17" s="137"/>
      <c r="I17" s="133"/>
      <c r="K17" s="425">
        <v>0</v>
      </c>
      <c r="L17" s="130"/>
      <c r="M17" s="131"/>
      <c r="P17" s="130"/>
      <c r="Q17" s="131"/>
      <c r="R17" s="130"/>
      <c r="S17" s="131"/>
    </row>
    <row r="18" spans="1:20">
      <c r="A18" s="117"/>
      <c r="B18" s="118" t="s">
        <v>41</v>
      </c>
      <c r="C18" s="118"/>
      <c r="D18" s="118"/>
      <c r="E18" s="118"/>
      <c r="F18" s="96"/>
      <c r="G18" s="426">
        <v>0</v>
      </c>
      <c r="H18" s="137"/>
      <c r="I18" s="133"/>
      <c r="L18" s="130"/>
      <c r="M18" s="131"/>
      <c r="P18" s="130"/>
      <c r="Q18" s="131"/>
      <c r="R18" s="130"/>
      <c r="S18" s="131"/>
    </row>
    <row r="19" spans="1:20">
      <c r="A19" s="117"/>
      <c r="B19" s="118"/>
      <c r="C19" s="118"/>
      <c r="D19" s="118"/>
      <c r="E19" s="118"/>
      <c r="F19" s="96"/>
      <c r="G19" s="116"/>
      <c r="H19" s="426">
        <f>SUM(G16:G18)</f>
        <v>-1030000</v>
      </c>
      <c r="I19" s="133"/>
      <c r="L19" s="130"/>
      <c r="M19" s="131"/>
      <c r="P19" s="130"/>
      <c r="Q19" s="131"/>
      <c r="R19" s="130"/>
      <c r="S19" s="131"/>
    </row>
    <row r="20" spans="1:20" ht="6.75" customHeight="1">
      <c r="A20" s="132"/>
      <c r="F20" s="96"/>
      <c r="G20" s="133"/>
      <c r="H20" s="138"/>
      <c r="I20" s="135"/>
      <c r="J20" s="139" t="s">
        <v>28</v>
      </c>
      <c r="M20" s="131"/>
      <c r="Q20" s="131"/>
      <c r="S20" s="131"/>
    </row>
    <row r="21" spans="1:20" ht="12.75" customHeight="1">
      <c r="A21" s="117"/>
      <c r="B21" s="118" t="s">
        <v>42</v>
      </c>
      <c r="C21" s="118"/>
      <c r="D21" s="118"/>
      <c r="E21" s="118"/>
      <c r="F21" s="96"/>
      <c r="G21" s="140" t="str">
        <f>G33</f>
        <v>(Rounded)</v>
      </c>
      <c r="H21" s="136">
        <f>MROUND(SUM(H14:H19),5000)</f>
        <v>2400000</v>
      </c>
      <c r="I21" s="124">
        <f>H21/(H21+H24)</f>
        <v>1</v>
      </c>
      <c r="K21" s="141">
        <f>H21/$D$10</f>
        <v>57.176891006551521</v>
      </c>
      <c r="L21" s="142" t="s">
        <v>52</v>
      </c>
      <c r="M21" s="131"/>
      <c r="Q21" s="131"/>
      <c r="S21" s="131"/>
    </row>
    <row r="22" spans="1:20" ht="12.75" customHeight="1">
      <c r="A22" s="117"/>
      <c r="B22" s="118"/>
      <c r="C22" s="118"/>
      <c r="D22" s="118"/>
      <c r="E22" s="118"/>
      <c r="F22" s="96"/>
      <c r="G22" s="133"/>
      <c r="H22" s="136"/>
      <c r="I22" s="124"/>
      <c r="M22" s="131"/>
      <c r="Q22" s="131"/>
      <c r="S22" s="131"/>
    </row>
    <row r="23" spans="1:20" ht="12.75" customHeight="1">
      <c r="A23" s="117"/>
      <c r="B23" s="118" t="s">
        <v>180</v>
      </c>
      <c r="C23" s="118"/>
      <c r="D23" s="118"/>
      <c r="E23" s="118"/>
      <c r="F23" s="96"/>
      <c r="G23" s="133"/>
      <c r="H23" s="136"/>
      <c r="I23" s="124"/>
      <c r="M23" s="131"/>
      <c r="Q23" s="131"/>
      <c r="S23" s="131"/>
    </row>
    <row r="24" spans="1:20">
      <c r="A24" s="117"/>
      <c r="B24" s="125">
        <v>0</v>
      </c>
      <c r="C24" s="120" t="s">
        <v>108</v>
      </c>
      <c r="D24" s="121">
        <f>'Misc. Sheet'!N37</f>
        <v>0</v>
      </c>
      <c r="E24" s="122" t="s">
        <v>36</v>
      </c>
      <c r="G24" s="133"/>
      <c r="H24" s="143">
        <f>ROUND(+B24*D24,-4)</f>
        <v>0</v>
      </c>
      <c r="I24" s="144">
        <f>H24/(H21+H24)</f>
        <v>0</v>
      </c>
      <c r="L24" s="130"/>
      <c r="M24" s="131"/>
      <c r="P24" s="130"/>
      <c r="Q24" s="131"/>
      <c r="S24" s="131"/>
    </row>
    <row r="25" spans="1:20">
      <c r="A25" s="117"/>
      <c r="B25" s="118"/>
      <c r="C25" s="118"/>
      <c r="D25" s="118"/>
      <c r="E25" s="118"/>
      <c r="F25" s="96"/>
      <c r="G25" s="133"/>
      <c r="H25" s="145"/>
      <c r="I25" s="124"/>
      <c r="L25" s="130"/>
      <c r="M25" s="131"/>
      <c r="P25" s="130"/>
      <c r="Q25" s="131"/>
      <c r="S25" s="131"/>
    </row>
    <row r="26" spans="1:20" ht="4.5" customHeight="1">
      <c r="A26" s="117"/>
      <c r="B26" s="118"/>
      <c r="C26" s="118"/>
      <c r="D26" s="118"/>
      <c r="E26" s="118"/>
      <c r="F26" s="96"/>
      <c r="G26" s="133"/>
      <c r="H26" s="145"/>
      <c r="I26" s="135"/>
      <c r="L26" s="130"/>
      <c r="M26" s="131"/>
      <c r="P26" s="130"/>
      <c r="Q26" s="131"/>
      <c r="S26" s="131"/>
    </row>
    <row r="27" spans="1:20" ht="3" customHeight="1">
      <c r="A27" s="146"/>
      <c r="B27" s="147"/>
      <c r="C27" s="147"/>
      <c r="D27" s="147"/>
      <c r="E27" s="147"/>
      <c r="F27" s="148"/>
      <c r="G27" s="149"/>
      <c r="H27" s="145"/>
      <c r="I27" s="135"/>
      <c r="K27" s="130"/>
      <c r="M27" s="131"/>
      <c r="Q27" s="131"/>
      <c r="S27" s="131"/>
    </row>
    <row r="28" spans="1:20">
      <c r="A28" s="150"/>
      <c r="B28" s="151" t="s">
        <v>142</v>
      </c>
      <c r="C28" s="151"/>
      <c r="D28" s="151"/>
      <c r="E28" s="151"/>
      <c r="F28" s="152"/>
      <c r="G28" s="140"/>
      <c r="H28" s="96"/>
      <c r="I28" s="124"/>
      <c r="K28" s="130"/>
      <c r="M28" s="131"/>
      <c r="Q28" s="131"/>
      <c r="S28" s="131"/>
    </row>
    <row r="29" spans="1:20">
      <c r="A29" s="150"/>
      <c r="B29" s="151" t="s">
        <v>100</v>
      </c>
      <c r="C29" s="151"/>
      <c r="D29" s="151"/>
      <c r="E29" s="151"/>
      <c r="F29" s="152"/>
      <c r="G29" s="140"/>
      <c r="H29" s="136">
        <f>MROUND(SUM(H21:H24),5000)</f>
        <v>2400000</v>
      </c>
      <c r="I29" s="124">
        <f>SUM(I21:I24)</f>
        <v>1</v>
      </c>
      <c r="K29" s="141">
        <f>H29/$D$10</f>
        <v>57.176891006551521</v>
      </c>
      <c r="L29" s="142" t="s">
        <v>52</v>
      </c>
      <c r="M29" s="131"/>
      <c r="Q29" s="131"/>
      <c r="S29" s="131"/>
    </row>
    <row r="30" spans="1:20" ht="3" customHeight="1" thickBot="1">
      <c r="A30" s="153"/>
      <c r="B30" s="154"/>
      <c r="C30" s="154"/>
      <c r="D30" s="154"/>
      <c r="E30" s="154"/>
      <c r="F30" s="155"/>
      <c r="G30" s="156"/>
      <c r="H30" s="157"/>
      <c r="I30" s="158"/>
      <c r="K30" s="130"/>
      <c r="M30" s="131"/>
      <c r="Q30" s="131"/>
      <c r="S30" s="131"/>
    </row>
    <row r="31" spans="1:20" ht="6" customHeight="1"/>
    <row r="32" spans="1:20">
      <c r="F32" s="159"/>
      <c r="G32" s="159"/>
      <c r="H32" s="159"/>
      <c r="I32" s="86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96"/>
    </row>
    <row r="33" spans="2:7">
      <c r="B33" s="112"/>
      <c r="C33" s="112"/>
      <c r="D33" s="112"/>
      <c r="E33" s="112"/>
      <c r="F33" s="96"/>
      <c r="G33" s="140" t="s">
        <v>107</v>
      </c>
    </row>
    <row r="34" spans="2:7">
      <c r="B34" s="112"/>
      <c r="C34" s="112"/>
      <c r="D34" s="112"/>
      <c r="E34" s="112"/>
      <c r="F34" s="96"/>
      <c r="G34" s="160"/>
    </row>
    <row r="35" spans="2:7">
      <c r="B35" s="112"/>
      <c r="C35" s="112"/>
      <c r="D35" s="112"/>
      <c r="E35" s="112"/>
      <c r="F35" s="96"/>
    </row>
    <row r="36" spans="2:7">
      <c r="B36" s="112"/>
      <c r="C36" s="112"/>
      <c r="D36" s="112"/>
      <c r="E36" s="112"/>
      <c r="F36" s="96"/>
      <c r="G36" s="160"/>
    </row>
    <row r="37" spans="2:7">
      <c r="B37" s="112"/>
      <c r="C37" s="112"/>
      <c r="D37" s="112"/>
      <c r="E37" s="112"/>
      <c r="F37" s="96"/>
    </row>
    <row r="38" spans="2:7">
      <c r="B38" s="112"/>
      <c r="C38" s="112"/>
      <c r="D38" s="112"/>
      <c r="E38" s="112"/>
      <c r="F38" s="96"/>
      <c r="G38" s="161"/>
    </row>
    <row r="39" spans="2:7">
      <c r="B39" s="96"/>
      <c r="C39" s="96"/>
      <c r="D39" s="96"/>
      <c r="E39" s="96"/>
      <c r="F39" s="96"/>
    </row>
    <row r="40" spans="2:7">
      <c r="B40" s="112"/>
      <c r="C40" s="112"/>
      <c r="D40" s="112"/>
      <c r="E40" s="112"/>
      <c r="F40" s="96"/>
      <c r="G40" s="161"/>
    </row>
    <row r="41" spans="2:7">
      <c r="B41" s="112"/>
      <c r="C41" s="112"/>
      <c r="D41" s="112"/>
      <c r="E41" s="112"/>
      <c r="F41" s="96"/>
    </row>
    <row r="42" spans="2:7">
      <c r="B42" s="112"/>
      <c r="C42" s="112"/>
      <c r="D42" s="112"/>
      <c r="E42" s="112"/>
      <c r="F42" s="96"/>
      <c r="G42" s="131"/>
    </row>
    <row r="43" spans="2:7">
      <c r="B43" s="112"/>
      <c r="C43" s="112"/>
      <c r="D43" s="112"/>
      <c r="E43" s="112"/>
      <c r="F43" s="96"/>
    </row>
    <row r="44" spans="2:7">
      <c r="B44" s="112"/>
      <c r="C44" s="112"/>
      <c r="D44" s="112"/>
      <c r="E44" s="112"/>
      <c r="F44" s="96"/>
    </row>
    <row r="45" spans="2:7">
      <c r="B45" s="112"/>
      <c r="C45" s="112"/>
      <c r="D45" s="112"/>
      <c r="E45" s="112"/>
      <c r="F45" s="96"/>
      <c r="G45" s="130"/>
    </row>
    <row r="46" spans="2:7">
      <c r="F46" s="96"/>
      <c r="G46" s="130"/>
    </row>
    <row r="47" spans="2:7">
      <c r="F47" s="96"/>
      <c r="G47" s="127"/>
    </row>
  </sheetData>
  <mergeCells count="2">
    <mergeCell ref="A1:I1"/>
    <mergeCell ref="A2:I2"/>
  </mergeCells>
  <printOptions horizontalCentered="1" verticalCentered="1"/>
  <pageMargins left="0.25" right="0.25" top="0" bottom="0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72"/>
  <sheetViews>
    <sheetView showGridLines="0" zoomScale="130" zoomScaleNormal="130" workbookViewId="0">
      <selection activeCell="R23" sqref="R23"/>
    </sheetView>
  </sheetViews>
  <sheetFormatPr defaultColWidth="6.88671875" defaultRowHeight="10.199999999999999"/>
  <cols>
    <col min="1" max="1" width="1.5546875" style="1" customWidth="1"/>
    <col min="2" max="2" width="8.5546875" style="1" customWidth="1"/>
    <col min="3" max="3" width="9.6640625" style="1" customWidth="1"/>
    <col min="4" max="4" width="8.109375" style="1" customWidth="1"/>
    <col min="5" max="5" width="10.33203125" style="1" customWidth="1"/>
    <col min="6" max="6" width="6" style="1" customWidth="1"/>
    <col min="7" max="7" width="3" style="1" customWidth="1"/>
    <col min="8" max="8" width="9.88671875" style="1" customWidth="1"/>
    <col min="9" max="9" width="0.88671875" style="1" customWidth="1"/>
    <col min="10" max="10" width="7.6640625" style="1" customWidth="1"/>
    <col min="11" max="11" width="1.44140625" style="1" customWidth="1"/>
    <col min="12" max="12" width="11.88671875" style="1" customWidth="1"/>
    <col min="13" max="13" width="3.109375" style="1" customWidth="1"/>
    <col min="14" max="14" width="7.33203125" style="1" customWidth="1"/>
    <col min="15" max="15" width="2.5546875" style="1" customWidth="1"/>
    <col min="16" max="16" width="1.6640625" style="1" customWidth="1"/>
    <col min="17" max="17" width="5.88671875" style="1" customWidth="1"/>
    <col min="18" max="18" width="15.6640625" style="1" customWidth="1"/>
    <col min="19" max="19" width="10.6640625" style="1" customWidth="1"/>
    <col min="20" max="20" width="13.33203125" style="1" customWidth="1"/>
    <col min="21" max="25" width="11.5546875" style="1" customWidth="1"/>
    <col min="26" max="26" width="3.44140625" style="1" customWidth="1"/>
    <col min="27" max="16384" width="6.88671875" style="1"/>
  </cols>
  <sheetData>
    <row r="1" spans="1:19" ht="18">
      <c r="A1" s="472" t="s">
        <v>141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</row>
    <row r="2" spans="1:19" ht="18">
      <c r="A2" s="472" t="s">
        <v>44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</row>
    <row r="3" spans="1:19" ht="12.75" customHeight="1">
      <c r="I3" s="4"/>
      <c r="J3" s="3"/>
    </row>
    <row r="4" spans="1:19" ht="24.75" customHeight="1" thickBot="1">
      <c r="A4" s="5"/>
      <c r="B4" s="6" t="s">
        <v>31</v>
      </c>
      <c r="C4" s="7"/>
      <c r="D4" s="7"/>
      <c r="E4" s="7"/>
      <c r="F4" s="7"/>
      <c r="G4" s="7"/>
      <c r="H4" s="8"/>
      <c r="I4" s="9"/>
      <c r="J4" s="9"/>
      <c r="K4" s="9"/>
      <c r="L4" s="9" t="s">
        <v>45</v>
      </c>
      <c r="M4" s="10"/>
      <c r="N4" s="10"/>
      <c r="O4" s="11"/>
    </row>
    <row r="5" spans="1:19" ht="13.8">
      <c r="A5" s="12"/>
      <c r="H5" s="13"/>
      <c r="I5" s="14"/>
      <c r="J5" s="15"/>
      <c r="K5" s="16"/>
      <c r="L5" s="17"/>
      <c r="M5" s="17"/>
      <c r="N5" s="14" t="s">
        <v>46</v>
      </c>
      <c r="O5" s="18"/>
    </row>
    <row r="6" spans="1:19" ht="13.8">
      <c r="A6" s="19"/>
      <c r="B6" s="20" t="s">
        <v>63</v>
      </c>
      <c r="H6" s="410">
        <f>'Cost Approach'!I5</f>
        <v>0</v>
      </c>
      <c r="I6" s="21"/>
      <c r="J6" s="22" t="s">
        <v>47</v>
      </c>
      <c r="K6" s="21"/>
      <c r="L6" s="23" t="s">
        <v>48</v>
      </c>
      <c r="M6" s="22"/>
      <c r="N6" s="23" t="s">
        <v>105</v>
      </c>
      <c r="O6" s="24"/>
    </row>
    <row r="7" spans="1:19" ht="3.75" customHeight="1">
      <c r="A7" s="25"/>
      <c r="B7" s="26"/>
      <c r="C7" s="16"/>
      <c r="D7" s="16"/>
      <c r="E7" s="16"/>
      <c r="F7" s="16"/>
      <c r="G7" s="27"/>
      <c r="H7" s="27"/>
      <c r="J7" s="13"/>
      <c r="L7" s="13"/>
      <c r="O7" s="13"/>
    </row>
    <row r="8" spans="1:19" ht="13.8">
      <c r="A8" s="28"/>
      <c r="B8" s="29"/>
      <c r="C8" s="30"/>
      <c r="D8" s="30"/>
      <c r="E8" s="30"/>
      <c r="F8" s="30"/>
      <c r="G8" s="31"/>
      <c r="H8" s="32" t="s">
        <v>49</v>
      </c>
      <c r="J8" s="13"/>
      <c r="L8" s="13"/>
      <c r="O8" s="13"/>
    </row>
    <row r="9" spans="1:19" ht="13.8">
      <c r="A9" s="28"/>
      <c r="B9" s="29"/>
      <c r="C9" s="30"/>
      <c r="D9" s="30"/>
      <c r="E9" s="30"/>
      <c r="F9" s="30"/>
      <c r="G9" s="31"/>
      <c r="H9" s="32" t="s">
        <v>50</v>
      </c>
      <c r="J9" s="13"/>
      <c r="L9" s="13"/>
      <c r="O9" s="13"/>
      <c r="R9" s="432" t="s">
        <v>185</v>
      </c>
      <c r="S9" s="432" t="s">
        <v>189</v>
      </c>
    </row>
    <row r="10" spans="1:19" ht="13.8">
      <c r="A10" s="33"/>
      <c r="B10" s="34" t="s">
        <v>51</v>
      </c>
      <c r="C10" s="21"/>
      <c r="D10" s="21"/>
      <c r="E10" s="21"/>
      <c r="F10" s="21"/>
      <c r="G10" s="35"/>
      <c r="H10" s="36" t="s">
        <v>104</v>
      </c>
      <c r="J10" s="13"/>
      <c r="L10" s="13"/>
      <c r="O10" s="13"/>
      <c r="R10" s="432" t="s">
        <v>186</v>
      </c>
      <c r="S10" s="432" t="s">
        <v>87</v>
      </c>
    </row>
    <row r="11" spans="1:19" ht="6.75" customHeight="1">
      <c r="A11" s="12"/>
      <c r="G11" s="13"/>
      <c r="H11" s="13"/>
      <c r="J11" s="13"/>
      <c r="L11" s="13"/>
      <c r="O11" s="13"/>
      <c r="R11" s="430"/>
      <c r="S11" s="435"/>
    </row>
    <row r="12" spans="1:19">
      <c r="A12" s="12"/>
      <c r="B12" s="37" t="s">
        <v>53</v>
      </c>
      <c r="G12" s="13"/>
      <c r="H12" s="13"/>
      <c r="J12" s="13"/>
      <c r="L12" s="13"/>
      <c r="O12" s="13"/>
      <c r="R12" s="431">
        <f>S12*'Cost Approach'!H24</f>
        <v>0</v>
      </c>
      <c r="S12" s="436">
        <v>0.08</v>
      </c>
    </row>
    <row r="13" spans="1:19">
      <c r="A13" s="12"/>
      <c r="B13" s="1" t="s">
        <v>106</v>
      </c>
      <c r="F13" s="38">
        <f>'Misc. Sheet'!L24</f>
        <v>41975</v>
      </c>
      <c r="G13" s="39" t="s">
        <v>36</v>
      </c>
      <c r="H13" s="295">
        <v>13</v>
      </c>
      <c r="J13" s="40"/>
      <c r="L13" s="40">
        <f>F13*H13</f>
        <v>545675</v>
      </c>
      <c r="N13" s="41">
        <f>L13/$F$13</f>
        <v>13</v>
      </c>
      <c r="O13" s="13"/>
      <c r="R13" s="432" t="s">
        <v>187</v>
      </c>
      <c r="S13" s="432" t="s">
        <v>190</v>
      </c>
    </row>
    <row r="14" spans="1:19">
      <c r="A14" s="12"/>
      <c r="C14" s="37"/>
      <c r="D14" s="37"/>
      <c r="H14" s="249"/>
      <c r="J14" s="13"/>
      <c r="K14" s="42"/>
      <c r="L14" s="40"/>
      <c r="M14" s="42"/>
      <c r="O14" s="43"/>
      <c r="R14" s="433">
        <f>+L13-R12</f>
        <v>545675</v>
      </c>
      <c r="S14" s="437">
        <f>+R14/F13</f>
        <v>13</v>
      </c>
    </row>
    <row r="15" spans="1:19" ht="5.25" customHeight="1">
      <c r="A15" s="12"/>
      <c r="B15" s="37"/>
      <c r="H15" s="249"/>
      <c r="J15" s="13"/>
      <c r="K15" s="42"/>
      <c r="L15" s="45"/>
      <c r="M15" s="42"/>
      <c r="N15" s="42"/>
      <c r="O15" s="43"/>
      <c r="R15" s="12"/>
      <c r="S15" s="249"/>
    </row>
    <row r="16" spans="1:19">
      <c r="A16" s="12"/>
      <c r="B16" s="37" t="s">
        <v>54</v>
      </c>
      <c r="C16" s="1" t="s">
        <v>55</v>
      </c>
      <c r="H16" s="250">
        <v>0.05</v>
      </c>
      <c r="J16" s="13"/>
      <c r="K16" s="38"/>
      <c r="L16" s="46">
        <f>-ROUND((L13)*H16,0)</f>
        <v>-27284</v>
      </c>
      <c r="M16" s="42"/>
      <c r="N16" s="41">
        <f>L16/$F$13</f>
        <v>-0.65000595592614652</v>
      </c>
      <c r="O16" s="43"/>
      <c r="R16" s="434">
        <f>L13/12</f>
        <v>45472.916666666664</v>
      </c>
      <c r="S16" s="438" t="s">
        <v>188</v>
      </c>
    </row>
    <row r="17" spans="1:19">
      <c r="A17" s="12"/>
      <c r="H17" s="13"/>
      <c r="I17" s="42"/>
      <c r="J17" s="47"/>
      <c r="K17" s="42"/>
      <c r="L17" s="43"/>
      <c r="M17" s="48"/>
      <c r="N17" s="48"/>
      <c r="O17" s="49"/>
    </row>
    <row r="18" spans="1:19">
      <c r="A18" s="12"/>
      <c r="B18" s="37" t="s">
        <v>56</v>
      </c>
      <c r="C18" s="3"/>
      <c r="D18" s="3"/>
      <c r="E18" s="3"/>
      <c r="F18" s="3"/>
      <c r="G18" s="3"/>
      <c r="H18" s="13"/>
      <c r="I18" s="42"/>
      <c r="J18" s="47"/>
      <c r="K18" s="42"/>
      <c r="L18" s="50">
        <f>SUM(L13:L16)</f>
        <v>518391</v>
      </c>
      <c r="M18" s="44"/>
      <c r="N18" s="41">
        <f>L18/$F$13</f>
        <v>12.349994044073853</v>
      </c>
      <c r="O18" s="50"/>
    </row>
    <row r="19" spans="1:19" ht="4.5" customHeight="1">
      <c r="A19" s="12"/>
      <c r="B19" s="37"/>
      <c r="C19" s="3"/>
      <c r="D19" s="3"/>
      <c r="E19" s="3"/>
      <c r="F19" s="3"/>
      <c r="G19" s="3"/>
      <c r="H19" s="13"/>
      <c r="I19" s="42"/>
      <c r="J19" s="47"/>
      <c r="K19" s="42"/>
      <c r="L19" s="50"/>
      <c r="M19" s="44"/>
      <c r="N19" s="44"/>
      <c r="O19" s="50"/>
    </row>
    <row r="20" spans="1:19" ht="5.25" customHeight="1">
      <c r="A20" s="25"/>
      <c r="B20" s="26"/>
      <c r="C20" s="16"/>
      <c r="D20" s="16"/>
      <c r="E20" s="16"/>
      <c r="F20" s="16"/>
      <c r="G20" s="16"/>
      <c r="H20" s="27"/>
      <c r="I20" s="42"/>
      <c r="J20" s="47"/>
      <c r="K20" s="42"/>
      <c r="L20" s="43"/>
      <c r="M20" s="42"/>
      <c r="N20" s="42"/>
      <c r="O20" s="43"/>
    </row>
    <row r="21" spans="1:19" ht="13.8">
      <c r="A21" s="33"/>
      <c r="B21" s="34" t="s">
        <v>57</v>
      </c>
      <c r="C21" s="51"/>
      <c r="D21" s="51"/>
      <c r="E21" s="51"/>
      <c r="F21" s="51"/>
      <c r="G21" s="51"/>
      <c r="H21" s="35"/>
      <c r="I21" s="42"/>
      <c r="J21" s="47"/>
      <c r="K21" s="42"/>
      <c r="L21" s="43"/>
      <c r="M21" s="42"/>
      <c r="N21" s="42"/>
      <c r="O21" s="43"/>
    </row>
    <row r="22" spans="1:19" ht="4.5" customHeight="1">
      <c r="A22" s="12"/>
      <c r="H22" s="13"/>
      <c r="I22" s="42"/>
      <c r="J22" s="47"/>
      <c r="K22" s="42"/>
      <c r="L22" s="43"/>
      <c r="M22" s="42"/>
      <c r="N22" s="42"/>
      <c r="O22" s="43"/>
    </row>
    <row r="23" spans="1:19">
      <c r="A23" s="12"/>
      <c r="B23" s="37" t="s">
        <v>65</v>
      </c>
      <c r="F23" s="52">
        <v>0</v>
      </c>
      <c r="G23" s="1" t="s">
        <v>64</v>
      </c>
      <c r="H23" s="13"/>
      <c r="J23" s="47">
        <f>ROUND(-F23*L18,0)</f>
        <v>0</v>
      </c>
      <c r="L23" s="43"/>
      <c r="M23" s="42"/>
      <c r="N23" s="41">
        <f>J23/$F$13</f>
        <v>0</v>
      </c>
      <c r="O23" s="43"/>
    </row>
    <row r="24" spans="1:19">
      <c r="A24" s="12"/>
      <c r="B24" s="37" t="s">
        <v>111</v>
      </c>
      <c r="F24" s="52">
        <v>0</v>
      </c>
      <c r="G24" s="1" t="s">
        <v>64</v>
      </c>
      <c r="H24" s="13"/>
      <c r="I24" s="42"/>
      <c r="J24" s="47">
        <f>ROUND(-F24*L18,0)</f>
        <v>0</v>
      </c>
      <c r="L24" s="47"/>
      <c r="M24" s="53"/>
      <c r="N24" s="54">
        <f>J24/$F$13</f>
        <v>0</v>
      </c>
      <c r="O24" s="55"/>
    </row>
    <row r="25" spans="1:19" ht="3" customHeight="1">
      <c r="A25" s="12"/>
      <c r="B25" s="37"/>
      <c r="H25" s="13"/>
      <c r="I25" s="42"/>
      <c r="J25" s="47"/>
      <c r="L25" s="47"/>
      <c r="M25" s="56"/>
      <c r="N25" s="41"/>
      <c r="O25" s="47"/>
    </row>
    <row r="26" spans="1:19">
      <c r="A26" s="12"/>
      <c r="B26" s="37" t="s">
        <v>58</v>
      </c>
      <c r="H26" s="13"/>
      <c r="I26" s="42"/>
      <c r="J26" s="47"/>
      <c r="L26" s="47">
        <f>SUM(J23:J24)</f>
        <v>0</v>
      </c>
      <c r="M26" s="56"/>
      <c r="N26" s="41">
        <f>L26/$F$13</f>
        <v>0</v>
      </c>
      <c r="O26" s="47"/>
    </row>
    <row r="27" spans="1:19" ht="1.5" customHeight="1">
      <c r="A27" s="12"/>
      <c r="H27" s="13"/>
      <c r="I27" s="42"/>
      <c r="J27" s="47"/>
      <c r="L27" s="13"/>
      <c r="N27" s="57"/>
      <c r="O27" s="47"/>
    </row>
    <row r="28" spans="1:19" ht="4.5" customHeight="1">
      <c r="A28" s="25"/>
      <c r="B28" s="26"/>
      <c r="C28" s="16"/>
      <c r="D28" s="16"/>
      <c r="E28" s="16"/>
      <c r="F28" s="16"/>
      <c r="G28" s="16"/>
      <c r="H28" s="16"/>
      <c r="I28" s="58"/>
      <c r="J28" s="59"/>
      <c r="K28" s="48"/>
      <c r="L28" s="60"/>
      <c r="M28" s="61"/>
      <c r="N28" s="41"/>
      <c r="O28" s="60"/>
    </row>
    <row r="29" spans="1:19" ht="13.8">
      <c r="A29" s="33"/>
      <c r="B29" s="34" t="s">
        <v>59</v>
      </c>
      <c r="C29" s="51"/>
      <c r="D29" s="51"/>
      <c r="E29" s="51"/>
      <c r="F29" s="51"/>
      <c r="G29" s="51"/>
      <c r="H29" s="21"/>
      <c r="I29" s="62"/>
      <c r="J29" s="63"/>
      <c r="K29" s="42"/>
      <c r="L29" s="64">
        <f>L18+L26</f>
        <v>518391</v>
      </c>
      <c r="M29" s="65"/>
      <c r="N29" s="41">
        <f>L29/$F$13</f>
        <v>12.349994044073853</v>
      </c>
      <c r="O29" s="64"/>
    </row>
    <row r="30" spans="1:19" ht="2.25" customHeight="1">
      <c r="A30" s="12"/>
      <c r="B30" s="2"/>
      <c r="C30" s="3"/>
      <c r="D30" s="3"/>
      <c r="E30" s="3"/>
      <c r="F30" s="3"/>
      <c r="G30" s="3"/>
      <c r="I30" s="42"/>
      <c r="J30" s="43"/>
      <c r="K30" s="42"/>
      <c r="L30" s="50"/>
      <c r="M30" s="44"/>
      <c r="N30" s="44"/>
      <c r="O30" s="50"/>
    </row>
    <row r="31" spans="1:19" ht="3" customHeight="1">
      <c r="A31" s="12"/>
      <c r="B31" s="37"/>
      <c r="I31" s="42"/>
      <c r="J31" s="43"/>
      <c r="K31" s="42"/>
      <c r="L31" s="50"/>
      <c r="M31" s="44"/>
      <c r="N31" s="44"/>
      <c r="O31" s="50"/>
    </row>
    <row r="32" spans="1:19" ht="13.8">
      <c r="A32" s="12"/>
      <c r="B32" s="66" t="s">
        <v>60</v>
      </c>
      <c r="I32" s="42"/>
      <c r="J32" s="43"/>
      <c r="K32" s="42"/>
      <c r="L32" s="67">
        <v>7.2499999999999995E-2</v>
      </c>
      <c r="M32" s="68"/>
      <c r="N32" s="68"/>
      <c r="O32" s="67"/>
      <c r="R32" s="439">
        <f>$L$32+0.0025</f>
        <v>7.4999999999999997E-2</v>
      </c>
      <c r="S32" s="440">
        <f>$L$32-0.0025</f>
        <v>6.9999999999999993E-2</v>
      </c>
    </row>
    <row r="33" spans="1:20" ht="3" customHeight="1">
      <c r="A33" s="19"/>
      <c r="B33" s="69"/>
      <c r="C33" s="57"/>
      <c r="D33" s="57"/>
      <c r="E33" s="57"/>
      <c r="F33" s="57"/>
      <c r="G33" s="57"/>
      <c r="H33" s="57"/>
      <c r="I33" s="38"/>
      <c r="J33" s="70"/>
      <c r="K33" s="38"/>
      <c r="L33" s="55"/>
      <c r="M33" s="53"/>
      <c r="N33" s="53"/>
      <c r="O33" s="55"/>
      <c r="R33" s="12"/>
      <c r="S33" s="13"/>
    </row>
    <row r="34" spans="1:20" ht="6" customHeight="1">
      <c r="A34" s="25"/>
      <c r="B34" s="71"/>
      <c r="C34" s="16"/>
      <c r="D34" s="16"/>
      <c r="E34" s="16"/>
      <c r="F34" s="16"/>
      <c r="G34" s="16"/>
      <c r="H34" s="16"/>
      <c r="I34" s="58"/>
      <c r="J34" s="59"/>
      <c r="K34" s="42"/>
      <c r="L34" s="47"/>
      <c r="M34" s="56"/>
      <c r="N34" s="56"/>
      <c r="O34" s="47"/>
      <c r="R34" s="12"/>
      <c r="S34" s="13"/>
    </row>
    <row r="35" spans="1:20" ht="13.8">
      <c r="A35" s="28"/>
      <c r="B35" s="72" t="s">
        <v>69</v>
      </c>
      <c r="C35" s="30"/>
      <c r="D35" s="30"/>
      <c r="E35" s="30"/>
      <c r="F35" s="30"/>
      <c r="G35" s="30"/>
      <c r="H35" s="30"/>
      <c r="I35" s="73"/>
      <c r="J35" s="74"/>
      <c r="K35" s="42"/>
      <c r="L35" s="47"/>
      <c r="M35" s="56"/>
      <c r="N35" s="56"/>
      <c r="O35" s="47"/>
      <c r="R35" s="12"/>
      <c r="S35" s="13"/>
    </row>
    <row r="36" spans="1:20" ht="13.8">
      <c r="A36" s="28"/>
      <c r="B36" s="72" t="s">
        <v>61</v>
      </c>
      <c r="C36" s="30"/>
      <c r="D36" s="30"/>
      <c r="E36" s="30"/>
      <c r="F36" s="30"/>
      <c r="G36" s="30"/>
      <c r="H36" s="30"/>
      <c r="I36" s="73"/>
      <c r="J36" s="74"/>
      <c r="K36" s="42"/>
      <c r="L36" s="64">
        <f>MROUND(L29/L32,5000)</f>
        <v>7150000</v>
      </c>
      <c r="M36" s="56"/>
      <c r="N36" s="41">
        <f>L36/$F$13</f>
        <v>170.3394877903514</v>
      </c>
      <c r="O36" s="75"/>
      <c r="R36" s="441">
        <f>ROUND(L29/R32,-4)</f>
        <v>6910000</v>
      </c>
      <c r="S36" s="442">
        <f>ROUND(L29/S32,-4)</f>
        <v>7410000</v>
      </c>
    </row>
    <row r="37" spans="1:20" ht="3" customHeight="1" thickBot="1">
      <c r="A37" s="76"/>
      <c r="B37" s="77"/>
      <c r="C37" s="77"/>
      <c r="D37" s="77"/>
      <c r="E37" s="77"/>
      <c r="F37" s="77"/>
      <c r="G37" s="77"/>
      <c r="H37" s="77"/>
      <c r="I37" s="77"/>
      <c r="J37" s="78"/>
      <c r="K37" s="79"/>
      <c r="L37" s="80"/>
      <c r="M37" s="81"/>
      <c r="N37" s="81"/>
      <c r="O37" s="82"/>
      <c r="R37" s="443"/>
      <c r="S37" s="444"/>
    </row>
    <row r="38" spans="1:20">
      <c r="B38" s="66"/>
      <c r="C38" s="3"/>
      <c r="D38" s="3"/>
      <c r="E38" s="83"/>
      <c r="F38" s="3"/>
      <c r="G38" s="3"/>
      <c r="H38" s="3"/>
      <c r="L38" s="44"/>
      <c r="M38" s="44"/>
      <c r="N38" s="44"/>
      <c r="O38" s="44"/>
      <c r="R38" s="445">
        <f>R36/F13</f>
        <v>164.62179868969625</v>
      </c>
      <c r="S38" s="446">
        <f>S36/F13</f>
        <v>176.53365098272781</v>
      </c>
    </row>
    <row r="39" spans="1:20" ht="13.8">
      <c r="B39" s="85"/>
      <c r="O39" s="86"/>
    </row>
    <row r="43" spans="1:20" ht="13.8">
      <c r="C43" s="87"/>
      <c r="D43" s="4"/>
      <c r="E43" s="88" t="s">
        <v>80</v>
      </c>
      <c r="F43" s="89"/>
      <c r="G43" s="89"/>
      <c r="H43" s="89"/>
      <c r="I43" s="57"/>
      <c r="J43" s="57"/>
      <c r="K43" s="57"/>
      <c r="L43" s="90">
        <v>0</v>
      </c>
    </row>
    <row r="44" spans="1:20">
      <c r="C44" s="87"/>
      <c r="D44" s="87"/>
      <c r="E44" s="87"/>
      <c r="F44" s="87"/>
      <c r="G44" s="87"/>
      <c r="H44" s="87"/>
    </row>
    <row r="45" spans="1:20" ht="13.8">
      <c r="C45" s="87"/>
      <c r="D45" s="87"/>
      <c r="E45" s="2" t="s">
        <v>81</v>
      </c>
      <c r="F45" s="87"/>
      <c r="G45" s="87"/>
      <c r="H45" s="87"/>
      <c r="L45" s="65">
        <f>SUM(L36:L43)</f>
        <v>7150000</v>
      </c>
      <c r="N45" s="84">
        <f>L45/S45</f>
        <v>170.3394877903514</v>
      </c>
      <c r="O45" s="91" t="s">
        <v>52</v>
      </c>
      <c r="R45" s="1" t="s">
        <v>82</v>
      </c>
      <c r="S45" s="92">
        <f>'Misc. Sheet'!L24</f>
        <v>41975</v>
      </c>
      <c r="T45" s="1" t="s">
        <v>36</v>
      </c>
    </row>
    <row r="46" spans="1:20">
      <c r="C46" s="87"/>
      <c r="D46" s="87"/>
      <c r="E46" s="87"/>
      <c r="F46" s="87"/>
      <c r="G46" s="87"/>
      <c r="H46" s="87"/>
    </row>
    <row r="47" spans="1:20">
      <c r="C47" s="87"/>
      <c r="D47" s="87"/>
      <c r="E47" s="87"/>
      <c r="F47" s="93"/>
      <c r="G47" s="93"/>
      <c r="H47" s="94"/>
    </row>
    <row r="48" spans="1:20">
      <c r="C48" s="87"/>
      <c r="D48" s="87"/>
      <c r="E48" s="87"/>
      <c r="F48" s="93"/>
      <c r="G48" s="93"/>
      <c r="H48" s="94"/>
    </row>
    <row r="49" spans="3:8">
      <c r="C49" s="87"/>
      <c r="D49" s="87"/>
      <c r="E49" s="87"/>
      <c r="F49" s="93"/>
      <c r="G49" s="93"/>
      <c r="H49" s="94"/>
    </row>
    <row r="51" spans="3:8" ht="3" customHeight="1"/>
    <row r="52" spans="3:8" ht="3" customHeight="1"/>
    <row r="55" spans="3:8" ht="3" customHeight="1"/>
    <row r="56" spans="3:8" ht="3" customHeight="1"/>
    <row r="57" spans="3:8" ht="3" customHeight="1"/>
    <row r="58" spans="3:8" ht="3" customHeight="1"/>
    <row r="59" spans="3:8" ht="3" customHeight="1"/>
    <row r="60" spans="3:8" ht="3" customHeight="1"/>
    <row r="61" spans="3:8" ht="3" customHeight="1"/>
    <row r="62" spans="3:8" ht="3" customHeight="1"/>
    <row r="63" spans="3:8" ht="3" customHeight="1"/>
    <row r="64" spans="3:8" ht="3" customHeight="1"/>
    <row r="65" ht="3" customHeight="1"/>
    <row r="66" ht="3" customHeight="1"/>
    <row r="67" ht="3" customHeight="1"/>
    <row r="68" ht="3" customHeight="1"/>
    <row r="69" ht="3" customHeight="1"/>
    <row r="70" ht="3" customHeight="1"/>
    <row r="71" ht="3" customHeight="1"/>
    <row r="72" ht="3" customHeight="1"/>
  </sheetData>
  <mergeCells count="2">
    <mergeCell ref="A1:O1"/>
    <mergeCell ref="A2:O2"/>
  </mergeCells>
  <printOptions horizontalCentered="1" verticalCentered="1"/>
  <pageMargins left="0.25" right="0.25" top="0" bottom="0" header="0.27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56"/>
  <sheetViews>
    <sheetView showGridLines="0" zoomScale="103" zoomScaleNormal="110" workbookViewId="0">
      <selection activeCell="E7" sqref="E7"/>
    </sheetView>
  </sheetViews>
  <sheetFormatPr defaultColWidth="6.88671875" defaultRowHeight="13.8"/>
  <cols>
    <col min="1" max="1" width="2.88671875" style="251" customWidth="1"/>
    <col min="2" max="2" width="13.109375" style="251" customWidth="1"/>
    <col min="3" max="3" width="30" style="251" customWidth="1"/>
    <col min="4" max="4" width="14.44140625" style="251" customWidth="1"/>
    <col min="5" max="5" width="14.5546875" style="251" customWidth="1"/>
    <col min="6" max="6" width="13.44140625" style="251" customWidth="1"/>
    <col min="7" max="8" width="13.5546875" style="251" customWidth="1"/>
    <col min="9" max="10" width="2.44140625" style="251" customWidth="1"/>
    <col min="11" max="11" width="19.88671875" style="251" customWidth="1"/>
    <col min="12" max="12" width="9.21875" style="259" customWidth="1"/>
    <col min="13" max="13" width="2" style="251" customWidth="1"/>
    <col min="14" max="14" width="11.44140625" style="251" customWidth="1"/>
    <col min="15" max="15" width="8.109375" style="251" customWidth="1"/>
    <col min="16" max="16" width="13.5546875" style="251" hidden="1" customWidth="1"/>
    <col min="17" max="16384" width="6.88671875" style="251"/>
  </cols>
  <sheetData>
    <row r="2" spans="2:15">
      <c r="B2" s="312"/>
      <c r="C2" s="312"/>
      <c r="D2" s="312"/>
      <c r="E2" s="312"/>
      <c r="F2" s="312"/>
      <c r="G2" s="312" t="s">
        <v>128</v>
      </c>
    </row>
    <row r="3" spans="2:15">
      <c r="B3" s="312" t="s">
        <v>137</v>
      </c>
      <c r="C3" s="312"/>
      <c r="D3" s="312"/>
      <c r="E3" s="312"/>
      <c r="F3" s="312" t="s">
        <v>49</v>
      </c>
      <c r="G3" s="372" t="s">
        <v>175</v>
      </c>
      <c r="I3" s="374"/>
      <c r="J3" s="373"/>
      <c r="K3" s="315"/>
      <c r="L3" s="312"/>
      <c r="M3" s="315"/>
      <c r="N3" s="312" t="s">
        <v>70</v>
      </c>
      <c r="O3" s="315"/>
    </row>
    <row r="4" spans="2:15">
      <c r="B4" s="312" t="s">
        <v>138</v>
      </c>
      <c r="C4" s="372" t="s">
        <v>0</v>
      </c>
      <c r="D4" s="313" t="s">
        <v>90</v>
      </c>
      <c r="E4" s="313" t="s">
        <v>48</v>
      </c>
      <c r="F4" s="313" t="s">
        <v>1</v>
      </c>
      <c r="G4" s="313" t="s">
        <v>176</v>
      </c>
      <c r="I4" s="375"/>
      <c r="J4" s="373"/>
      <c r="K4" s="317" t="s">
        <v>170</v>
      </c>
      <c r="L4" s="316" t="s">
        <v>8</v>
      </c>
      <c r="M4" s="315"/>
      <c r="N4" s="312" t="s">
        <v>71</v>
      </c>
      <c r="O4" s="312" t="s">
        <v>34</v>
      </c>
    </row>
    <row r="5" spans="2:15">
      <c r="B5" s="417"/>
      <c r="C5" s="415">
        <v>2000000</v>
      </c>
      <c r="D5" s="415">
        <v>3000000</v>
      </c>
      <c r="E5" s="415">
        <f>SUM(C5:D5)</f>
        <v>5000000</v>
      </c>
      <c r="F5" s="416">
        <v>100000</v>
      </c>
      <c r="I5" s="375"/>
      <c r="J5" s="373"/>
      <c r="K5" s="356" t="s">
        <v>101</v>
      </c>
      <c r="L5" s="350"/>
      <c r="M5" s="351"/>
      <c r="N5" s="314"/>
      <c r="O5" s="365"/>
    </row>
    <row r="6" spans="2:15">
      <c r="B6" s="418"/>
      <c r="C6" s="420"/>
      <c r="D6" s="420"/>
      <c r="E6" s="415">
        <f t="shared" ref="E6:E12" si="0">SUM(C6:D6)</f>
        <v>0</v>
      </c>
      <c r="F6" s="421"/>
      <c r="I6" s="256"/>
      <c r="J6" s="320"/>
      <c r="K6" s="349" t="s">
        <v>95</v>
      </c>
      <c r="L6" s="350">
        <v>5875</v>
      </c>
      <c r="M6" s="351"/>
      <c r="N6" s="314">
        <f>L6</f>
        <v>5875</v>
      </c>
      <c r="O6" s="365"/>
    </row>
    <row r="7" spans="2:15">
      <c r="B7" s="418"/>
      <c r="C7" s="415"/>
      <c r="D7" s="415"/>
      <c r="E7" s="415">
        <f t="shared" si="0"/>
        <v>0</v>
      </c>
      <c r="F7" s="416"/>
      <c r="I7" s="256"/>
      <c r="J7" s="257"/>
      <c r="K7" s="349" t="s">
        <v>96</v>
      </c>
      <c r="L7" s="350">
        <v>1266</v>
      </c>
      <c r="M7" s="351"/>
      <c r="N7" s="314">
        <f>L7</f>
        <v>1266</v>
      </c>
      <c r="O7" s="366">
        <f>L7-N7</f>
        <v>0</v>
      </c>
    </row>
    <row r="8" spans="2:15">
      <c r="B8" s="418"/>
      <c r="C8" s="415"/>
      <c r="D8" s="415"/>
      <c r="E8" s="415">
        <f t="shared" si="0"/>
        <v>0</v>
      </c>
      <c r="F8" s="416"/>
      <c r="I8" s="256"/>
      <c r="J8" s="257"/>
      <c r="K8" s="349"/>
      <c r="L8" s="350"/>
      <c r="M8" s="351"/>
      <c r="N8" s="314"/>
      <c r="O8" s="365"/>
    </row>
    <row r="9" spans="2:15">
      <c r="B9" s="418"/>
      <c r="C9" s="415"/>
      <c r="D9" s="415"/>
      <c r="E9" s="415">
        <f t="shared" si="0"/>
        <v>0</v>
      </c>
      <c r="F9" s="416"/>
      <c r="I9" s="256"/>
      <c r="J9" s="257"/>
      <c r="K9" s="352"/>
      <c r="L9" s="353"/>
      <c r="M9" s="352"/>
      <c r="N9" s="354"/>
      <c r="O9" s="365"/>
    </row>
    <row r="10" spans="2:15">
      <c r="B10" s="418"/>
      <c r="C10" s="415"/>
      <c r="D10" s="415"/>
      <c r="E10" s="415">
        <f t="shared" si="0"/>
        <v>0</v>
      </c>
      <c r="F10" s="416"/>
      <c r="I10" s="256"/>
      <c r="K10" s="349" t="s">
        <v>115</v>
      </c>
      <c r="L10" s="355">
        <f>SUM(L6:L9)</f>
        <v>7141</v>
      </c>
      <c r="M10" s="351"/>
      <c r="N10" s="314">
        <f>SUM(N6:N9)</f>
        <v>7141</v>
      </c>
      <c r="O10" s="365">
        <f>N10/L10</f>
        <v>1</v>
      </c>
    </row>
    <row r="11" spans="2:15">
      <c r="B11" s="418"/>
      <c r="C11" s="415"/>
      <c r="D11" s="415"/>
      <c r="E11" s="415">
        <f t="shared" si="0"/>
        <v>0</v>
      </c>
      <c r="F11" s="416"/>
      <c r="I11" s="256"/>
      <c r="K11" s="351"/>
      <c r="L11" s="355"/>
      <c r="M11" s="351"/>
      <c r="N11" s="314"/>
      <c r="O11" s="365"/>
    </row>
    <row r="12" spans="2:15">
      <c r="B12" s="419"/>
      <c r="C12" s="415"/>
      <c r="D12" s="415"/>
      <c r="E12" s="415">
        <f t="shared" si="0"/>
        <v>0</v>
      </c>
      <c r="F12" s="416"/>
      <c r="I12" s="256"/>
      <c r="K12" s="356" t="s">
        <v>102</v>
      </c>
      <c r="L12" s="357"/>
      <c r="M12" s="351"/>
      <c r="N12" s="314"/>
      <c r="O12" s="365"/>
    </row>
    <row r="13" spans="2:15">
      <c r="B13" s="411" t="s">
        <v>67</v>
      </c>
      <c r="C13" s="261">
        <f>SUM(C5:C12)</f>
        <v>2000000</v>
      </c>
      <c r="D13" s="261">
        <f>SUM(D5:D12)</f>
        <v>3000000</v>
      </c>
      <c r="E13" s="261">
        <f>SUM(E5:E12)</f>
        <v>5000000</v>
      </c>
      <c r="F13" s="262">
        <f>SUM(F5:F12)</f>
        <v>100000</v>
      </c>
      <c r="G13" s="412">
        <f>ROUND(C13/E13*F13,-2)</f>
        <v>40000</v>
      </c>
      <c r="I13" s="399"/>
      <c r="K13" s="349" t="s">
        <v>112</v>
      </c>
      <c r="L13" s="350">
        <v>8640</v>
      </c>
      <c r="M13" s="351"/>
      <c r="N13" s="314">
        <v>431</v>
      </c>
      <c r="O13" s="365"/>
    </row>
    <row r="14" spans="2:15" ht="19.2" customHeight="1" thickBot="1">
      <c r="K14" s="349" t="s">
        <v>114</v>
      </c>
      <c r="L14" s="350">
        <v>161</v>
      </c>
      <c r="M14" s="351"/>
      <c r="N14" s="358"/>
      <c r="O14" s="365"/>
    </row>
    <row r="15" spans="2:15">
      <c r="C15" s="253"/>
      <c r="D15" s="413" t="e">
        <f>C13/N37</f>
        <v>#DIV/0!</v>
      </c>
      <c r="I15" s="322"/>
      <c r="K15" s="359"/>
      <c r="L15" s="360"/>
      <c r="M15" s="352"/>
      <c r="N15" s="354"/>
      <c r="O15" s="365"/>
    </row>
    <row r="16" spans="2:15" ht="14.4" thickBot="1">
      <c r="D16" s="414" t="s">
        <v>135</v>
      </c>
      <c r="K16" s="349" t="s">
        <v>115</v>
      </c>
      <c r="L16" s="350">
        <f>SUM(L13:L15)</f>
        <v>8801</v>
      </c>
      <c r="M16" s="351"/>
      <c r="N16" s="314">
        <f>SUM(N13:N15)</f>
        <v>431</v>
      </c>
      <c r="O16" s="365">
        <f>N16/L16</f>
        <v>4.8971707760481764E-2</v>
      </c>
    </row>
    <row r="17" spans="3:16">
      <c r="K17" s="351"/>
      <c r="L17" s="355"/>
      <c r="M17" s="351"/>
      <c r="N17" s="314"/>
      <c r="O17" s="365"/>
    </row>
    <row r="18" spans="3:16">
      <c r="K18" s="356" t="s">
        <v>103</v>
      </c>
      <c r="L18" s="357"/>
      <c r="M18" s="351"/>
      <c r="N18" s="314"/>
      <c r="O18" s="365"/>
    </row>
    <row r="19" spans="3:16">
      <c r="K19" s="349" t="s">
        <v>113</v>
      </c>
      <c r="L19" s="350">
        <v>22972</v>
      </c>
      <c r="M19" s="351"/>
      <c r="N19" s="314">
        <f>1450+1327+941+180</f>
        <v>3898</v>
      </c>
      <c r="O19" s="365"/>
    </row>
    <row r="20" spans="3:16">
      <c r="C20" s="296"/>
      <c r="D20" s="297" t="s">
        <v>77</v>
      </c>
      <c r="E20" s="297"/>
      <c r="F20" s="298" t="s">
        <v>48</v>
      </c>
      <c r="K20" s="361" t="s">
        <v>147</v>
      </c>
      <c r="L20" s="362">
        <v>3061</v>
      </c>
      <c r="M20" s="351"/>
      <c r="N20" s="314"/>
      <c r="O20" s="367"/>
    </row>
    <row r="21" spans="3:16" ht="14.4" thickBot="1">
      <c r="C21" s="299" t="s">
        <v>76</v>
      </c>
      <c r="D21" s="300" t="s">
        <v>78</v>
      </c>
      <c r="E21" s="300" t="s">
        <v>62</v>
      </c>
      <c r="F21" s="301" t="s">
        <v>79</v>
      </c>
      <c r="K21" s="359"/>
      <c r="L21" s="360"/>
      <c r="M21" s="352"/>
      <c r="N21" s="354"/>
      <c r="O21" s="368"/>
    </row>
    <row r="22" spans="3:16" ht="14.4" thickTop="1">
      <c r="C22" s="304" t="str">
        <f>MVS!A17</f>
        <v>Bldg. 1 - Showroom / Sales</v>
      </c>
      <c r="D22" s="302" t="s">
        <v>136</v>
      </c>
      <c r="E22" s="305">
        <v>15</v>
      </c>
      <c r="F22" s="306">
        <v>50</v>
      </c>
      <c r="K22" s="349" t="s">
        <v>115</v>
      </c>
      <c r="L22" s="314">
        <f>SUM(L19:L21)</f>
        <v>26033</v>
      </c>
      <c r="M22" s="351"/>
      <c r="N22" s="314">
        <f>SUM(N19:N21)</f>
        <v>3898</v>
      </c>
      <c r="O22" s="365">
        <f>N22/L22</f>
        <v>0.14973303115276765</v>
      </c>
    </row>
    <row r="23" spans="3:16">
      <c r="C23" s="276" t="str">
        <f>MVS!A31</f>
        <v>Bldg. 2 - Auto Body &amp; Detail Shop</v>
      </c>
      <c r="D23" s="303" t="s">
        <v>136</v>
      </c>
      <c r="E23" s="308">
        <v>15</v>
      </c>
      <c r="F23" s="309">
        <v>50</v>
      </c>
      <c r="K23" s="363"/>
      <c r="L23" s="364"/>
      <c r="M23" s="363"/>
      <c r="N23" s="364"/>
      <c r="O23" s="367"/>
    </row>
    <row r="24" spans="3:16" ht="15.6" customHeight="1" thickBot="1">
      <c r="C24" s="276" t="str">
        <f>MVS!A46</f>
        <v>Bldg. 3 - Parts &amp; Service Center</v>
      </c>
      <c r="D24" s="303" t="s">
        <v>136</v>
      </c>
      <c r="E24" s="308">
        <v>15</v>
      </c>
      <c r="F24" s="309">
        <v>50</v>
      </c>
      <c r="K24" s="369" t="s">
        <v>139</v>
      </c>
      <c r="L24" s="370">
        <f>SUM(L10,L16,L22)</f>
        <v>41975</v>
      </c>
      <c r="M24" s="369"/>
      <c r="N24" s="371">
        <f>SUM(N10,N16,N22)</f>
        <v>11470</v>
      </c>
      <c r="O24" s="385">
        <f>N24/L24</f>
        <v>0.27325789160214414</v>
      </c>
    </row>
    <row r="25" spans="3:16" ht="15" thickTop="1" thickBot="1">
      <c r="C25" s="265" t="s">
        <v>74</v>
      </c>
      <c r="D25" s="307" t="s">
        <v>136</v>
      </c>
      <c r="E25" s="266">
        <v>7.5</v>
      </c>
      <c r="F25" s="267">
        <v>20</v>
      </c>
      <c r="K25" s="290"/>
      <c r="L25" s="291"/>
      <c r="M25" s="263"/>
      <c r="N25" s="263"/>
    </row>
    <row r="26" spans="3:16" ht="14.4" thickTop="1">
      <c r="K26" s="290"/>
      <c r="L26" s="291"/>
      <c r="M26" s="263"/>
      <c r="N26" s="264"/>
    </row>
    <row r="27" spans="3:16">
      <c r="L27" s="251"/>
    </row>
    <row r="28" spans="3:16">
      <c r="C28" s="296"/>
      <c r="D28" s="297" t="s">
        <v>128</v>
      </c>
      <c r="E28" s="297" t="s">
        <v>129</v>
      </c>
      <c r="F28" s="298"/>
      <c r="K28" s="317" t="s">
        <v>177</v>
      </c>
      <c r="L28" s="316" t="s">
        <v>140</v>
      </c>
      <c r="M28" s="315"/>
      <c r="N28" s="316" t="s">
        <v>36</v>
      </c>
    </row>
    <row r="29" spans="3:16">
      <c r="C29" s="296"/>
      <c r="D29" s="297" t="s">
        <v>130</v>
      </c>
      <c r="E29" s="297" t="s">
        <v>131</v>
      </c>
      <c r="F29" s="298" t="s">
        <v>48</v>
      </c>
      <c r="K29" s="386">
        <f>B5</f>
        <v>0</v>
      </c>
      <c r="L29" s="387">
        <f>N29/43560</f>
        <v>0</v>
      </c>
      <c r="M29" s="357"/>
      <c r="N29" s="350">
        <f>P5</f>
        <v>0</v>
      </c>
    </row>
    <row r="30" spans="3:16" ht="14.4" thickBot="1">
      <c r="C30" s="299" t="s">
        <v>132</v>
      </c>
      <c r="D30" s="297" t="s">
        <v>133</v>
      </c>
      <c r="E30" s="297" t="s">
        <v>134</v>
      </c>
      <c r="F30" s="298" t="s">
        <v>134</v>
      </c>
      <c r="K30" s="386">
        <f t="shared" ref="K30:K36" si="1">B6</f>
        <v>0</v>
      </c>
      <c r="L30" s="387">
        <f t="shared" ref="L30:L36" si="2">N30/43560</f>
        <v>0</v>
      </c>
      <c r="M30" s="357"/>
      <c r="N30" s="350">
        <f t="shared" ref="N30:N36" si="3">P6</f>
        <v>0</v>
      </c>
      <c r="P30" s="268"/>
    </row>
    <row r="31" spans="3:16" ht="14.4" thickTop="1">
      <c r="C31" s="304" t="str">
        <f>C22</f>
        <v>Bldg. 1 - Showroom / Sales</v>
      </c>
      <c r="D31" s="269">
        <f>MVS!N30</f>
        <v>875000</v>
      </c>
      <c r="E31" s="270">
        <f>E22/F22</f>
        <v>0.3</v>
      </c>
      <c r="F31" s="271">
        <f>ROUND(D31*E31,-3)</f>
        <v>263000</v>
      </c>
      <c r="K31" s="386">
        <f t="shared" si="1"/>
        <v>0</v>
      </c>
      <c r="L31" s="387">
        <f t="shared" si="2"/>
        <v>0</v>
      </c>
      <c r="M31" s="357"/>
      <c r="N31" s="350">
        <f t="shared" si="3"/>
        <v>0</v>
      </c>
      <c r="P31" s="268"/>
    </row>
    <row r="32" spans="3:16" ht="13.8" customHeight="1">
      <c r="C32" s="276" t="str">
        <f>C23</f>
        <v>Bldg. 2 - Auto Body &amp; Detail Shop</v>
      </c>
      <c r="D32" s="272">
        <f>MVS!N45</f>
        <v>771000</v>
      </c>
      <c r="E32" s="273">
        <f>E23/F23</f>
        <v>0.3</v>
      </c>
      <c r="F32" s="261">
        <f>ROUND(D32*E32,-3)</f>
        <v>231000</v>
      </c>
      <c r="K32" s="386">
        <f t="shared" si="1"/>
        <v>0</v>
      </c>
      <c r="L32" s="387">
        <f t="shared" si="2"/>
        <v>0</v>
      </c>
      <c r="M32" s="357"/>
      <c r="N32" s="350">
        <f t="shared" si="3"/>
        <v>0</v>
      </c>
      <c r="O32" s="274"/>
      <c r="P32" s="268"/>
    </row>
    <row r="33" spans="3:15" ht="13.8" customHeight="1">
      <c r="C33" s="276" t="str">
        <f>C24</f>
        <v>Bldg. 3 - Parts &amp; Service Center</v>
      </c>
      <c r="D33" s="272">
        <f>MVS!N58</f>
        <v>1782000</v>
      </c>
      <c r="E33" s="273">
        <f>E24/F24</f>
        <v>0.3</v>
      </c>
      <c r="F33" s="261">
        <f>ROUND(D33*E33,-3)</f>
        <v>535000</v>
      </c>
      <c r="K33" s="386">
        <f t="shared" si="1"/>
        <v>0</v>
      </c>
      <c r="L33" s="387">
        <f t="shared" si="2"/>
        <v>0</v>
      </c>
      <c r="M33" s="357"/>
      <c r="N33" s="350">
        <f t="shared" si="3"/>
        <v>0</v>
      </c>
      <c r="O33" s="274"/>
    </row>
    <row r="34" spans="3:15">
      <c r="C34" s="310" t="s">
        <v>74</v>
      </c>
      <c r="D34" s="272">
        <f>MVS!I66</f>
        <v>0</v>
      </c>
      <c r="E34" s="277">
        <f>E25/F25</f>
        <v>0.375</v>
      </c>
      <c r="F34" s="261">
        <f>ROUND(D34*E34,-3)</f>
        <v>0</v>
      </c>
      <c r="H34" s="251" t="s">
        <v>110</v>
      </c>
      <c r="K34" s="386">
        <f t="shared" si="1"/>
        <v>0</v>
      </c>
      <c r="L34" s="387">
        <f t="shared" si="2"/>
        <v>0</v>
      </c>
      <c r="M34" s="357"/>
      <c r="N34" s="350">
        <f t="shared" si="3"/>
        <v>0</v>
      </c>
      <c r="O34" s="274"/>
    </row>
    <row r="35" spans="3:15" ht="14.4" thickBot="1">
      <c r="C35" s="278" t="s">
        <v>75</v>
      </c>
      <c r="D35" s="279">
        <f>SUM(D31:D34)</f>
        <v>3428000</v>
      </c>
      <c r="E35" s="280">
        <f>F35/D35</f>
        <v>0.30046674445740956</v>
      </c>
      <c r="F35" s="281">
        <f>MROUND(SUM(F31:F34),5000)</f>
        <v>1030000</v>
      </c>
      <c r="K35" s="386">
        <f t="shared" si="1"/>
        <v>0</v>
      </c>
      <c r="L35" s="387">
        <f t="shared" si="2"/>
        <v>0</v>
      </c>
      <c r="M35" s="357"/>
      <c r="N35" s="350">
        <f t="shared" si="3"/>
        <v>0</v>
      </c>
      <c r="O35" s="274"/>
    </row>
    <row r="36" spans="3:15" ht="14.4" thickTop="1">
      <c r="K36" s="386">
        <f t="shared" si="1"/>
        <v>0</v>
      </c>
      <c r="L36" s="387">
        <f t="shared" si="2"/>
        <v>0</v>
      </c>
      <c r="M36" s="357"/>
      <c r="N36" s="350">
        <f t="shared" si="3"/>
        <v>0</v>
      </c>
      <c r="O36" s="274"/>
    </row>
    <row r="37" spans="3:15">
      <c r="C37" s="282"/>
      <c r="D37" s="254"/>
      <c r="E37" s="283"/>
      <c r="F37" s="255"/>
      <c r="K37" s="311" t="s">
        <v>83</v>
      </c>
      <c r="L37" s="406">
        <f>N37/43560</f>
        <v>0</v>
      </c>
      <c r="M37" s="311"/>
      <c r="N37" s="407">
        <f>SUM(N29:N36)</f>
        <v>0</v>
      </c>
      <c r="O37" s="274"/>
    </row>
    <row r="38" spans="3:15">
      <c r="C38" s="282"/>
      <c r="D38" s="254"/>
      <c r="E38" s="283"/>
      <c r="F38" s="255"/>
      <c r="O38" s="274"/>
    </row>
    <row r="39" spans="3:15" ht="14.4" thickBot="1">
      <c r="N39" s="275"/>
      <c r="O39" s="274"/>
    </row>
    <row r="40" spans="3:15" ht="14.4" thickBot="1">
      <c r="C40" s="298"/>
      <c r="D40" s="298"/>
      <c r="E40" s="298"/>
      <c r="F40" s="298"/>
      <c r="H40" s="388" t="s">
        <v>169</v>
      </c>
      <c r="N40" s="319"/>
      <c r="O40" s="318"/>
    </row>
    <row r="41" spans="3:15" ht="14.4" thickBot="1">
      <c r="C41" s="301" t="s">
        <v>85</v>
      </c>
      <c r="D41" s="301" t="s">
        <v>86</v>
      </c>
      <c r="E41" s="301" t="s">
        <v>87</v>
      </c>
      <c r="F41" s="301" t="s">
        <v>88</v>
      </c>
      <c r="H41" s="382" t="s">
        <v>46</v>
      </c>
      <c r="J41" s="389"/>
      <c r="K41" s="390"/>
      <c r="L41" s="390"/>
      <c r="M41" s="391"/>
      <c r="N41" s="320"/>
      <c r="O41" s="321"/>
    </row>
    <row r="42" spans="3:15" ht="24" customHeight="1" thickTop="1">
      <c r="C42" s="284" t="s">
        <v>89</v>
      </c>
      <c r="D42" s="254">
        <f>'Cost Approach'!H24</f>
        <v>0</v>
      </c>
      <c r="E42" s="285">
        <v>0.08</v>
      </c>
      <c r="F42" s="254">
        <f>D42*E42</f>
        <v>0</v>
      </c>
      <c r="H42" s="383">
        <f>F42/L24</f>
        <v>0</v>
      </c>
      <c r="I42" s="400"/>
      <c r="J42" s="392"/>
      <c r="K42" s="402" t="s">
        <v>149</v>
      </c>
      <c r="L42" s="403">
        <f>SUM(L6,L13,L14,L19)</f>
        <v>37648</v>
      </c>
      <c r="M42" s="393"/>
      <c r="N42" s="259"/>
    </row>
    <row r="43" spans="3:15" ht="14.4" thickBot="1">
      <c r="C43" s="284" t="s">
        <v>90</v>
      </c>
      <c r="D43" s="254">
        <f>'Cost Approach'!H21</f>
        <v>2400000</v>
      </c>
      <c r="E43" s="285">
        <v>0.08</v>
      </c>
      <c r="F43" s="254">
        <f>D43*E43</f>
        <v>192000</v>
      </c>
      <c r="H43" s="384">
        <f>F43/L24</f>
        <v>4.5741512805241218</v>
      </c>
      <c r="I43" s="400"/>
      <c r="J43" s="392"/>
      <c r="K43" s="402" t="s">
        <v>171</v>
      </c>
      <c r="L43" s="404">
        <f>$N$37/L24</f>
        <v>0</v>
      </c>
      <c r="M43" s="393"/>
      <c r="N43" s="259"/>
    </row>
    <row r="44" spans="3:15">
      <c r="C44" s="473"/>
      <c r="D44" s="475">
        <f>ROUND(SUM(D42:D43),-3)</f>
        <v>2400000</v>
      </c>
      <c r="E44" s="477">
        <f>F44/D44</f>
        <v>0.08</v>
      </c>
      <c r="F44" s="286">
        <f>SUM(F42:F43)</f>
        <v>192000</v>
      </c>
      <c r="H44" s="258"/>
      <c r="I44" s="258"/>
      <c r="J44" s="392"/>
      <c r="K44" s="402" t="s">
        <v>172</v>
      </c>
      <c r="L44" s="405" t="e">
        <f>L42/N37</f>
        <v>#DIV/0!</v>
      </c>
      <c r="M44" s="394"/>
    </row>
    <row r="45" spans="3:15" ht="14.4" thickBot="1">
      <c r="C45" s="474"/>
      <c r="D45" s="476"/>
      <c r="E45" s="478"/>
      <c r="F45" s="287">
        <f>F44/L24</f>
        <v>4.5741512805241218</v>
      </c>
      <c r="J45" s="395"/>
      <c r="K45" s="396"/>
      <c r="L45" s="397"/>
      <c r="M45" s="398"/>
    </row>
    <row r="46" spans="3:15" ht="14.4" thickTop="1">
      <c r="H46" s="252"/>
      <c r="I46" s="252"/>
      <c r="L46" s="251"/>
    </row>
    <row r="47" spans="3:15" ht="20.399999999999999" customHeight="1">
      <c r="C47" s="315"/>
      <c r="D47" s="315"/>
      <c r="E47" s="315"/>
      <c r="F47" s="345" t="s">
        <v>145</v>
      </c>
      <c r="G47" s="346"/>
      <c r="H47" s="345" t="s">
        <v>125</v>
      </c>
      <c r="I47" s="372"/>
      <c r="L47" s="251"/>
    </row>
    <row r="48" spans="3:15">
      <c r="C48" s="311" t="s">
        <v>92</v>
      </c>
      <c r="D48" s="315"/>
      <c r="E48" s="315"/>
      <c r="F48" s="342">
        <f>'Cost Approach'!H29</f>
        <v>2400000</v>
      </c>
      <c r="G48" s="315"/>
      <c r="H48" s="343">
        <v>0.4</v>
      </c>
      <c r="I48" s="343"/>
      <c r="J48" s="252"/>
      <c r="L48" s="251"/>
      <c r="N48" s="288"/>
    </row>
    <row r="49" spans="3:16">
      <c r="C49" s="311"/>
      <c r="D49" s="315"/>
      <c r="E49" s="315"/>
      <c r="F49" s="311"/>
      <c r="G49" s="315"/>
      <c r="H49" s="343"/>
      <c r="I49" s="343"/>
      <c r="L49" s="251"/>
      <c r="N49" s="288"/>
    </row>
    <row r="50" spans="3:16">
      <c r="C50" s="311" t="s">
        <v>93</v>
      </c>
      <c r="D50" s="315"/>
      <c r="E50" s="315"/>
      <c r="F50" s="342">
        <f>'Income Approach'!L36</f>
        <v>7150000</v>
      </c>
      <c r="G50" s="315"/>
      <c r="H50" s="343">
        <v>0</v>
      </c>
      <c r="I50" s="343"/>
      <c r="L50" s="251"/>
      <c r="N50" s="288"/>
    </row>
    <row r="51" spans="3:16">
      <c r="C51" s="311"/>
      <c r="D51" s="381" t="s">
        <v>168</v>
      </c>
      <c r="E51" s="315"/>
      <c r="F51" s="311"/>
      <c r="G51" s="315"/>
      <c r="H51" s="343"/>
      <c r="I51" s="343"/>
    </row>
    <row r="52" spans="3:16">
      <c r="C52" s="311" t="s">
        <v>146</v>
      </c>
      <c r="D52" s="380">
        <v>101</v>
      </c>
      <c r="E52" s="344">
        <f>ROUND(D52*L24,-4)</f>
        <v>4240000</v>
      </c>
      <c r="F52" s="311"/>
      <c r="G52" s="315"/>
      <c r="H52" s="343"/>
      <c r="I52" s="343"/>
    </row>
    <row r="53" spans="3:16">
      <c r="C53" s="315"/>
      <c r="D53" s="315"/>
      <c r="E53" s="378">
        <f>'Cost Approach'!H24</f>
        <v>0</v>
      </c>
      <c r="F53" s="347">
        <f>MROUND(SUM(E52:E53),10000)</f>
        <v>4240000</v>
      </c>
      <c r="G53" s="379">
        <f>F53/L24</f>
        <v>101.01250744490768</v>
      </c>
      <c r="H53" s="348">
        <v>0.6</v>
      </c>
      <c r="I53" s="401"/>
      <c r="N53" s="289"/>
      <c r="P53" s="260"/>
    </row>
    <row r="54" spans="3:16">
      <c r="C54" s="315"/>
      <c r="D54" s="315"/>
      <c r="E54" s="315"/>
      <c r="F54" s="315"/>
      <c r="G54" s="315"/>
      <c r="H54" s="343"/>
      <c r="I54" s="343"/>
      <c r="N54" s="289"/>
      <c r="P54" s="260"/>
    </row>
    <row r="55" spans="3:16">
      <c r="C55" s="315"/>
      <c r="D55" s="315"/>
      <c r="E55" s="315"/>
      <c r="F55" s="342">
        <f>MROUND((F48*H48+F50*H50+F53*H53),50000)</f>
        <v>3500000</v>
      </c>
      <c r="G55" s="315"/>
      <c r="H55" s="343">
        <f>SUM(H48:H53)</f>
        <v>1</v>
      </c>
      <c r="I55" s="343"/>
    </row>
    <row r="56" spans="3:16">
      <c r="H56" s="202"/>
      <c r="I56" s="202"/>
    </row>
  </sheetData>
  <mergeCells count="3">
    <mergeCell ref="C44:C45"/>
    <mergeCell ref="D44:D45"/>
    <mergeCell ref="E44:E4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>
      <selection activeCell="I9" sqref="I9"/>
    </sheetView>
  </sheetViews>
  <sheetFormatPr defaultRowHeight="13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97B8D0-8761-4990-A27E-CEE2A03C87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165FA6-2AAD-4ACF-9C4E-6A52CA3670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E06CCA-3FB3-47C3-A883-BE1C49C3B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MVS</vt:lpstr>
      <vt:lpstr>Cost Approach</vt:lpstr>
      <vt:lpstr>Income Approach</vt:lpstr>
      <vt:lpstr>Misc. Sheet</vt:lpstr>
      <vt:lpstr>BREAK</vt:lpstr>
      <vt:lpstr>'Cost Approach'!Print_Area</vt:lpstr>
      <vt:lpstr>'Income Approach'!Print_Area</vt:lpstr>
      <vt:lpstr>MVS!Print_Area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kmuel</cp:lastModifiedBy>
  <cp:lastPrinted>2019-02-26T22:37:37Z</cp:lastPrinted>
  <dcterms:created xsi:type="dcterms:W3CDTF">2008-08-17T19:33:57Z</dcterms:created>
  <dcterms:modified xsi:type="dcterms:W3CDTF">2020-11-16T01:49:06Z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ContentTypeId">
    <vt:lpwstr>0x010100CF5F8BD6FB4F524198FB3326D5055444</vt:lpwstr>
  </property>
</Properties>
</file>