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75" windowWidth="20115" windowHeight="8010" tabRatio="636"/>
  </bookViews>
  <sheets>
    <sheet name="Strategy" sheetId="3" r:id="rId1"/>
    <sheet name="Matched Bets Projections" sheetId="2" r:id="rId2"/>
    <sheet name="Betin Bets" sheetId="8" r:id="rId3"/>
    <sheet name="Value Bets Projections" sheetId="1" r:id="rId4"/>
    <sheet name="Arbitrage Bets Projections" sheetId="4" r:id="rId5"/>
    <sheet name="Notices" sheetId="5" r:id="rId6"/>
    <sheet name="Eligibility" sheetId="6" r:id="rId7"/>
  </sheets>
  <externalReferences>
    <externalReference r:id="rId8"/>
  </externalReferences>
  <definedNames>
    <definedName name="_xlnm._FilterDatabase" localSheetId="2" hidden="1">'Betin Bets'!$A$2:$AA$170</definedName>
    <definedName name="_xlnm._FilterDatabase" localSheetId="6" hidden="1">Eligibility!$A$6:$M$113</definedName>
  </definedNames>
  <calcPr calcId="145621"/>
</workbook>
</file>

<file path=xl/calcChain.xml><?xml version="1.0" encoding="utf-8"?>
<calcChain xmlns="http://schemas.openxmlformats.org/spreadsheetml/2006/main">
  <c r="Q250" i="8" l="1"/>
  <c r="Q249" i="8"/>
  <c r="Q248" i="8"/>
  <c r="Q247" i="8"/>
  <c r="Q246" i="8"/>
  <c r="Q245" i="8"/>
  <c r="Q244" i="8"/>
  <c r="Q243" i="8"/>
  <c r="Q242" i="8"/>
  <c r="Q241" i="8"/>
  <c r="Q240" i="8"/>
  <c r="Q239" i="8"/>
  <c r="Q238" i="8"/>
  <c r="Q237" i="8"/>
  <c r="Q236" i="8"/>
  <c r="Q235" i="8"/>
  <c r="Q234" i="8"/>
  <c r="Q233" i="8"/>
  <c r="Q232" i="8"/>
  <c r="Q231" i="8"/>
  <c r="Q230" i="8"/>
  <c r="Q229" i="8"/>
  <c r="Q228" i="8"/>
  <c r="Q227" i="8"/>
  <c r="Q226" i="8"/>
  <c r="Q225" i="8"/>
  <c r="Q224" i="8"/>
  <c r="Q223" i="8"/>
  <c r="Q222" i="8"/>
  <c r="Q221" i="8"/>
  <c r="Q220" i="8"/>
  <c r="Q219" i="8"/>
  <c r="Q218" i="8"/>
  <c r="Q217" i="8"/>
  <c r="Q216" i="8"/>
  <c r="Q215" i="8"/>
  <c r="Q214" i="8"/>
  <c r="Q213" i="8"/>
  <c r="Q212" i="8"/>
  <c r="Q211" i="8"/>
  <c r="Q210" i="8"/>
  <c r="Q209" i="8"/>
  <c r="Q208" i="8"/>
  <c r="Q207" i="8"/>
  <c r="Q206" i="8"/>
  <c r="R205" i="8"/>
  <c r="R206" i="8" s="1"/>
  <c r="R207" i="8" s="1"/>
  <c r="R208" i="8" s="1"/>
  <c r="R209" i="8" s="1"/>
  <c r="R210" i="8" s="1"/>
  <c r="R211" i="8" s="1"/>
  <c r="R212" i="8" s="1"/>
  <c r="R213" i="8" s="1"/>
  <c r="R214" i="8" s="1"/>
  <c r="R215" i="8" s="1"/>
  <c r="R216" i="8" s="1"/>
  <c r="R217" i="8" s="1"/>
  <c r="R218" i="8" s="1"/>
  <c r="R219" i="8" s="1"/>
  <c r="R220" i="8" s="1"/>
  <c r="R221" i="8" s="1"/>
  <c r="R222" i="8" s="1"/>
  <c r="R223" i="8" s="1"/>
  <c r="R224" i="8" s="1"/>
  <c r="R225" i="8" s="1"/>
  <c r="R226" i="8" s="1"/>
  <c r="R227" i="8" s="1"/>
  <c r="R228" i="8" s="1"/>
  <c r="R229" i="8" s="1"/>
  <c r="R230" i="8" s="1"/>
  <c r="R231" i="8" s="1"/>
  <c r="R232" i="8" s="1"/>
  <c r="R233" i="8" s="1"/>
  <c r="R234" i="8" s="1"/>
  <c r="R235" i="8" s="1"/>
  <c r="R236" i="8" s="1"/>
  <c r="R237" i="8" s="1"/>
  <c r="R238" i="8" s="1"/>
  <c r="R239" i="8" s="1"/>
  <c r="R240" i="8" s="1"/>
  <c r="R241" i="8" s="1"/>
  <c r="R242" i="8" s="1"/>
  <c r="R243" i="8" s="1"/>
  <c r="R244" i="8" s="1"/>
  <c r="R245" i="8" s="1"/>
  <c r="R246" i="8" s="1"/>
  <c r="R247" i="8" s="1"/>
  <c r="R248" i="8" s="1"/>
  <c r="R249" i="8" s="1"/>
  <c r="R250" i="8" s="1"/>
  <c r="Q205" i="8"/>
  <c r="S205" i="8" s="1"/>
  <c r="R204" i="8"/>
  <c r="Q204" i="8"/>
  <c r="S204" i="8" s="1"/>
  <c r="Q203" i="8"/>
  <c r="Q202" i="8"/>
  <c r="Q201" i="8"/>
  <c r="Q200" i="8"/>
  <c r="Q199" i="8"/>
  <c r="Q198" i="8"/>
  <c r="Q197" i="8"/>
  <c r="Q196" i="8"/>
  <c r="Q195" i="8"/>
  <c r="Q194" i="8"/>
  <c r="Q193" i="8"/>
  <c r="Q192" i="8"/>
  <c r="Q191" i="8"/>
  <c r="R190" i="8"/>
  <c r="R191" i="8" s="1"/>
  <c r="R192" i="8" s="1"/>
  <c r="R193" i="8" s="1"/>
  <c r="R194" i="8" s="1"/>
  <c r="R195" i="8" s="1"/>
  <c r="R196" i="8" s="1"/>
  <c r="R197" i="8" s="1"/>
  <c r="R198" i="8" s="1"/>
  <c r="R199" i="8" s="1"/>
  <c r="R200" i="8" s="1"/>
  <c r="R201" i="8" s="1"/>
  <c r="R202" i="8" s="1"/>
  <c r="R203" i="8" s="1"/>
  <c r="Q190" i="8"/>
  <c r="S190" i="8" s="1"/>
  <c r="Q189" i="8"/>
  <c r="Q188" i="8"/>
  <c r="Q187" i="8"/>
  <c r="Q186" i="8"/>
  <c r="T185" i="8"/>
  <c r="T186" i="8" s="1"/>
  <c r="R185" i="8"/>
  <c r="R186" i="8" s="1"/>
  <c r="R187" i="8" s="1"/>
  <c r="R188" i="8" s="1"/>
  <c r="R189" i="8" s="1"/>
  <c r="Q185" i="8"/>
  <c r="S185" i="8" s="1"/>
  <c r="Q184" i="8"/>
  <c r="R183" i="8"/>
  <c r="R184" i="8" s="1"/>
  <c r="Q183" i="8"/>
  <c r="S183" i="8" s="1"/>
  <c r="Q182" i="8"/>
  <c r="Q181" i="8"/>
  <c r="Q180" i="8"/>
  <c r="Q179" i="8"/>
  <c r="Q178" i="8"/>
  <c r="R177" i="8"/>
  <c r="R178" i="8" s="1"/>
  <c r="R179" i="8" s="1"/>
  <c r="R180" i="8" s="1"/>
  <c r="R181" i="8" s="1"/>
  <c r="R182" i="8" s="1"/>
  <c r="Q177" i="8"/>
  <c r="S177" i="8" s="1"/>
  <c r="Q176" i="8"/>
  <c r="R175" i="8"/>
  <c r="R176" i="8" s="1"/>
  <c r="Q175" i="8"/>
  <c r="S175" i="8" s="1"/>
  <c r="Q174" i="8"/>
  <c r="R173" i="8"/>
  <c r="R174" i="8" s="1"/>
  <c r="Q173" i="8"/>
  <c r="S173" i="8" s="1"/>
  <c r="Q172" i="8"/>
  <c r="Q171" i="8"/>
  <c r="Q170" i="8"/>
  <c r="Q169" i="8"/>
  <c r="Q168" i="8"/>
  <c r="Q167" i="8"/>
  <c r="Q166" i="8"/>
  <c r="Q165" i="8"/>
  <c r="Q164" i="8"/>
  <c r="Q163" i="8"/>
  <c r="Q162" i="8"/>
  <c r="Q161" i="8"/>
  <c r="Q160" i="8"/>
  <c r="R159" i="8"/>
  <c r="R160" i="8" s="1"/>
  <c r="R161" i="8" s="1"/>
  <c r="R162" i="8" s="1"/>
  <c r="R163" i="8" s="1"/>
  <c r="R164" i="8" s="1"/>
  <c r="R165" i="8" s="1"/>
  <c r="R166" i="8" s="1"/>
  <c r="R167" i="8" s="1"/>
  <c r="R168" i="8" s="1"/>
  <c r="R169" i="8" s="1"/>
  <c r="R170" i="8" s="1"/>
  <c r="R171" i="8" s="1"/>
  <c r="R172" i="8" s="1"/>
  <c r="Q159" i="8"/>
  <c r="S159" i="8" s="1"/>
  <c r="Q158" i="8"/>
  <c r="Q157" i="8"/>
  <c r="Q156" i="8"/>
  <c r="Q155" i="8"/>
  <c r="Q154" i="8"/>
  <c r="Q153" i="8"/>
  <c r="Q152" i="8"/>
  <c r="Q151" i="8"/>
  <c r="Q150" i="8"/>
  <c r="Q149" i="8"/>
  <c r="Q148" i="8"/>
  <c r="Q147" i="8"/>
  <c r="Q146" i="8"/>
  <c r="Q145" i="8"/>
  <c r="Q144" i="8"/>
  <c r="Q143" i="8"/>
  <c r="Q142" i="8"/>
  <c r="Q141" i="8"/>
  <c r="Q140" i="8"/>
  <c r="Q139" i="8"/>
  <c r="Q138" i="8"/>
  <c r="Q137" i="8"/>
  <c r="Q136" i="8"/>
  <c r="Q135" i="8"/>
  <c r="Q134" i="8"/>
  <c r="Q133" i="8"/>
  <c r="Q132" i="8"/>
  <c r="Q131" i="8"/>
  <c r="Q130" i="8"/>
  <c r="Q129" i="8"/>
  <c r="R128" i="8"/>
  <c r="R129" i="8" s="1"/>
  <c r="R130" i="8" s="1"/>
  <c r="R131" i="8" s="1"/>
  <c r="R132" i="8" s="1"/>
  <c r="R133" i="8" s="1"/>
  <c r="R134" i="8" s="1"/>
  <c r="R135" i="8" s="1"/>
  <c r="R136" i="8" s="1"/>
  <c r="R137" i="8" s="1"/>
  <c r="R138" i="8" s="1"/>
  <c r="R139" i="8" s="1"/>
  <c r="R140" i="8" s="1"/>
  <c r="R141" i="8" s="1"/>
  <c r="R142" i="8" s="1"/>
  <c r="R143" i="8" s="1"/>
  <c r="R144" i="8" s="1"/>
  <c r="R145" i="8" s="1"/>
  <c r="R146" i="8" s="1"/>
  <c r="R147" i="8" s="1"/>
  <c r="R148" i="8" s="1"/>
  <c r="R149" i="8" s="1"/>
  <c r="R150" i="8" s="1"/>
  <c r="R151" i="8" s="1"/>
  <c r="R152" i="8" s="1"/>
  <c r="R153" i="8" s="1"/>
  <c r="R154" i="8" s="1"/>
  <c r="R155" i="8" s="1"/>
  <c r="R156" i="8" s="1"/>
  <c r="R157" i="8" s="1"/>
  <c r="R158" i="8" s="1"/>
  <c r="Q128" i="8"/>
  <c r="S128" i="8" s="1"/>
  <c r="Q127" i="8"/>
  <c r="R126" i="8"/>
  <c r="R127" i="8" s="1"/>
  <c r="Q126" i="8"/>
  <c r="S126" i="8" s="1"/>
  <c r="Q125" i="8"/>
  <c r="Q124" i="8"/>
  <c r="Q123" i="8"/>
  <c r="R122" i="8"/>
  <c r="R123" i="8" s="1"/>
  <c r="R124" i="8" s="1"/>
  <c r="R125" i="8" s="1"/>
  <c r="Q122" i="8"/>
  <c r="R121" i="8"/>
  <c r="Q121" i="8"/>
  <c r="S121" i="8" s="1"/>
  <c r="R120" i="8"/>
  <c r="Q120" i="8"/>
  <c r="S120" i="8" s="1"/>
  <c r="R119" i="8"/>
  <c r="Q119" i="8"/>
  <c r="S119" i="8" s="1"/>
  <c r="Q118" i="8"/>
  <c r="Q117" i="8"/>
  <c r="Q116" i="8"/>
  <c r="Q115" i="8"/>
  <c r="Q114" i="8"/>
  <c r="Q113" i="8"/>
  <c r="Q112" i="8"/>
  <c r="Q111" i="8"/>
  <c r="Q110" i="8"/>
  <c r="Q109" i="8"/>
  <c r="Q108" i="8"/>
  <c r="Q107" i="8"/>
  <c r="R106" i="8"/>
  <c r="R107" i="8" s="1"/>
  <c r="R108" i="8" s="1"/>
  <c r="R109" i="8" s="1"/>
  <c r="R110" i="8" s="1"/>
  <c r="R111" i="8" s="1"/>
  <c r="R112" i="8" s="1"/>
  <c r="R113" i="8" s="1"/>
  <c r="R114" i="8" s="1"/>
  <c r="R115" i="8" s="1"/>
  <c r="R116" i="8" s="1"/>
  <c r="R117" i="8" s="1"/>
  <c r="R118" i="8" s="1"/>
  <c r="Q106" i="8"/>
  <c r="R105" i="8"/>
  <c r="Q105" i="8"/>
  <c r="S105" i="8" s="1"/>
  <c r="Q104" i="8"/>
  <c r="Q103" i="8"/>
  <c r="R102" i="8"/>
  <c r="R103" i="8" s="1"/>
  <c r="R104" i="8" s="1"/>
  <c r="Q102" i="8"/>
  <c r="R101" i="8"/>
  <c r="Q101" i="8"/>
  <c r="S101" i="8" s="1"/>
  <c r="Q100" i="8"/>
  <c r="Q99" i="8"/>
  <c r="Q98" i="8"/>
  <c r="R97" i="8"/>
  <c r="R98" i="8" s="1"/>
  <c r="R99" i="8" s="1"/>
  <c r="R100" i="8" s="1"/>
  <c r="Q97" i="8"/>
  <c r="S97" i="8" s="1"/>
  <c r="Q96" i="8"/>
  <c r="Q95" i="8"/>
  <c r="Q94" i="8"/>
  <c r="Q93" i="8"/>
  <c r="Q92" i="8"/>
  <c r="Q91" i="8"/>
  <c r="Q90" i="8"/>
  <c r="R89" i="8"/>
  <c r="R90" i="8" s="1"/>
  <c r="R91" i="8" s="1"/>
  <c r="R92" i="8" s="1"/>
  <c r="R93" i="8" s="1"/>
  <c r="R94" i="8" s="1"/>
  <c r="R95" i="8" s="1"/>
  <c r="R96" i="8" s="1"/>
  <c r="Q89" i="8"/>
  <c r="S89" i="8" s="1"/>
  <c r="R88" i="8"/>
  <c r="Q88" i="8"/>
  <c r="R87" i="8"/>
  <c r="Q87" i="8"/>
  <c r="S87" i="8" s="1"/>
  <c r="R86" i="8"/>
  <c r="Q86" i="8"/>
  <c r="R85" i="8"/>
  <c r="Q85" i="8"/>
  <c r="S85" i="8" s="1"/>
  <c r="Q84" i="8"/>
  <c r="Q83" i="8"/>
  <c r="Q82" i="8"/>
  <c r="Q81" i="8"/>
  <c r="Q80" i="8"/>
  <c r="Q79" i="8"/>
  <c r="Q78" i="8"/>
  <c r="Q77" i="8"/>
  <c r="Q76" i="8"/>
  <c r="Q75" i="8"/>
  <c r="R74" i="8"/>
  <c r="R75" i="8" s="1"/>
  <c r="R76" i="8" s="1"/>
  <c r="R77" i="8" s="1"/>
  <c r="R78" i="8" s="1"/>
  <c r="R79" i="8" s="1"/>
  <c r="R80" i="8" s="1"/>
  <c r="R81" i="8" s="1"/>
  <c r="R82" i="8" s="1"/>
  <c r="R83" i="8" s="1"/>
  <c r="R84" i="8" s="1"/>
  <c r="Q74" i="8"/>
  <c r="S74" i="8" s="1"/>
  <c r="Q73" i="8"/>
  <c r="Q72" i="8"/>
  <c r="Q71" i="8"/>
  <c r="Q70" i="8"/>
  <c r="Q69" i="8"/>
  <c r="Q68" i="8"/>
  <c r="Q67" i="8"/>
  <c r="Q66" i="8"/>
  <c r="Q65" i="8"/>
  <c r="R64" i="8"/>
  <c r="R65" i="8" s="1"/>
  <c r="R66" i="8" s="1"/>
  <c r="R67" i="8" s="1"/>
  <c r="R68" i="8" s="1"/>
  <c r="R69" i="8" s="1"/>
  <c r="R70" i="8" s="1"/>
  <c r="R71" i="8" s="1"/>
  <c r="R72" i="8" s="1"/>
  <c r="R73" i="8" s="1"/>
  <c r="Q64" i="8"/>
  <c r="R63" i="8"/>
  <c r="Q63" i="8"/>
  <c r="S63" i="8" s="1"/>
  <c r="Q62" i="8"/>
  <c r="Q61" i="8"/>
  <c r="R60" i="8"/>
  <c r="R61" i="8" s="1"/>
  <c r="R62" i="8" s="1"/>
  <c r="Q60" i="8"/>
  <c r="R59" i="8"/>
  <c r="Q59" i="8"/>
  <c r="S59" i="8" s="1"/>
  <c r="Q58" i="8"/>
  <c r="Q57" i="8"/>
  <c r="Q56" i="8"/>
  <c r="Q55" i="8"/>
  <c r="R54" i="8"/>
  <c r="R55" i="8" s="1"/>
  <c r="R56" i="8" s="1"/>
  <c r="R57" i="8" s="1"/>
  <c r="R58" i="8" s="1"/>
  <c r="Q54" i="8"/>
  <c r="S54" i="8" s="1"/>
  <c r="Q53" i="8"/>
  <c r="R52" i="8"/>
  <c r="R53" i="8" s="1"/>
  <c r="Q52" i="8"/>
  <c r="R51" i="8"/>
  <c r="Q51" i="8"/>
  <c r="S51" i="8" s="1"/>
  <c r="Q50" i="8"/>
  <c r="Q49" i="8"/>
  <c r="Q48" i="8"/>
  <c r="T47" i="8"/>
  <c r="R47" i="8"/>
  <c r="R48" i="8" s="1"/>
  <c r="R49" i="8" s="1"/>
  <c r="R50" i="8" s="1"/>
  <c r="Q47" i="8"/>
  <c r="S47" i="8" s="1"/>
  <c r="Q46" i="8"/>
  <c r="Q45" i="8"/>
  <c r="Q44" i="8"/>
  <c r="Q43" i="8"/>
  <c r="Q42" i="8"/>
  <c r="Q41" i="8"/>
  <c r="Q40" i="8"/>
  <c r="T39" i="8"/>
  <c r="T40" i="8" s="1"/>
  <c r="R39" i="8"/>
  <c r="R40" i="8" s="1"/>
  <c r="R41" i="8" s="1"/>
  <c r="R42" i="8" s="1"/>
  <c r="R43" i="8" s="1"/>
  <c r="R44" i="8" s="1"/>
  <c r="R45" i="8" s="1"/>
  <c r="R46" i="8" s="1"/>
  <c r="Q39" i="8"/>
  <c r="S39" i="8" s="1"/>
  <c r="Q38" i="8"/>
  <c r="Q37" i="8"/>
  <c r="Q36" i="8"/>
  <c r="Q35" i="8"/>
  <c r="Q34" i="8"/>
  <c r="Q33" i="8"/>
  <c r="Q32" i="8"/>
  <c r="R31" i="8"/>
  <c r="R32" i="8" s="1"/>
  <c r="R33" i="8" s="1"/>
  <c r="R34" i="8" s="1"/>
  <c r="R35" i="8" s="1"/>
  <c r="R36" i="8" s="1"/>
  <c r="R37" i="8" s="1"/>
  <c r="R38" i="8" s="1"/>
  <c r="Q31" i="8"/>
  <c r="R30" i="8"/>
  <c r="Q30" i="8"/>
  <c r="S30" i="8" s="1"/>
  <c r="Q29" i="8"/>
  <c r="Q28" i="8"/>
  <c r="Q27" i="8"/>
  <c r="Q26" i="8"/>
  <c r="R25" i="8"/>
  <c r="R26" i="8" s="1"/>
  <c r="R27" i="8" s="1"/>
  <c r="R28" i="8" s="1"/>
  <c r="R29" i="8" s="1"/>
  <c r="Q25" i="8"/>
  <c r="R24" i="8"/>
  <c r="Q24" i="8"/>
  <c r="T24" i="8" s="1"/>
  <c r="Q23" i="8"/>
  <c r="Q22" i="8"/>
  <c r="Q21" i="8"/>
  <c r="Q20" i="8"/>
  <c r="R19" i="8"/>
  <c r="R20" i="8" s="1"/>
  <c r="R21" i="8" s="1"/>
  <c r="R22" i="8" s="1"/>
  <c r="R23" i="8" s="1"/>
  <c r="Q19" i="8"/>
  <c r="S19" i="8" s="1"/>
  <c r="Q18" i="8"/>
  <c r="Q17" i="8"/>
  <c r="Q16" i="8"/>
  <c r="R15" i="8"/>
  <c r="R16" i="8" s="1"/>
  <c r="R17" i="8" s="1"/>
  <c r="R18" i="8" s="1"/>
  <c r="Q15" i="8"/>
  <c r="R14" i="8"/>
  <c r="Q14" i="8"/>
  <c r="S14" i="8" s="1"/>
  <c r="Q13" i="8"/>
  <c r="Q12" i="8"/>
  <c r="Q11" i="8"/>
  <c r="Q10" i="8"/>
  <c r="R9" i="8"/>
  <c r="R10" i="8" s="1"/>
  <c r="R11" i="8" s="1"/>
  <c r="R12" i="8" s="1"/>
  <c r="R13" i="8" s="1"/>
  <c r="Q9" i="8"/>
  <c r="S9" i="8" s="1"/>
  <c r="Q8" i="8"/>
  <c r="R7" i="8"/>
  <c r="R8" i="8" s="1"/>
  <c r="Q7" i="8"/>
  <c r="S7" i="8" s="1"/>
  <c r="Q6" i="8"/>
  <c r="R5" i="8"/>
  <c r="R6" i="8" s="1"/>
  <c r="Q5" i="8"/>
  <c r="S5" i="8" s="1"/>
  <c r="AB4" i="8"/>
  <c r="Q4" i="8"/>
  <c r="AB3" i="8"/>
  <c r="R3" i="8"/>
  <c r="R4" i="8" s="1"/>
  <c r="Q3" i="8"/>
  <c r="T3" i="8" s="1"/>
  <c r="F3" i="8"/>
  <c r="V3" i="8" s="1"/>
  <c r="C4" i="8" s="1"/>
  <c r="F4" i="8" s="1"/>
  <c r="V4" i="8" s="1"/>
  <c r="C5" i="8" s="1"/>
  <c r="F5" i="8" s="1"/>
  <c r="S6" i="8" l="1"/>
  <c r="S10" i="8"/>
  <c r="S15" i="8"/>
  <c r="S16" i="8" s="1"/>
  <c r="S17" i="8" s="1"/>
  <c r="S18" i="8" s="1"/>
  <c r="T41" i="8"/>
  <c r="S52" i="8"/>
  <c r="S53" i="8"/>
  <c r="V5" i="8"/>
  <c r="C6" i="8" s="1"/>
  <c r="F6" i="8" s="1"/>
  <c r="V6" i="8" s="1"/>
  <c r="C7" i="8" s="1"/>
  <c r="F7" i="8" s="1"/>
  <c r="H5" i="8"/>
  <c r="H6" i="8" s="1"/>
  <c r="T4" i="8"/>
  <c r="U3" i="8"/>
  <c r="S8" i="8"/>
  <c r="S11" i="8"/>
  <c r="S12" i="8" s="1"/>
  <c r="S13" i="8" s="1"/>
  <c r="S20" i="8"/>
  <c r="S21" i="8" s="1"/>
  <c r="S22" i="8" s="1"/>
  <c r="S23" i="8" s="1"/>
  <c r="T25" i="8"/>
  <c r="S31" i="8"/>
  <c r="S32" i="8"/>
  <c r="S33" i="8" s="1"/>
  <c r="S34" i="8" s="1"/>
  <c r="S35" i="8" s="1"/>
  <c r="S36" i="8" s="1"/>
  <c r="S37" i="8" s="1"/>
  <c r="S38" i="8" s="1"/>
  <c r="S40" i="8"/>
  <c r="S41" i="8" s="1"/>
  <c r="S42" i="8" s="1"/>
  <c r="S43" i="8" s="1"/>
  <c r="S44" i="8" s="1"/>
  <c r="S45" i="8" s="1"/>
  <c r="S46" i="8" s="1"/>
  <c r="S48" i="8"/>
  <c r="S49" i="8" s="1"/>
  <c r="S50" i="8" s="1"/>
  <c r="S55" i="8"/>
  <c r="S56" i="8" s="1"/>
  <c r="S57" i="8" s="1"/>
  <c r="S58" i="8" s="1"/>
  <c r="S60" i="8"/>
  <c r="S61" i="8" s="1"/>
  <c r="S62" i="8" s="1"/>
  <c r="S64" i="8"/>
  <c r="S65" i="8" s="1"/>
  <c r="S66" i="8" s="1"/>
  <c r="S67" i="8" s="1"/>
  <c r="S68" i="8" s="1"/>
  <c r="S69" i="8" s="1"/>
  <c r="S70" i="8" s="1"/>
  <c r="S71" i="8" s="1"/>
  <c r="S72" i="8" s="1"/>
  <c r="S73" i="8" s="1"/>
  <c r="S3" i="8"/>
  <c r="S4" i="8" s="1"/>
  <c r="G250" i="8"/>
  <c r="G249" i="8"/>
  <c r="G248" i="8"/>
  <c r="G247" i="8"/>
  <c r="G246" i="8"/>
  <c r="G245" i="8"/>
  <c r="G244" i="8"/>
  <c r="G243" i="8"/>
  <c r="G242" i="8"/>
  <c r="G241" i="8"/>
  <c r="G240" i="8"/>
  <c r="G239" i="8"/>
  <c r="G238" i="8"/>
  <c r="G237" i="8"/>
  <c r="G236" i="8"/>
  <c r="G235" i="8"/>
  <c r="G234" i="8"/>
  <c r="G233" i="8"/>
  <c r="G232" i="8"/>
  <c r="G231" i="8"/>
  <c r="G230" i="8"/>
  <c r="G229" i="8"/>
  <c r="G228" i="8"/>
  <c r="G227" i="8"/>
  <c r="G226" i="8"/>
  <c r="G225" i="8"/>
  <c r="G224" i="8"/>
  <c r="G223" i="8"/>
  <c r="G222" i="8"/>
  <c r="G221" i="8"/>
  <c r="G220" i="8"/>
  <c r="G219" i="8"/>
  <c r="G218" i="8"/>
  <c r="G217" i="8"/>
  <c r="G216" i="8"/>
  <c r="G215" i="8"/>
  <c r="G214" i="8"/>
  <c r="G213" i="8"/>
  <c r="G212" i="8"/>
  <c r="G211" i="8"/>
  <c r="G210" i="8"/>
  <c r="G209" i="8"/>
  <c r="G208" i="8"/>
  <c r="G207" i="8"/>
  <c r="G206" i="8"/>
  <c r="G205" i="8"/>
  <c r="G204" i="8"/>
  <c r="H3" i="8"/>
  <c r="H4" i="8" s="1"/>
  <c r="S24" i="8"/>
  <c r="S25" i="8" s="1"/>
  <c r="S26" i="8" s="1"/>
  <c r="S27" i="8" s="1"/>
  <c r="S28" i="8" s="1"/>
  <c r="S29" i="8" s="1"/>
  <c r="T48" i="8"/>
  <c r="S75" i="8"/>
  <c r="S86" i="8"/>
  <c r="S88" i="8"/>
  <c r="S90" i="8"/>
  <c r="S102" i="8"/>
  <c r="S103" i="8"/>
  <c r="S104" i="8" s="1"/>
  <c r="S106" i="8"/>
  <c r="S107" i="8"/>
  <c r="S122" i="8"/>
  <c r="S123" i="8" s="1"/>
  <c r="S124" i="8" s="1"/>
  <c r="S125" i="8" s="1"/>
  <c r="S129" i="8"/>
  <c r="S76" i="8"/>
  <c r="S77" i="8" s="1"/>
  <c r="S78" i="8" s="1"/>
  <c r="S79" i="8" s="1"/>
  <c r="S80" i="8" s="1"/>
  <c r="S81" i="8" s="1"/>
  <c r="S82" i="8" s="1"/>
  <c r="S83" i="8" s="1"/>
  <c r="S84" i="8" s="1"/>
  <c r="S91" i="8"/>
  <c r="S92" i="8" s="1"/>
  <c r="S93" i="8" s="1"/>
  <c r="S94" i="8" s="1"/>
  <c r="S95" i="8" s="1"/>
  <c r="S96" i="8" s="1"/>
  <c r="S98" i="8"/>
  <c r="S99" i="8" s="1"/>
  <c r="S100" i="8" s="1"/>
  <c r="S108" i="8"/>
  <c r="S109" i="8" s="1"/>
  <c r="S110" i="8" s="1"/>
  <c r="S111" i="8" s="1"/>
  <c r="S112" i="8" s="1"/>
  <c r="S113" i="8" s="1"/>
  <c r="S114" i="8" s="1"/>
  <c r="S115" i="8" s="1"/>
  <c r="S116" i="8" s="1"/>
  <c r="S117" i="8" s="1"/>
  <c r="S118" i="8" s="1"/>
  <c r="S127" i="8"/>
  <c r="S130" i="8"/>
  <c r="S131" i="8" s="1"/>
  <c r="S132" i="8" s="1"/>
  <c r="S133" i="8" s="1"/>
  <c r="S134" i="8" s="1"/>
  <c r="S135" i="8" s="1"/>
  <c r="S136" i="8" s="1"/>
  <c r="S137" i="8" s="1"/>
  <c r="S138" i="8" s="1"/>
  <c r="S139" i="8" s="1"/>
  <c r="S140" i="8" s="1"/>
  <c r="S141" i="8" s="1"/>
  <c r="S142" i="8" s="1"/>
  <c r="S143" i="8" s="1"/>
  <c r="S144" i="8" s="1"/>
  <c r="S145" i="8" s="1"/>
  <c r="S146" i="8" s="1"/>
  <c r="S147" i="8" s="1"/>
  <c r="S148" i="8" s="1"/>
  <c r="S149" i="8" s="1"/>
  <c r="S150" i="8" s="1"/>
  <c r="S151" i="8" s="1"/>
  <c r="S152" i="8" s="1"/>
  <c r="S153" i="8" s="1"/>
  <c r="S154" i="8" s="1"/>
  <c r="S155" i="8" s="1"/>
  <c r="S156" i="8" s="1"/>
  <c r="S157" i="8" s="1"/>
  <c r="S158" i="8" s="1"/>
  <c r="S160" i="8"/>
  <c r="S161" i="8" s="1"/>
  <c r="S162" i="8" s="1"/>
  <c r="S163" i="8" s="1"/>
  <c r="S164" i="8" s="1"/>
  <c r="S165" i="8" s="1"/>
  <c r="S166" i="8" s="1"/>
  <c r="S167" i="8" s="1"/>
  <c r="S168" i="8" s="1"/>
  <c r="S169" i="8" s="1"/>
  <c r="S170" i="8" s="1"/>
  <c r="S171" i="8" s="1"/>
  <c r="S172" i="8" s="1"/>
  <c r="S176" i="8"/>
  <c r="S184" i="8"/>
  <c r="S186" i="8"/>
  <c r="S174" i="8"/>
  <c r="S178" i="8"/>
  <c r="S179" i="8" s="1"/>
  <c r="S180" i="8" s="1"/>
  <c r="S181" i="8" s="1"/>
  <c r="S182" i="8" s="1"/>
  <c r="T187" i="8"/>
  <c r="S187" i="8"/>
  <c r="S191" i="8"/>
  <c r="S188" i="8"/>
  <c r="S189" i="8" s="1"/>
  <c r="S192" i="8"/>
  <c r="S193" i="8" s="1"/>
  <c r="S194" i="8" s="1"/>
  <c r="S195" i="8" s="1"/>
  <c r="S196" i="8" s="1"/>
  <c r="S197" i="8" s="1"/>
  <c r="S198" i="8" s="1"/>
  <c r="S199" i="8" s="1"/>
  <c r="S200" i="8" s="1"/>
  <c r="S201" i="8" s="1"/>
  <c r="S202" i="8" s="1"/>
  <c r="S203" i="8" s="1"/>
  <c r="S206" i="8"/>
  <c r="S207" i="8" s="1"/>
  <c r="S208" i="8" s="1"/>
  <c r="S209" i="8" s="1"/>
  <c r="S210" i="8" s="1"/>
  <c r="S211" i="8" s="1"/>
  <c r="S212" i="8" s="1"/>
  <c r="S213" i="8" s="1"/>
  <c r="S214" i="8" s="1"/>
  <c r="S215" i="8" s="1"/>
  <c r="S216" i="8" s="1"/>
  <c r="S217" i="8" s="1"/>
  <c r="S218" i="8" s="1"/>
  <c r="S219" i="8" s="1"/>
  <c r="S220" i="8" s="1"/>
  <c r="S221" i="8" s="1"/>
  <c r="S222" i="8" s="1"/>
  <c r="S223" i="8" s="1"/>
  <c r="S224" i="8" s="1"/>
  <c r="S225" i="8" s="1"/>
  <c r="S226" i="8" s="1"/>
  <c r="S227" i="8" s="1"/>
  <c r="S228" i="8" s="1"/>
  <c r="S229" i="8" s="1"/>
  <c r="S230" i="8" s="1"/>
  <c r="S231" i="8" s="1"/>
  <c r="S232" i="8" s="1"/>
  <c r="S233" i="8" s="1"/>
  <c r="S234" i="8" s="1"/>
  <c r="S235" i="8" s="1"/>
  <c r="S236" i="8" s="1"/>
  <c r="S237" i="8" s="1"/>
  <c r="S238" i="8" s="1"/>
  <c r="S239" i="8" s="1"/>
  <c r="S240" i="8" s="1"/>
  <c r="S241" i="8" s="1"/>
  <c r="S242" i="8" s="1"/>
  <c r="S243" i="8" s="1"/>
  <c r="S244" i="8" s="1"/>
  <c r="S245" i="8" s="1"/>
  <c r="S246" i="8" s="1"/>
  <c r="S247" i="8" s="1"/>
  <c r="S248" i="8" s="1"/>
  <c r="S249" i="8" s="1"/>
  <c r="S250" i="8" s="1"/>
  <c r="T205" i="8"/>
  <c r="T188" i="8" l="1"/>
  <c r="T49" i="8"/>
  <c r="T206" i="8"/>
  <c r="T26" i="8"/>
  <c r="T5" i="8"/>
  <c r="U4" i="8"/>
  <c r="V7" i="8"/>
  <c r="C8" i="8" s="1"/>
  <c r="F8" i="8" s="1"/>
  <c r="V8" i="8" s="1"/>
  <c r="C9" i="8" s="1"/>
  <c r="F9" i="8" s="1"/>
  <c r="H7" i="8"/>
  <c r="H8" i="8" s="1"/>
  <c r="T42" i="8"/>
  <c r="T207" i="8" l="1"/>
  <c r="T43" i="8"/>
  <c r="V9" i="8"/>
  <c r="C10" i="8" s="1"/>
  <c r="F10" i="8" s="1"/>
  <c r="V10" i="8" s="1"/>
  <c r="C11" i="8" s="1"/>
  <c r="F11" i="8" s="1"/>
  <c r="V11" i="8" s="1"/>
  <c r="C12" i="8" s="1"/>
  <c r="F12" i="8" s="1"/>
  <c r="V12" i="8" s="1"/>
  <c r="C13" i="8" s="1"/>
  <c r="F13" i="8" s="1"/>
  <c r="V13" i="8" s="1"/>
  <c r="C14" i="8" s="1"/>
  <c r="F14" i="8" s="1"/>
  <c r="H9" i="8"/>
  <c r="H10" i="8" s="1"/>
  <c r="H11" i="8" s="1"/>
  <c r="H12" i="8" s="1"/>
  <c r="H13" i="8" s="1"/>
  <c r="T6" i="8"/>
  <c r="U5" i="8"/>
  <c r="T27" i="8"/>
  <c r="T50" i="8"/>
  <c r="T189" i="8"/>
  <c r="T190" i="8" l="1"/>
  <c r="T28" i="8"/>
  <c r="T7" i="8"/>
  <c r="U6" i="8"/>
  <c r="T208" i="8"/>
  <c r="T51" i="8"/>
  <c r="V14" i="8"/>
  <c r="C15" i="8" s="1"/>
  <c r="F15" i="8" s="1"/>
  <c r="V15" i="8" s="1"/>
  <c r="C16" i="8" s="1"/>
  <c r="F16" i="8" s="1"/>
  <c r="V16" i="8" s="1"/>
  <c r="C17" i="8" s="1"/>
  <c r="F17" i="8" s="1"/>
  <c r="V17" i="8" s="1"/>
  <c r="C18" i="8" s="1"/>
  <c r="F18" i="8" s="1"/>
  <c r="V18" i="8" s="1"/>
  <c r="C19" i="8" s="1"/>
  <c r="F19" i="8" s="1"/>
  <c r="H14" i="8"/>
  <c r="H15" i="8" s="1"/>
  <c r="H16" i="8" s="1"/>
  <c r="H17" i="8" s="1"/>
  <c r="H18" i="8" s="1"/>
  <c r="T44" i="8"/>
  <c r="T209" i="8" l="1"/>
  <c r="T45" i="8"/>
  <c r="V19" i="8"/>
  <c r="C20" i="8" s="1"/>
  <c r="F20" i="8" s="1"/>
  <c r="V20" i="8" s="1"/>
  <c r="C21" i="8" s="1"/>
  <c r="F21" i="8" s="1"/>
  <c r="V21" i="8" s="1"/>
  <c r="C22" i="8" s="1"/>
  <c r="F22" i="8" s="1"/>
  <c r="V22" i="8" s="1"/>
  <c r="C23" i="8" s="1"/>
  <c r="F23" i="8" s="1"/>
  <c r="V23" i="8" s="1"/>
  <c r="C24" i="8" s="1"/>
  <c r="F24" i="8" s="1"/>
  <c r="H19" i="8"/>
  <c r="H20" i="8" s="1"/>
  <c r="H21" i="8" s="1"/>
  <c r="H22" i="8" s="1"/>
  <c r="H23" i="8" s="1"/>
  <c r="T52" i="8"/>
  <c r="T8" i="8"/>
  <c r="U7" i="8"/>
  <c r="T29" i="8"/>
  <c r="T191" i="8"/>
  <c r="T210" i="8" l="1"/>
  <c r="T192" i="8"/>
  <c r="T30" i="8"/>
  <c r="T9" i="8"/>
  <c r="U8" i="8"/>
  <c r="T53" i="8"/>
  <c r="V24" i="8"/>
  <c r="C25" i="8" s="1"/>
  <c r="F25" i="8" s="1"/>
  <c r="H24" i="8"/>
  <c r="H25" i="8" s="1"/>
  <c r="H26" i="8" s="1"/>
  <c r="H27" i="8" s="1"/>
  <c r="H28" i="8" s="1"/>
  <c r="H29" i="8" s="1"/>
  <c r="U24" i="8"/>
  <c r="T46" i="8"/>
  <c r="T211" i="8" l="1"/>
  <c r="V25" i="8"/>
  <c r="C26" i="8" s="1"/>
  <c r="F26" i="8" s="1"/>
  <c r="U25" i="8"/>
  <c r="T54" i="8"/>
  <c r="T10" i="8"/>
  <c r="U9" i="8"/>
  <c r="T31" i="8"/>
  <c r="T193" i="8"/>
  <c r="T32" i="8" l="1"/>
  <c r="T55" i="8"/>
  <c r="V26" i="8"/>
  <c r="C27" i="8" s="1"/>
  <c r="F27" i="8" s="1"/>
  <c r="U26" i="8"/>
  <c r="T194" i="8"/>
  <c r="T11" i="8"/>
  <c r="U10" i="8"/>
  <c r="T212" i="8"/>
  <c r="T213" i="8" l="1"/>
  <c r="T12" i="8"/>
  <c r="U11" i="8"/>
  <c r="T195" i="8"/>
  <c r="V27" i="8"/>
  <c r="C28" i="8" s="1"/>
  <c r="F28" i="8" s="1"/>
  <c r="U27" i="8"/>
  <c r="T56" i="8"/>
  <c r="T33" i="8"/>
  <c r="T214" i="8" l="1"/>
  <c r="T34" i="8"/>
  <c r="T57" i="8"/>
  <c r="V28" i="8"/>
  <c r="C29" i="8" s="1"/>
  <c r="F29" i="8" s="1"/>
  <c r="U28" i="8"/>
  <c r="T196" i="8"/>
  <c r="T13" i="8"/>
  <c r="U12" i="8"/>
  <c r="T14" i="8" l="1"/>
  <c r="U13" i="8"/>
  <c r="T215" i="8"/>
  <c r="T197" i="8"/>
  <c r="V29" i="8"/>
  <c r="C30" i="8" s="1"/>
  <c r="F30" i="8" s="1"/>
  <c r="U29" i="8"/>
  <c r="T58" i="8"/>
  <c r="T35" i="8"/>
  <c r="T216" i="8" l="1"/>
  <c r="T36" i="8"/>
  <c r="T59" i="8"/>
  <c r="V30" i="8"/>
  <c r="C31" i="8" s="1"/>
  <c r="F31" i="8" s="1"/>
  <c r="H30" i="8"/>
  <c r="H31" i="8" s="1"/>
  <c r="H32" i="8" s="1"/>
  <c r="H33" i="8" s="1"/>
  <c r="H34" i="8" s="1"/>
  <c r="H35" i="8" s="1"/>
  <c r="H36" i="8" s="1"/>
  <c r="H37" i="8" s="1"/>
  <c r="H38" i="8" s="1"/>
  <c r="U30" i="8"/>
  <c r="T198" i="8"/>
  <c r="T15" i="8"/>
  <c r="U14" i="8"/>
  <c r="T16" i="8" l="1"/>
  <c r="U15" i="8"/>
  <c r="T217" i="8"/>
  <c r="T199" i="8"/>
  <c r="V31" i="8"/>
  <c r="C32" i="8" s="1"/>
  <c r="F32" i="8" s="1"/>
  <c r="U31" i="8"/>
  <c r="T60" i="8"/>
  <c r="T37" i="8"/>
  <c r="T38" i="8" l="1"/>
  <c r="T218" i="8"/>
  <c r="T61" i="8"/>
  <c r="V32" i="8"/>
  <c r="C33" i="8" s="1"/>
  <c r="F33" i="8" s="1"/>
  <c r="U32" i="8"/>
  <c r="T200" i="8"/>
  <c r="T17" i="8"/>
  <c r="U16" i="8"/>
  <c r="T219" i="8" l="1"/>
  <c r="T18" i="8"/>
  <c r="U17" i="8"/>
  <c r="T201" i="8"/>
  <c r="V33" i="8"/>
  <c r="C34" i="8" s="1"/>
  <c r="F34" i="8" s="1"/>
  <c r="U33" i="8"/>
  <c r="T62" i="8"/>
  <c r="T220" i="8" l="1"/>
  <c r="T63" i="8"/>
  <c r="V34" i="8"/>
  <c r="C35" i="8" s="1"/>
  <c r="F35" i="8" s="1"/>
  <c r="U34" i="8"/>
  <c r="T202" i="8"/>
  <c r="T19" i="8"/>
  <c r="U18" i="8"/>
  <c r="T20" i="8" l="1"/>
  <c r="U19" i="8"/>
  <c r="T221" i="8"/>
  <c r="T203" i="8"/>
  <c r="V35" i="8"/>
  <c r="C36" i="8" s="1"/>
  <c r="F36" i="8" s="1"/>
  <c r="U35" i="8"/>
  <c r="T64" i="8"/>
  <c r="V36" i="8" l="1"/>
  <c r="C37" i="8" s="1"/>
  <c r="F37" i="8" s="1"/>
  <c r="U36" i="8"/>
  <c r="T222" i="8"/>
  <c r="T65" i="8"/>
  <c r="T204" i="8"/>
  <c r="T21" i="8"/>
  <c r="U20" i="8"/>
  <c r="T223" i="8" l="1"/>
  <c r="T22" i="8"/>
  <c r="U21" i="8"/>
  <c r="T66" i="8"/>
  <c r="V37" i="8"/>
  <c r="C38" i="8" s="1"/>
  <c r="F38" i="8" s="1"/>
  <c r="U37" i="8"/>
  <c r="V38" i="8" l="1"/>
  <c r="C39" i="8" s="1"/>
  <c r="F39" i="8" s="1"/>
  <c r="U38" i="8"/>
  <c r="T67" i="8"/>
  <c r="T23" i="8"/>
  <c r="U23" i="8" s="1"/>
  <c r="U22" i="8"/>
  <c r="T224" i="8"/>
  <c r="T225" i="8" l="1"/>
  <c r="T68" i="8"/>
  <c r="V39" i="8"/>
  <c r="C40" i="8" s="1"/>
  <c r="F40" i="8" s="1"/>
  <c r="H39" i="8"/>
  <c r="H40" i="8" s="1"/>
  <c r="H41" i="8" s="1"/>
  <c r="H42" i="8" s="1"/>
  <c r="H43" i="8" s="1"/>
  <c r="H44" i="8" s="1"/>
  <c r="H45" i="8" s="1"/>
  <c r="H46" i="8" s="1"/>
  <c r="U39" i="8"/>
  <c r="T226" i="8" l="1"/>
  <c r="V40" i="8"/>
  <c r="C41" i="8" s="1"/>
  <c r="F41" i="8" s="1"/>
  <c r="U40" i="8"/>
  <c r="T69" i="8"/>
  <c r="T227" i="8" l="1"/>
  <c r="T70" i="8"/>
  <c r="V41" i="8"/>
  <c r="C42" i="8" s="1"/>
  <c r="F42" i="8" s="1"/>
  <c r="U41" i="8"/>
  <c r="T228" i="8" l="1"/>
  <c r="V42" i="8"/>
  <c r="C43" i="8" s="1"/>
  <c r="F43" i="8" s="1"/>
  <c r="U42" i="8"/>
  <c r="T71" i="8"/>
  <c r="T229" i="8" l="1"/>
  <c r="T72" i="8"/>
  <c r="V43" i="8"/>
  <c r="C44" i="8" s="1"/>
  <c r="F44" i="8" s="1"/>
  <c r="U43" i="8"/>
  <c r="V44" i="8" l="1"/>
  <c r="C45" i="8" s="1"/>
  <c r="F45" i="8" s="1"/>
  <c r="U44" i="8"/>
  <c r="T230" i="8"/>
  <c r="T73" i="8"/>
  <c r="T231" i="8" l="1"/>
  <c r="T74" i="8"/>
  <c r="V45" i="8"/>
  <c r="C46" i="8" s="1"/>
  <c r="F46" i="8" s="1"/>
  <c r="U45" i="8"/>
  <c r="T232" i="8" l="1"/>
  <c r="V46" i="8"/>
  <c r="C47" i="8" s="1"/>
  <c r="F47" i="8" s="1"/>
  <c r="U46" i="8"/>
  <c r="T75" i="8"/>
  <c r="T233" i="8" l="1"/>
  <c r="T76" i="8"/>
  <c r="V47" i="8"/>
  <c r="H47" i="8"/>
  <c r="H48" i="8" s="1"/>
  <c r="H49" i="8" s="1"/>
  <c r="H50" i="8" s="1"/>
  <c r="U47" i="8"/>
  <c r="T234" i="8" l="1"/>
  <c r="W47" i="8"/>
  <c r="C48" i="8"/>
  <c r="F48" i="8" s="1"/>
  <c r="T77" i="8"/>
  <c r="V48" i="8" l="1"/>
  <c r="C49" i="8" s="1"/>
  <c r="F49" i="8" s="1"/>
  <c r="U48" i="8"/>
  <c r="T235" i="8"/>
  <c r="T78" i="8"/>
  <c r="T236" i="8" l="1"/>
  <c r="T79" i="8"/>
  <c r="V49" i="8"/>
  <c r="C50" i="8" s="1"/>
  <c r="F50" i="8" s="1"/>
  <c r="U49" i="8"/>
  <c r="T237" i="8" l="1"/>
  <c r="V50" i="8"/>
  <c r="C51" i="8" s="1"/>
  <c r="F51" i="8" s="1"/>
  <c r="U50" i="8"/>
  <c r="T80" i="8"/>
  <c r="T238" i="8" l="1"/>
  <c r="T81" i="8"/>
  <c r="V51" i="8"/>
  <c r="C52" i="8" s="1"/>
  <c r="F52" i="8" s="1"/>
  <c r="H51" i="8"/>
  <c r="H52" i="8" s="1"/>
  <c r="H53" i="8" s="1"/>
  <c r="U51" i="8"/>
  <c r="T239" i="8" l="1"/>
  <c r="V52" i="8"/>
  <c r="C53" i="8" s="1"/>
  <c r="F53" i="8" s="1"/>
  <c r="U52" i="8"/>
  <c r="T82" i="8"/>
  <c r="T240" i="8" l="1"/>
  <c r="T83" i="8"/>
  <c r="V53" i="8"/>
  <c r="C54" i="8" s="1"/>
  <c r="F54" i="8" s="1"/>
  <c r="U53" i="8"/>
  <c r="T241" i="8" l="1"/>
  <c r="V54" i="8"/>
  <c r="C55" i="8" s="1"/>
  <c r="F55" i="8" s="1"/>
  <c r="H54" i="8"/>
  <c r="H55" i="8" s="1"/>
  <c r="H56" i="8" s="1"/>
  <c r="H57" i="8" s="1"/>
  <c r="H58" i="8" s="1"/>
  <c r="U54" i="8"/>
  <c r="T84" i="8"/>
  <c r="T242" i="8" l="1"/>
  <c r="T85" i="8"/>
  <c r="V55" i="8"/>
  <c r="C56" i="8" s="1"/>
  <c r="F56" i="8" s="1"/>
  <c r="U55" i="8"/>
  <c r="T243" i="8" l="1"/>
  <c r="V56" i="8"/>
  <c r="C57" i="8" s="1"/>
  <c r="F57" i="8" s="1"/>
  <c r="U56" i="8"/>
  <c r="T86" i="8"/>
  <c r="T244" i="8" l="1"/>
  <c r="T87" i="8"/>
  <c r="V57" i="8"/>
  <c r="C58" i="8" s="1"/>
  <c r="F58" i="8" s="1"/>
  <c r="U57" i="8"/>
  <c r="T245" i="8" l="1"/>
  <c r="V58" i="8"/>
  <c r="C59" i="8" s="1"/>
  <c r="F59" i="8" s="1"/>
  <c r="U58" i="8"/>
  <c r="T88" i="8"/>
  <c r="T246" i="8" l="1"/>
  <c r="T89" i="8"/>
  <c r="V59" i="8"/>
  <c r="C60" i="8" s="1"/>
  <c r="F60" i="8" s="1"/>
  <c r="H59" i="8"/>
  <c r="H60" i="8" s="1"/>
  <c r="H61" i="8" s="1"/>
  <c r="H62" i="8" s="1"/>
  <c r="U59" i="8"/>
  <c r="T247" i="8" l="1"/>
  <c r="V60" i="8"/>
  <c r="C61" i="8" s="1"/>
  <c r="F61" i="8" s="1"/>
  <c r="U60" i="8"/>
  <c r="T90" i="8"/>
  <c r="T248" i="8" l="1"/>
  <c r="T91" i="8"/>
  <c r="V61" i="8"/>
  <c r="C62" i="8" s="1"/>
  <c r="F62" i="8" s="1"/>
  <c r="U61" i="8"/>
  <c r="T249" i="8" l="1"/>
  <c r="V62" i="8"/>
  <c r="C63" i="8" s="1"/>
  <c r="F63" i="8" s="1"/>
  <c r="U62" i="8"/>
  <c r="T92" i="8"/>
  <c r="T250" i="8" l="1"/>
  <c r="T93" i="8"/>
  <c r="V63" i="8"/>
  <c r="C64" i="8" s="1"/>
  <c r="F64" i="8" s="1"/>
  <c r="H63" i="8"/>
  <c r="H64" i="8" s="1"/>
  <c r="H65" i="8" s="1"/>
  <c r="H66" i="8" s="1"/>
  <c r="H67" i="8" s="1"/>
  <c r="H68" i="8" s="1"/>
  <c r="H69" i="8" s="1"/>
  <c r="H70" i="8" s="1"/>
  <c r="H71" i="8" s="1"/>
  <c r="H72" i="8" s="1"/>
  <c r="H73" i="8" s="1"/>
  <c r="U63" i="8"/>
  <c r="V64" i="8" l="1"/>
  <c r="C65" i="8" s="1"/>
  <c r="F65" i="8" s="1"/>
  <c r="U64" i="8"/>
  <c r="T94" i="8"/>
  <c r="T95" i="8" l="1"/>
  <c r="V65" i="8"/>
  <c r="C66" i="8" s="1"/>
  <c r="F66" i="8" s="1"/>
  <c r="U65" i="8"/>
  <c r="V66" i="8" l="1"/>
  <c r="C67" i="8" s="1"/>
  <c r="F67" i="8" s="1"/>
  <c r="U66" i="8"/>
  <c r="T96" i="8"/>
  <c r="T97" i="8" l="1"/>
  <c r="V67" i="8"/>
  <c r="C68" i="8" s="1"/>
  <c r="F68" i="8" s="1"/>
  <c r="U67" i="8"/>
  <c r="V68" i="8" l="1"/>
  <c r="C69" i="8" s="1"/>
  <c r="F69" i="8" s="1"/>
  <c r="U68" i="8"/>
  <c r="T98" i="8"/>
  <c r="T99" i="8" l="1"/>
  <c r="V69" i="8"/>
  <c r="C70" i="8" s="1"/>
  <c r="F70" i="8" s="1"/>
  <c r="U69" i="8"/>
  <c r="V70" i="8" l="1"/>
  <c r="C71" i="8" s="1"/>
  <c r="F71" i="8" s="1"/>
  <c r="U70" i="8"/>
  <c r="T100" i="8"/>
  <c r="T101" i="8" l="1"/>
  <c r="V71" i="8"/>
  <c r="C72" i="8" s="1"/>
  <c r="F72" i="8" s="1"/>
  <c r="U71" i="8"/>
  <c r="V72" i="8" l="1"/>
  <c r="C73" i="8" s="1"/>
  <c r="F73" i="8" s="1"/>
  <c r="U72" i="8"/>
  <c r="T102" i="8"/>
  <c r="T103" i="8" l="1"/>
  <c r="V73" i="8"/>
  <c r="C74" i="8" s="1"/>
  <c r="F74" i="8" s="1"/>
  <c r="U73" i="8"/>
  <c r="V74" i="8" l="1"/>
  <c r="C75" i="8" s="1"/>
  <c r="F75" i="8" s="1"/>
  <c r="H74" i="8"/>
  <c r="H75" i="8" s="1"/>
  <c r="H76" i="8" s="1"/>
  <c r="H77" i="8" s="1"/>
  <c r="H78" i="8" s="1"/>
  <c r="H79" i="8" s="1"/>
  <c r="H80" i="8" s="1"/>
  <c r="H81" i="8" s="1"/>
  <c r="H82" i="8" s="1"/>
  <c r="H83" i="8" s="1"/>
  <c r="H84" i="8" s="1"/>
  <c r="U74" i="8"/>
  <c r="T104" i="8"/>
  <c r="T105" i="8" l="1"/>
  <c r="V75" i="8"/>
  <c r="C76" i="8" s="1"/>
  <c r="F76" i="8" s="1"/>
  <c r="U75" i="8"/>
  <c r="V76" i="8" l="1"/>
  <c r="C77" i="8" s="1"/>
  <c r="F77" i="8" s="1"/>
  <c r="U76" i="8"/>
  <c r="T106" i="8"/>
  <c r="T107" i="8" l="1"/>
  <c r="V77" i="8"/>
  <c r="C78" i="8" s="1"/>
  <c r="F78" i="8" s="1"/>
  <c r="U77" i="8"/>
  <c r="V78" i="8" l="1"/>
  <c r="C79" i="8" s="1"/>
  <c r="F79" i="8" s="1"/>
  <c r="U78" i="8"/>
  <c r="T108" i="8"/>
  <c r="T109" i="8" l="1"/>
  <c r="V79" i="8"/>
  <c r="C80" i="8" s="1"/>
  <c r="F80" i="8" s="1"/>
  <c r="U79" i="8"/>
  <c r="V80" i="8" l="1"/>
  <c r="C81" i="8" s="1"/>
  <c r="F81" i="8" s="1"/>
  <c r="U80" i="8"/>
  <c r="T110" i="8"/>
  <c r="T111" i="8" l="1"/>
  <c r="V81" i="8"/>
  <c r="C82" i="8" s="1"/>
  <c r="F82" i="8" s="1"/>
  <c r="U81" i="8"/>
  <c r="V82" i="8" l="1"/>
  <c r="C83" i="8" s="1"/>
  <c r="F83" i="8" s="1"/>
  <c r="U82" i="8"/>
  <c r="T112" i="8"/>
  <c r="T113" i="8" l="1"/>
  <c r="V83" i="8"/>
  <c r="C84" i="8" s="1"/>
  <c r="F84" i="8" s="1"/>
  <c r="U83" i="8"/>
  <c r="V84" i="8" l="1"/>
  <c r="C85" i="8" s="1"/>
  <c r="F85" i="8" s="1"/>
  <c r="U84" i="8"/>
  <c r="T114" i="8"/>
  <c r="T115" i="8" l="1"/>
  <c r="V85" i="8"/>
  <c r="C86" i="8" s="1"/>
  <c r="F86" i="8" s="1"/>
  <c r="H85" i="8"/>
  <c r="H86" i="8" s="1"/>
  <c r="U85" i="8"/>
  <c r="V86" i="8" l="1"/>
  <c r="C87" i="8" s="1"/>
  <c r="F87" i="8" s="1"/>
  <c r="U86" i="8"/>
  <c r="T116" i="8"/>
  <c r="T117" i="8" l="1"/>
  <c r="V87" i="8"/>
  <c r="C88" i="8" s="1"/>
  <c r="F88" i="8" s="1"/>
  <c r="H87" i="8"/>
  <c r="H88" i="8" s="1"/>
  <c r="U87" i="8"/>
  <c r="V88" i="8" l="1"/>
  <c r="C89" i="8" s="1"/>
  <c r="F89" i="8" s="1"/>
  <c r="U88" i="8"/>
  <c r="T118" i="8"/>
  <c r="T119" i="8" l="1"/>
  <c r="V89" i="8"/>
  <c r="C90" i="8" s="1"/>
  <c r="F90" i="8" s="1"/>
  <c r="H89" i="8"/>
  <c r="H90" i="8" s="1"/>
  <c r="H91" i="8" s="1"/>
  <c r="H92" i="8" s="1"/>
  <c r="H93" i="8" s="1"/>
  <c r="H94" i="8" s="1"/>
  <c r="H95" i="8" s="1"/>
  <c r="H96" i="8" s="1"/>
  <c r="U89" i="8"/>
  <c r="V90" i="8" l="1"/>
  <c r="C91" i="8" s="1"/>
  <c r="F91" i="8" s="1"/>
  <c r="U90" i="8"/>
  <c r="T120" i="8"/>
  <c r="T121" i="8" l="1"/>
  <c r="V91" i="8"/>
  <c r="C92" i="8" s="1"/>
  <c r="F92" i="8" s="1"/>
  <c r="U91" i="8"/>
  <c r="V92" i="8" l="1"/>
  <c r="C93" i="8" s="1"/>
  <c r="F93" i="8" s="1"/>
  <c r="U92" i="8"/>
  <c r="T122" i="8"/>
  <c r="T123" i="8" l="1"/>
  <c r="V93" i="8"/>
  <c r="C94" i="8" s="1"/>
  <c r="F94" i="8" s="1"/>
  <c r="U93" i="8"/>
  <c r="V94" i="8" l="1"/>
  <c r="C95" i="8" s="1"/>
  <c r="F95" i="8" s="1"/>
  <c r="U94" i="8"/>
  <c r="T124" i="8"/>
  <c r="T125" i="8" l="1"/>
  <c r="V95" i="8"/>
  <c r="C96" i="8" s="1"/>
  <c r="F96" i="8" s="1"/>
  <c r="U95" i="8"/>
  <c r="V96" i="8" l="1"/>
  <c r="C97" i="8" s="1"/>
  <c r="F97" i="8" s="1"/>
  <c r="U96" i="8"/>
  <c r="T126" i="8"/>
  <c r="T127" i="8" l="1"/>
  <c r="V97" i="8"/>
  <c r="C98" i="8" s="1"/>
  <c r="F98" i="8" s="1"/>
  <c r="H97" i="8"/>
  <c r="H98" i="8" s="1"/>
  <c r="H99" i="8" s="1"/>
  <c r="H100" i="8" s="1"/>
  <c r="U97" i="8"/>
  <c r="V98" i="8" l="1"/>
  <c r="C99" i="8" s="1"/>
  <c r="F99" i="8" s="1"/>
  <c r="U98" i="8"/>
  <c r="T128" i="8"/>
  <c r="T129" i="8" l="1"/>
  <c r="V99" i="8"/>
  <c r="C100" i="8" s="1"/>
  <c r="F100" i="8" s="1"/>
  <c r="U99" i="8"/>
  <c r="V100" i="8" l="1"/>
  <c r="C101" i="8" s="1"/>
  <c r="F101" i="8" s="1"/>
  <c r="U100" i="8"/>
  <c r="T130" i="8"/>
  <c r="T131" i="8" l="1"/>
  <c r="V101" i="8"/>
  <c r="C102" i="8" s="1"/>
  <c r="F102" i="8" s="1"/>
  <c r="H101" i="8"/>
  <c r="H102" i="8" s="1"/>
  <c r="H103" i="8" s="1"/>
  <c r="H104" i="8" s="1"/>
  <c r="U101" i="8"/>
  <c r="V102" i="8" l="1"/>
  <c r="C103" i="8" s="1"/>
  <c r="F103" i="8" s="1"/>
  <c r="U102" i="8"/>
  <c r="T132" i="8"/>
  <c r="T133" i="8" l="1"/>
  <c r="V103" i="8"/>
  <c r="C104" i="8" s="1"/>
  <c r="F104" i="8" s="1"/>
  <c r="U103" i="8"/>
  <c r="V104" i="8" l="1"/>
  <c r="C105" i="8" s="1"/>
  <c r="F105" i="8" s="1"/>
  <c r="U104" i="8"/>
  <c r="T134" i="8"/>
  <c r="T135" i="8" l="1"/>
  <c r="V105" i="8"/>
  <c r="C106" i="8" s="1"/>
  <c r="F106" i="8" s="1"/>
  <c r="H105" i="8"/>
  <c r="H106" i="8" s="1"/>
  <c r="H107" i="8" s="1"/>
  <c r="H108" i="8" s="1"/>
  <c r="H109" i="8" s="1"/>
  <c r="H110" i="8" s="1"/>
  <c r="H111" i="8" s="1"/>
  <c r="H112" i="8" s="1"/>
  <c r="H113" i="8" s="1"/>
  <c r="H114" i="8" s="1"/>
  <c r="H115" i="8" s="1"/>
  <c r="H116" i="8" s="1"/>
  <c r="H117" i="8" s="1"/>
  <c r="H118" i="8" s="1"/>
  <c r="U105" i="8"/>
  <c r="V106" i="8" l="1"/>
  <c r="C107" i="8" s="1"/>
  <c r="F107" i="8" s="1"/>
  <c r="U106" i="8"/>
  <c r="T136" i="8"/>
  <c r="T137" i="8" l="1"/>
  <c r="V107" i="8"/>
  <c r="C108" i="8" s="1"/>
  <c r="F108" i="8" s="1"/>
  <c r="U107" i="8"/>
  <c r="V108" i="8" l="1"/>
  <c r="C109" i="8" s="1"/>
  <c r="F109" i="8" s="1"/>
  <c r="U108" i="8"/>
  <c r="T138" i="8"/>
  <c r="T139" i="8" l="1"/>
  <c r="V109" i="8"/>
  <c r="C110" i="8" s="1"/>
  <c r="F110" i="8" s="1"/>
  <c r="U109" i="8"/>
  <c r="V110" i="8" l="1"/>
  <c r="C111" i="8" s="1"/>
  <c r="F111" i="8" s="1"/>
  <c r="U110" i="8"/>
  <c r="T140" i="8"/>
  <c r="T141" i="8" l="1"/>
  <c r="V111" i="8"/>
  <c r="C112" i="8" s="1"/>
  <c r="F112" i="8" s="1"/>
  <c r="U111" i="8"/>
  <c r="V112" i="8" l="1"/>
  <c r="C113" i="8" s="1"/>
  <c r="F113" i="8" s="1"/>
  <c r="U112" i="8"/>
  <c r="T142" i="8"/>
  <c r="T143" i="8" l="1"/>
  <c r="V113" i="8"/>
  <c r="C114" i="8" s="1"/>
  <c r="F114" i="8" s="1"/>
  <c r="U113" i="8"/>
  <c r="V114" i="8" l="1"/>
  <c r="C115" i="8" s="1"/>
  <c r="F115" i="8" s="1"/>
  <c r="U114" i="8"/>
  <c r="T144" i="8"/>
  <c r="T145" i="8" l="1"/>
  <c r="V115" i="8"/>
  <c r="C116" i="8" s="1"/>
  <c r="F116" i="8" s="1"/>
  <c r="U115" i="8"/>
  <c r="V116" i="8" l="1"/>
  <c r="C117" i="8" s="1"/>
  <c r="F117" i="8" s="1"/>
  <c r="U116" i="8"/>
  <c r="T146" i="8"/>
  <c r="T147" i="8" l="1"/>
  <c r="V117" i="8"/>
  <c r="C118" i="8" s="1"/>
  <c r="F118" i="8" s="1"/>
  <c r="U117" i="8"/>
  <c r="V118" i="8" l="1"/>
  <c r="C119" i="8" s="1"/>
  <c r="F119" i="8" s="1"/>
  <c r="U118" i="8"/>
  <c r="T148" i="8"/>
  <c r="T149" i="8" l="1"/>
  <c r="V119" i="8"/>
  <c r="C120" i="8" s="1"/>
  <c r="F120" i="8" s="1"/>
  <c r="H119" i="8"/>
  <c r="U119" i="8"/>
  <c r="V120" i="8" l="1"/>
  <c r="C121" i="8" s="1"/>
  <c r="F121" i="8" s="1"/>
  <c r="H120" i="8"/>
  <c r="U120" i="8"/>
  <c r="T150" i="8"/>
  <c r="T151" i="8" l="1"/>
  <c r="V121" i="8"/>
  <c r="C122" i="8" s="1"/>
  <c r="F122" i="8" s="1"/>
  <c r="H121" i="8"/>
  <c r="H122" i="8" s="1"/>
  <c r="H123" i="8" s="1"/>
  <c r="H124" i="8" s="1"/>
  <c r="H125" i="8" s="1"/>
  <c r="U121" i="8"/>
  <c r="V122" i="8" l="1"/>
  <c r="C123" i="8" s="1"/>
  <c r="F123" i="8" s="1"/>
  <c r="U122" i="8"/>
  <c r="T152" i="8"/>
  <c r="T153" i="8" l="1"/>
  <c r="V123" i="8"/>
  <c r="C124" i="8" s="1"/>
  <c r="F124" i="8" s="1"/>
  <c r="U123" i="8"/>
  <c r="V124" i="8" l="1"/>
  <c r="C125" i="8" s="1"/>
  <c r="F125" i="8" s="1"/>
  <c r="U124" i="8"/>
  <c r="T154" i="8"/>
  <c r="T155" i="8" l="1"/>
  <c r="V125" i="8"/>
  <c r="C126" i="8" s="1"/>
  <c r="F126" i="8" s="1"/>
  <c r="U125" i="8"/>
  <c r="V126" i="8" l="1"/>
  <c r="C127" i="8" s="1"/>
  <c r="F127" i="8" s="1"/>
  <c r="H126" i="8"/>
  <c r="H127" i="8" s="1"/>
  <c r="U126" i="8"/>
  <c r="T156" i="8"/>
  <c r="T157" i="8" l="1"/>
  <c r="V127" i="8"/>
  <c r="C128" i="8" s="1"/>
  <c r="F128" i="8" s="1"/>
  <c r="U127" i="8"/>
  <c r="V128" i="8" l="1"/>
  <c r="C129" i="8" s="1"/>
  <c r="F129" i="8" s="1"/>
  <c r="H128" i="8"/>
  <c r="H129" i="8" s="1"/>
  <c r="H130" i="8" s="1"/>
  <c r="H131" i="8" s="1"/>
  <c r="H132" i="8" s="1"/>
  <c r="H133" i="8" s="1"/>
  <c r="H134" i="8" s="1"/>
  <c r="H135" i="8" s="1"/>
  <c r="H136" i="8" s="1"/>
  <c r="H137" i="8" s="1"/>
  <c r="H138" i="8" s="1"/>
  <c r="H139" i="8" s="1"/>
  <c r="H140" i="8" s="1"/>
  <c r="H141" i="8" s="1"/>
  <c r="H142" i="8" s="1"/>
  <c r="H143" i="8" s="1"/>
  <c r="H144" i="8" s="1"/>
  <c r="H145" i="8" s="1"/>
  <c r="H146" i="8" s="1"/>
  <c r="H147" i="8" s="1"/>
  <c r="H148" i="8" s="1"/>
  <c r="H149" i="8" s="1"/>
  <c r="H150" i="8" s="1"/>
  <c r="H151" i="8" s="1"/>
  <c r="H152" i="8" s="1"/>
  <c r="H153" i="8" s="1"/>
  <c r="H154" i="8" s="1"/>
  <c r="H155" i="8" s="1"/>
  <c r="H156" i="8" s="1"/>
  <c r="H157" i="8" s="1"/>
  <c r="H158" i="8" s="1"/>
  <c r="U128" i="8"/>
  <c r="T158" i="8"/>
  <c r="T159" i="8" l="1"/>
  <c r="V129" i="8"/>
  <c r="C130" i="8" s="1"/>
  <c r="F130" i="8" s="1"/>
  <c r="U129" i="8"/>
  <c r="V130" i="8" l="1"/>
  <c r="C131" i="8" s="1"/>
  <c r="F131" i="8" s="1"/>
  <c r="U130" i="8"/>
  <c r="T160" i="8"/>
  <c r="T161" i="8" l="1"/>
  <c r="V131" i="8"/>
  <c r="C132" i="8" s="1"/>
  <c r="F132" i="8" s="1"/>
  <c r="U131" i="8"/>
  <c r="V132" i="8" l="1"/>
  <c r="C133" i="8" s="1"/>
  <c r="F133" i="8" s="1"/>
  <c r="U132" i="8"/>
  <c r="T162" i="8"/>
  <c r="T163" i="8" l="1"/>
  <c r="V133" i="8"/>
  <c r="C134" i="8" s="1"/>
  <c r="F134" i="8" s="1"/>
  <c r="U133" i="8"/>
  <c r="V134" i="8" l="1"/>
  <c r="C135" i="8" s="1"/>
  <c r="F135" i="8" s="1"/>
  <c r="U134" i="8"/>
  <c r="T164" i="8"/>
  <c r="T165" i="8" l="1"/>
  <c r="V135" i="8"/>
  <c r="C136" i="8" s="1"/>
  <c r="F136" i="8" s="1"/>
  <c r="U135" i="8"/>
  <c r="V136" i="8" l="1"/>
  <c r="C137" i="8" s="1"/>
  <c r="F137" i="8" s="1"/>
  <c r="U136" i="8"/>
  <c r="T166" i="8"/>
  <c r="T167" i="8" l="1"/>
  <c r="V137" i="8"/>
  <c r="C138" i="8" s="1"/>
  <c r="F138" i="8" s="1"/>
  <c r="U137" i="8"/>
  <c r="V138" i="8" l="1"/>
  <c r="C139" i="8" s="1"/>
  <c r="F139" i="8" s="1"/>
  <c r="U138" i="8"/>
  <c r="T168" i="8"/>
  <c r="T169" i="8" l="1"/>
  <c r="V139" i="8"/>
  <c r="C140" i="8" s="1"/>
  <c r="F140" i="8" s="1"/>
  <c r="U139" i="8"/>
  <c r="V140" i="8" l="1"/>
  <c r="C141" i="8" s="1"/>
  <c r="F141" i="8" s="1"/>
  <c r="U140" i="8"/>
  <c r="T170" i="8"/>
  <c r="T171" i="8" l="1"/>
  <c r="V141" i="8"/>
  <c r="C142" i="8" s="1"/>
  <c r="F142" i="8" s="1"/>
  <c r="U141" i="8"/>
  <c r="V142" i="8" l="1"/>
  <c r="C143" i="8" s="1"/>
  <c r="F143" i="8" s="1"/>
  <c r="U142" i="8"/>
  <c r="T172" i="8"/>
  <c r="T173" i="8" l="1"/>
  <c r="V143" i="8"/>
  <c r="C144" i="8" s="1"/>
  <c r="F144" i="8" s="1"/>
  <c r="U143" i="8"/>
  <c r="V144" i="8" l="1"/>
  <c r="C145" i="8" s="1"/>
  <c r="F145" i="8" s="1"/>
  <c r="U144" i="8"/>
  <c r="T174" i="8"/>
  <c r="T175" i="8" l="1"/>
  <c r="V145" i="8"/>
  <c r="C146" i="8" s="1"/>
  <c r="F146" i="8" s="1"/>
  <c r="U145" i="8"/>
  <c r="V146" i="8" l="1"/>
  <c r="C147" i="8" s="1"/>
  <c r="F147" i="8" s="1"/>
  <c r="U146" i="8"/>
  <c r="T176" i="8"/>
  <c r="T177" i="8" l="1"/>
  <c r="V147" i="8"/>
  <c r="C148" i="8" s="1"/>
  <c r="F148" i="8" s="1"/>
  <c r="U147" i="8"/>
  <c r="V148" i="8" l="1"/>
  <c r="C149" i="8" s="1"/>
  <c r="F149" i="8" s="1"/>
  <c r="U148" i="8"/>
  <c r="T178" i="8"/>
  <c r="T179" i="8" l="1"/>
  <c r="V149" i="8"/>
  <c r="C150" i="8" s="1"/>
  <c r="F150" i="8" s="1"/>
  <c r="U149" i="8"/>
  <c r="V150" i="8" l="1"/>
  <c r="C151" i="8" s="1"/>
  <c r="F151" i="8" s="1"/>
  <c r="U150" i="8"/>
  <c r="T180" i="8"/>
  <c r="T181" i="8" l="1"/>
  <c r="V151" i="8"/>
  <c r="C152" i="8" s="1"/>
  <c r="F152" i="8" s="1"/>
  <c r="U151" i="8"/>
  <c r="V152" i="8" l="1"/>
  <c r="C153" i="8" s="1"/>
  <c r="F153" i="8" s="1"/>
  <c r="U152" i="8"/>
  <c r="T182" i="8"/>
  <c r="T183" i="8" l="1"/>
  <c r="V153" i="8"/>
  <c r="C154" i="8" s="1"/>
  <c r="F154" i="8" s="1"/>
  <c r="U153" i="8"/>
  <c r="V154" i="8" l="1"/>
  <c r="C155" i="8" s="1"/>
  <c r="F155" i="8" s="1"/>
  <c r="U154" i="8"/>
  <c r="T184" i="8"/>
  <c r="V155" i="8" l="1"/>
  <c r="C156" i="8" s="1"/>
  <c r="F156" i="8" s="1"/>
  <c r="U155" i="8"/>
  <c r="V156" i="8" l="1"/>
  <c r="C157" i="8" s="1"/>
  <c r="F157" i="8" s="1"/>
  <c r="U156" i="8"/>
  <c r="V157" i="8" l="1"/>
  <c r="C158" i="8" s="1"/>
  <c r="F158" i="8" s="1"/>
  <c r="U157" i="8"/>
  <c r="V158" i="8" l="1"/>
  <c r="C159" i="8" s="1"/>
  <c r="F159" i="8" s="1"/>
  <c r="U158" i="8"/>
  <c r="V159" i="8" l="1"/>
  <c r="C160" i="8" s="1"/>
  <c r="F160" i="8" s="1"/>
  <c r="H159" i="8"/>
  <c r="H160" i="8" s="1"/>
  <c r="H161" i="8" s="1"/>
  <c r="H162" i="8" s="1"/>
  <c r="H163" i="8" s="1"/>
  <c r="H164" i="8" s="1"/>
  <c r="H165" i="8" s="1"/>
  <c r="H166" i="8" s="1"/>
  <c r="H167" i="8" s="1"/>
  <c r="H168" i="8" s="1"/>
  <c r="H169" i="8" s="1"/>
  <c r="H170" i="8" s="1"/>
  <c r="H171" i="8" s="1"/>
  <c r="H172" i="8" s="1"/>
  <c r="U159" i="8"/>
  <c r="V160" i="8" l="1"/>
  <c r="C161" i="8" s="1"/>
  <c r="F161" i="8" s="1"/>
  <c r="U160" i="8"/>
  <c r="V161" i="8" l="1"/>
  <c r="C162" i="8" s="1"/>
  <c r="F162" i="8" s="1"/>
  <c r="U161" i="8"/>
  <c r="V162" i="8" l="1"/>
  <c r="C163" i="8" s="1"/>
  <c r="F163" i="8" s="1"/>
  <c r="U162" i="8"/>
  <c r="V163" i="8" l="1"/>
  <c r="C164" i="8" s="1"/>
  <c r="F164" i="8" s="1"/>
  <c r="U163" i="8"/>
  <c r="V164" i="8" l="1"/>
  <c r="C165" i="8" s="1"/>
  <c r="F165" i="8" s="1"/>
  <c r="U164" i="8"/>
  <c r="V165" i="8" l="1"/>
  <c r="C166" i="8" s="1"/>
  <c r="F166" i="8" s="1"/>
  <c r="U165" i="8"/>
  <c r="V166" i="8" l="1"/>
  <c r="C167" i="8" s="1"/>
  <c r="F167" i="8" s="1"/>
  <c r="U166" i="8"/>
  <c r="V167" i="8" l="1"/>
  <c r="C168" i="8" s="1"/>
  <c r="F168" i="8" s="1"/>
  <c r="U167" i="8"/>
  <c r="V168" i="8" l="1"/>
  <c r="C169" i="8" s="1"/>
  <c r="F169" i="8" s="1"/>
  <c r="U168" i="8"/>
  <c r="V169" i="8" l="1"/>
  <c r="C170" i="8" s="1"/>
  <c r="F170" i="8" s="1"/>
  <c r="U169" i="8"/>
  <c r="V170" i="8" l="1"/>
  <c r="C171" i="8" s="1"/>
  <c r="F171" i="8" s="1"/>
  <c r="U170" i="8"/>
  <c r="V171" i="8" l="1"/>
  <c r="C172" i="8" s="1"/>
  <c r="F172" i="8" s="1"/>
  <c r="U171" i="8"/>
  <c r="V172" i="8" l="1"/>
  <c r="C173" i="8" s="1"/>
  <c r="F173" i="8" s="1"/>
  <c r="U172" i="8"/>
  <c r="V173" i="8" l="1"/>
  <c r="C174" i="8" s="1"/>
  <c r="F174" i="8" s="1"/>
  <c r="H173" i="8"/>
  <c r="H174" i="8" s="1"/>
  <c r="U173" i="8"/>
  <c r="V174" i="8" l="1"/>
  <c r="C175" i="8" s="1"/>
  <c r="F175" i="8" s="1"/>
  <c r="U174" i="8"/>
  <c r="V175" i="8" l="1"/>
  <c r="C176" i="8" s="1"/>
  <c r="F176" i="8" s="1"/>
  <c r="H175" i="8"/>
  <c r="H176" i="8" s="1"/>
  <c r="U175" i="8"/>
  <c r="V176" i="8" l="1"/>
  <c r="C177" i="8" s="1"/>
  <c r="F177" i="8" s="1"/>
  <c r="U176" i="8"/>
  <c r="V177" i="8" l="1"/>
  <c r="C178" i="8" s="1"/>
  <c r="F178" i="8" s="1"/>
  <c r="H177" i="8"/>
  <c r="H178" i="8" s="1"/>
  <c r="H179" i="8" s="1"/>
  <c r="H180" i="8" s="1"/>
  <c r="H181" i="8" s="1"/>
  <c r="H182" i="8" s="1"/>
  <c r="U177" i="8"/>
  <c r="V178" i="8" l="1"/>
  <c r="C179" i="8" s="1"/>
  <c r="F179" i="8" s="1"/>
  <c r="U178" i="8"/>
  <c r="V179" i="8" l="1"/>
  <c r="C180" i="8" s="1"/>
  <c r="F180" i="8" s="1"/>
  <c r="U179" i="8"/>
  <c r="V180" i="8" l="1"/>
  <c r="C181" i="8" s="1"/>
  <c r="F181" i="8" s="1"/>
  <c r="U180" i="8"/>
  <c r="V181" i="8" l="1"/>
  <c r="C182" i="8" s="1"/>
  <c r="F182" i="8" s="1"/>
  <c r="U181" i="8"/>
  <c r="V182" i="8" l="1"/>
  <c r="C183" i="8" s="1"/>
  <c r="F183" i="8" s="1"/>
  <c r="U182" i="8"/>
  <c r="V183" i="8" l="1"/>
  <c r="C184" i="8" s="1"/>
  <c r="F184" i="8" s="1"/>
  <c r="H183" i="8"/>
  <c r="H184" i="8" s="1"/>
  <c r="U183" i="8"/>
  <c r="V184" i="8" l="1"/>
  <c r="C185" i="8" s="1"/>
  <c r="F185" i="8" s="1"/>
  <c r="U184" i="8"/>
  <c r="V185" i="8" l="1"/>
  <c r="C186" i="8" s="1"/>
  <c r="F186" i="8" s="1"/>
  <c r="H185" i="8"/>
  <c r="H186" i="8" s="1"/>
  <c r="H187" i="8" s="1"/>
  <c r="H188" i="8" s="1"/>
  <c r="H189" i="8" s="1"/>
  <c r="U185" i="8"/>
  <c r="V186" i="8" l="1"/>
  <c r="C187" i="8" s="1"/>
  <c r="F187" i="8" s="1"/>
  <c r="U186" i="8"/>
  <c r="V187" i="8" l="1"/>
  <c r="C188" i="8" s="1"/>
  <c r="F188" i="8" s="1"/>
  <c r="U187" i="8"/>
  <c r="V188" i="8" l="1"/>
  <c r="C189" i="8" s="1"/>
  <c r="F189" i="8" s="1"/>
  <c r="U188" i="8"/>
  <c r="V189" i="8" l="1"/>
  <c r="C190" i="8" s="1"/>
  <c r="F190" i="8" s="1"/>
  <c r="U189" i="8"/>
  <c r="V190" i="8" l="1"/>
  <c r="C191" i="8" s="1"/>
  <c r="F191" i="8" s="1"/>
  <c r="H190" i="8"/>
  <c r="H191" i="8" s="1"/>
  <c r="H192" i="8" s="1"/>
  <c r="H193" i="8" s="1"/>
  <c r="H194" i="8" s="1"/>
  <c r="H195" i="8" s="1"/>
  <c r="H196" i="8" s="1"/>
  <c r="H197" i="8" s="1"/>
  <c r="H198" i="8" s="1"/>
  <c r="H199" i="8" s="1"/>
  <c r="H200" i="8" s="1"/>
  <c r="H201" i="8" s="1"/>
  <c r="H202" i="8" s="1"/>
  <c r="H203" i="8" s="1"/>
  <c r="U190" i="8"/>
  <c r="V191" i="8" l="1"/>
  <c r="C192" i="8" s="1"/>
  <c r="F192" i="8" s="1"/>
  <c r="U191" i="8"/>
  <c r="V192" i="8" l="1"/>
  <c r="C193" i="8" s="1"/>
  <c r="F193" i="8" s="1"/>
  <c r="U192" i="8"/>
  <c r="V193" i="8" l="1"/>
  <c r="C194" i="8" s="1"/>
  <c r="F194" i="8" s="1"/>
  <c r="U193" i="8"/>
  <c r="V194" i="8" l="1"/>
  <c r="C195" i="8" s="1"/>
  <c r="F195" i="8" s="1"/>
  <c r="U194" i="8"/>
  <c r="V195" i="8" l="1"/>
  <c r="C196" i="8" s="1"/>
  <c r="F196" i="8" s="1"/>
  <c r="U195" i="8"/>
  <c r="V196" i="8" l="1"/>
  <c r="C197" i="8" s="1"/>
  <c r="F197" i="8" s="1"/>
  <c r="U196" i="8"/>
  <c r="V197" i="8" l="1"/>
  <c r="C198" i="8" s="1"/>
  <c r="F198" i="8" s="1"/>
  <c r="U197" i="8"/>
  <c r="V198" i="8" l="1"/>
  <c r="C199" i="8" s="1"/>
  <c r="F199" i="8" s="1"/>
  <c r="U198" i="8"/>
  <c r="V199" i="8" l="1"/>
  <c r="C200" i="8" s="1"/>
  <c r="F200" i="8" s="1"/>
  <c r="U199" i="8"/>
  <c r="V200" i="8" l="1"/>
  <c r="C201" i="8" s="1"/>
  <c r="F201" i="8" s="1"/>
  <c r="U200" i="8"/>
  <c r="V201" i="8" l="1"/>
  <c r="C202" i="8" s="1"/>
  <c r="F202" i="8" s="1"/>
  <c r="U201" i="8"/>
  <c r="V202" i="8" l="1"/>
  <c r="C203" i="8" s="1"/>
  <c r="F203" i="8" s="1"/>
  <c r="U202" i="8"/>
  <c r="V203" i="8" l="1"/>
  <c r="C204" i="8" s="1"/>
  <c r="F204" i="8" s="1"/>
  <c r="U203" i="8"/>
  <c r="V204" i="8" l="1"/>
  <c r="C205" i="8" s="1"/>
  <c r="F205" i="8" s="1"/>
  <c r="H204" i="8"/>
  <c r="W204" i="8" s="1"/>
  <c r="U204" i="8"/>
  <c r="V205" i="8" l="1"/>
  <c r="C206" i="8" s="1"/>
  <c r="F206" i="8" s="1"/>
  <c r="H205" i="8"/>
  <c r="H206" i="8" s="1"/>
  <c r="H207" i="8" s="1"/>
  <c r="H208" i="8" s="1"/>
  <c r="H209" i="8" s="1"/>
  <c r="H210" i="8" s="1"/>
  <c r="H211" i="8" s="1"/>
  <c r="H212" i="8" s="1"/>
  <c r="H213" i="8" s="1"/>
  <c r="H214" i="8" s="1"/>
  <c r="H215" i="8" s="1"/>
  <c r="H216" i="8" s="1"/>
  <c r="H217" i="8" s="1"/>
  <c r="H218" i="8" s="1"/>
  <c r="H219" i="8" s="1"/>
  <c r="H220" i="8" s="1"/>
  <c r="H221" i="8" s="1"/>
  <c r="H222" i="8" s="1"/>
  <c r="H223" i="8" s="1"/>
  <c r="H224" i="8" s="1"/>
  <c r="H225" i="8" s="1"/>
  <c r="H226" i="8" s="1"/>
  <c r="H227" i="8" s="1"/>
  <c r="H228" i="8" s="1"/>
  <c r="H229" i="8" s="1"/>
  <c r="H230" i="8" s="1"/>
  <c r="H231" i="8" s="1"/>
  <c r="H232" i="8" s="1"/>
  <c r="H233" i="8" s="1"/>
  <c r="H234" i="8" s="1"/>
  <c r="H235" i="8" s="1"/>
  <c r="H236" i="8" s="1"/>
  <c r="H237" i="8" s="1"/>
  <c r="H238" i="8" s="1"/>
  <c r="H239" i="8" s="1"/>
  <c r="H240" i="8" s="1"/>
  <c r="H241" i="8" s="1"/>
  <c r="H242" i="8" s="1"/>
  <c r="H243" i="8" s="1"/>
  <c r="H244" i="8" s="1"/>
  <c r="H245" i="8" s="1"/>
  <c r="H246" i="8" s="1"/>
  <c r="H247" i="8" s="1"/>
  <c r="H248" i="8" s="1"/>
  <c r="H249" i="8" s="1"/>
  <c r="H250" i="8" s="1"/>
  <c r="U205" i="8"/>
  <c r="V206" i="8" l="1"/>
  <c r="C207" i="8" s="1"/>
  <c r="F207" i="8" s="1"/>
  <c r="U206" i="8"/>
  <c r="V207" i="8" l="1"/>
  <c r="C208" i="8" s="1"/>
  <c r="F208" i="8" s="1"/>
  <c r="U207" i="8"/>
  <c r="V208" i="8" l="1"/>
  <c r="C209" i="8" s="1"/>
  <c r="F209" i="8" s="1"/>
  <c r="U208" i="8"/>
  <c r="V209" i="8" l="1"/>
  <c r="C210" i="8" s="1"/>
  <c r="F210" i="8" s="1"/>
  <c r="U209" i="8"/>
  <c r="V210" i="8" l="1"/>
  <c r="C211" i="8" s="1"/>
  <c r="F211" i="8" s="1"/>
  <c r="U210" i="8"/>
  <c r="V211" i="8" l="1"/>
  <c r="C212" i="8" s="1"/>
  <c r="F212" i="8" s="1"/>
  <c r="U211" i="8"/>
  <c r="V212" i="8" l="1"/>
  <c r="C213" i="8" s="1"/>
  <c r="F213" i="8" s="1"/>
  <c r="U212" i="8"/>
  <c r="V213" i="8" l="1"/>
  <c r="C214" i="8" s="1"/>
  <c r="F214" i="8" s="1"/>
  <c r="U213" i="8"/>
  <c r="V214" i="8" l="1"/>
  <c r="C215" i="8" s="1"/>
  <c r="F215" i="8" s="1"/>
  <c r="U214" i="8"/>
  <c r="V215" i="8" l="1"/>
  <c r="C216" i="8" s="1"/>
  <c r="F216" i="8" s="1"/>
  <c r="U215" i="8"/>
  <c r="V216" i="8" l="1"/>
  <c r="C217" i="8" s="1"/>
  <c r="F217" i="8" s="1"/>
  <c r="U216" i="8"/>
  <c r="V217" i="8" l="1"/>
  <c r="C218" i="8" s="1"/>
  <c r="F218" i="8" s="1"/>
  <c r="U217" i="8"/>
  <c r="V218" i="8" l="1"/>
  <c r="C219" i="8" s="1"/>
  <c r="F219" i="8" s="1"/>
  <c r="U218" i="8"/>
  <c r="V219" i="8" l="1"/>
  <c r="C220" i="8" s="1"/>
  <c r="F220" i="8" s="1"/>
  <c r="U219" i="8"/>
  <c r="V220" i="8" l="1"/>
  <c r="C221" i="8" s="1"/>
  <c r="F221" i="8" s="1"/>
  <c r="U220" i="8"/>
  <c r="V221" i="8" l="1"/>
  <c r="C222" i="8" s="1"/>
  <c r="F222" i="8" s="1"/>
  <c r="U221" i="8"/>
  <c r="V222" i="8" l="1"/>
  <c r="C223" i="8" s="1"/>
  <c r="F223" i="8" s="1"/>
  <c r="U222" i="8"/>
  <c r="V223" i="8" l="1"/>
  <c r="C224" i="8" s="1"/>
  <c r="F224" i="8" s="1"/>
  <c r="U223" i="8"/>
  <c r="V224" i="8" l="1"/>
  <c r="C225" i="8" s="1"/>
  <c r="F225" i="8" s="1"/>
  <c r="U224" i="8"/>
  <c r="V225" i="8" l="1"/>
  <c r="C226" i="8" s="1"/>
  <c r="F226" i="8" s="1"/>
  <c r="U225" i="8"/>
  <c r="V226" i="8" l="1"/>
  <c r="C227" i="8" s="1"/>
  <c r="F227" i="8" s="1"/>
  <c r="U226" i="8"/>
  <c r="V227" i="8" l="1"/>
  <c r="C228" i="8" s="1"/>
  <c r="F228" i="8" s="1"/>
  <c r="U227" i="8"/>
  <c r="V228" i="8" l="1"/>
  <c r="C229" i="8" s="1"/>
  <c r="F229" i="8" s="1"/>
  <c r="U228" i="8"/>
  <c r="V229" i="8" l="1"/>
  <c r="C230" i="8" s="1"/>
  <c r="F230" i="8" s="1"/>
  <c r="U229" i="8"/>
  <c r="V230" i="8" l="1"/>
  <c r="C231" i="8" s="1"/>
  <c r="F231" i="8" s="1"/>
  <c r="U230" i="8"/>
  <c r="V231" i="8" l="1"/>
  <c r="C232" i="8" s="1"/>
  <c r="F232" i="8" s="1"/>
  <c r="U231" i="8"/>
  <c r="V232" i="8" l="1"/>
  <c r="C233" i="8" s="1"/>
  <c r="F233" i="8" s="1"/>
  <c r="U232" i="8"/>
  <c r="V233" i="8" l="1"/>
  <c r="C234" i="8" s="1"/>
  <c r="F234" i="8" s="1"/>
  <c r="U233" i="8"/>
  <c r="V234" i="8" l="1"/>
  <c r="C235" i="8" s="1"/>
  <c r="F235" i="8" s="1"/>
  <c r="U234" i="8"/>
  <c r="V235" i="8" l="1"/>
  <c r="C236" i="8" s="1"/>
  <c r="F236" i="8" s="1"/>
  <c r="U235" i="8"/>
  <c r="V236" i="8" l="1"/>
  <c r="C237" i="8" s="1"/>
  <c r="F237" i="8" s="1"/>
  <c r="U236" i="8"/>
  <c r="V237" i="8" l="1"/>
  <c r="C238" i="8" s="1"/>
  <c r="F238" i="8" s="1"/>
  <c r="U237" i="8"/>
  <c r="V238" i="8" l="1"/>
  <c r="C239" i="8" s="1"/>
  <c r="F239" i="8" s="1"/>
  <c r="U238" i="8"/>
  <c r="V239" i="8" l="1"/>
  <c r="C240" i="8" s="1"/>
  <c r="F240" i="8" s="1"/>
  <c r="U239" i="8"/>
  <c r="V240" i="8" l="1"/>
  <c r="C241" i="8" s="1"/>
  <c r="F241" i="8" s="1"/>
  <c r="U240" i="8"/>
  <c r="V241" i="8" l="1"/>
  <c r="C242" i="8" s="1"/>
  <c r="F242" i="8" s="1"/>
  <c r="U241" i="8"/>
  <c r="V242" i="8" l="1"/>
  <c r="C243" i="8" s="1"/>
  <c r="F243" i="8" s="1"/>
  <c r="U242" i="8"/>
  <c r="V243" i="8" l="1"/>
  <c r="C244" i="8" s="1"/>
  <c r="F244" i="8" s="1"/>
  <c r="U243" i="8"/>
  <c r="V244" i="8" l="1"/>
  <c r="C245" i="8" s="1"/>
  <c r="F245" i="8" s="1"/>
  <c r="U244" i="8"/>
  <c r="V245" i="8" l="1"/>
  <c r="C246" i="8" s="1"/>
  <c r="F246" i="8" s="1"/>
  <c r="U245" i="8"/>
  <c r="V246" i="8" l="1"/>
  <c r="C247" i="8" s="1"/>
  <c r="F247" i="8" s="1"/>
  <c r="U246" i="8"/>
  <c r="V247" i="8" l="1"/>
  <c r="C248" i="8" s="1"/>
  <c r="F248" i="8" s="1"/>
  <c r="U247" i="8"/>
  <c r="V248" i="8" l="1"/>
  <c r="C249" i="8" s="1"/>
  <c r="F249" i="8" s="1"/>
  <c r="U248" i="8"/>
  <c r="V249" i="8" l="1"/>
  <c r="C250" i="8" s="1"/>
  <c r="F250" i="8" s="1"/>
  <c r="U249" i="8"/>
  <c r="V250" i="8" l="1"/>
  <c r="U250" i="8"/>
  <c r="L112" i="6" l="1"/>
  <c r="L111" i="6"/>
  <c r="L110" i="6"/>
  <c r="L109" i="6"/>
  <c r="L108" i="6"/>
  <c r="L107" i="6"/>
  <c r="L106" i="6"/>
  <c r="L105" i="6"/>
  <c r="L104" i="6"/>
  <c r="L103" i="6"/>
  <c r="L102" i="6"/>
  <c r="L101" i="6"/>
  <c r="L100" i="6"/>
  <c r="L99" i="6"/>
  <c r="L98" i="6"/>
  <c r="L97" i="6"/>
  <c r="L96" i="6"/>
  <c r="L95" i="6"/>
  <c r="L94" i="6"/>
  <c r="L93" i="6"/>
  <c r="L92" i="6"/>
  <c r="L91" i="6"/>
  <c r="L90" i="6"/>
  <c r="L89" i="6"/>
  <c r="L88" i="6"/>
  <c r="L87" i="6"/>
  <c r="L86" i="6"/>
  <c r="L85" i="6"/>
  <c r="L84" i="6"/>
  <c r="L82" i="6"/>
  <c r="L81" i="6"/>
  <c r="L80" i="6"/>
  <c r="L79" i="6"/>
  <c r="L78" i="6"/>
  <c r="L77" i="6"/>
  <c r="L76" i="6"/>
  <c r="L75" i="6"/>
  <c r="L74" i="6"/>
  <c r="L73" i="6"/>
  <c r="L72" i="6"/>
  <c r="L71" i="6"/>
  <c r="L70" i="6"/>
  <c r="L69" i="6"/>
  <c r="L68" i="6"/>
  <c r="L67" i="6"/>
  <c r="L66" i="6"/>
  <c r="L65" i="6"/>
  <c r="L64" i="6"/>
  <c r="L63" i="6"/>
  <c r="L62" i="6"/>
  <c r="L61" i="6"/>
  <c r="L60" i="6"/>
  <c r="L59" i="6"/>
  <c r="L58" i="6"/>
  <c r="L57" i="6"/>
  <c r="L56" i="6"/>
  <c r="L55" i="6"/>
  <c r="L54" i="6"/>
  <c r="L53" i="6"/>
  <c r="L52" i="6"/>
  <c r="L51" i="6"/>
  <c r="L50" i="6"/>
  <c r="L49" i="6"/>
  <c r="L48" i="6"/>
  <c r="L47" i="6"/>
  <c r="L46" i="6"/>
  <c r="L45" i="6"/>
  <c r="L44" i="6"/>
  <c r="L43" i="6"/>
  <c r="L42" i="6"/>
  <c r="L41" i="6"/>
  <c r="L40" i="6"/>
  <c r="L39" i="6"/>
  <c r="L38" i="6"/>
  <c r="L37" i="6"/>
  <c r="L36" i="6"/>
  <c r="L35" i="6"/>
  <c r="L34" i="6"/>
  <c r="L33" i="6"/>
  <c r="L32" i="6"/>
  <c r="L31" i="6"/>
  <c r="L30" i="6"/>
  <c r="L29" i="6"/>
  <c r="L28" i="6"/>
  <c r="L27" i="6"/>
  <c r="L26" i="6"/>
  <c r="L25" i="6"/>
  <c r="L24" i="6"/>
  <c r="L23" i="6"/>
  <c r="L22" i="6"/>
  <c r="L21" i="6"/>
  <c r="L20" i="6"/>
  <c r="L19" i="6"/>
  <c r="L18" i="6"/>
  <c r="L17" i="6"/>
  <c r="L16" i="6"/>
  <c r="L15" i="6"/>
  <c r="L14" i="6"/>
  <c r="L13" i="6"/>
  <c r="L12" i="6"/>
  <c r="L11" i="6"/>
  <c r="L10" i="6"/>
  <c r="L9" i="6"/>
  <c r="L8" i="6"/>
  <c r="L7" i="6"/>
  <c r="M7" i="6" s="1"/>
  <c r="M111" i="6"/>
  <c r="M108" i="6"/>
  <c r="M107" i="6"/>
  <c r="M106" i="6"/>
  <c r="M101" i="6"/>
  <c r="M100" i="6"/>
  <c r="M99" i="6"/>
  <c r="M98" i="6"/>
  <c r="M97" i="6"/>
  <c r="M96" i="6"/>
  <c r="M95" i="6"/>
  <c r="M89" i="6"/>
  <c r="M88" i="6"/>
  <c r="M86" i="6"/>
  <c r="M84" i="6"/>
  <c r="M82" i="6"/>
  <c r="M81" i="6"/>
  <c r="M80" i="6"/>
  <c r="M77" i="6"/>
  <c r="M75" i="6"/>
  <c r="M74" i="6"/>
  <c r="M73" i="6"/>
  <c r="M72" i="6"/>
  <c r="M71" i="6"/>
  <c r="M69" i="6"/>
  <c r="M68" i="6"/>
  <c r="M66" i="6"/>
  <c r="M65" i="6"/>
  <c r="M64" i="6"/>
  <c r="M57" i="6"/>
  <c r="M56" i="6"/>
  <c r="M55" i="6"/>
  <c r="M54" i="6"/>
  <c r="M52" i="6"/>
  <c r="M48" i="6"/>
  <c r="M47" i="6"/>
  <c r="M45" i="6"/>
  <c r="M44" i="6"/>
  <c r="M42" i="6"/>
  <c r="M40" i="6"/>
  <c r="M35" i="6"/>
  <c r="M34" i="6"/>
  <c r="M33" i="6"/>
  <c r="M32" i="6"/>
  <c r="M31" i="6"/>
  <c r="M29" i="6"/>
  <c r="M28" i="6"/>
  <c r="M26" i="6"/>
  <c r="M22" i="6"/>
  <c r="M21" i="6"/>
  <c r="M20" i="6"/>
  <c r="M19" i="6"/>
  <c r="M18" i="6"/>
  <c r="M17" i="6"/>
  <c r="M14" i="6"/>
  <c r="M12" i="6"/>
  <c r="M11" i="6"/>
  <c r="M9" i="6"/>
  <c r="B6" i="1"/>
  <c r="I3" i="6"/>
  <c r="M93" i="6" s="1"/>
  <c r="I2" i="6"/>
  <c r="M105" i="6" s="1"/>
  <c r="I1" i="6"/>
  <c r="M109" i="6" s="1"/>
  <c r="I92" i="6"/>
  <c r="I49" i="6"/>
  <c r="D42" i="2"/>
  <c r="M42" i="2"/>
  <c r="D43" i="2"/>
  <c r="D44" i="2" s="1"/>
  <c r="M38" i="6" l="1"/>
  <c r="M60" i="6"/>
  <c r="M10" i="6"/>
  <c r="M24" i="6"/>
  <c r="M30" i="6"/>
  <c r="M36" i="6"/>
  <c r="M46" i="6"/>
  <c r="M58" i="6"/>
  <c r="M62" i="6"/>
  <c r="M8" i="6"/>
  <c r="M16" i="6"/>
  <c r="M50" i="6"/>
  <c r="M13" i="6"/>
  <c r="M15" i="6"/>
  <c r="M23" i="6"/>
  <c r="M25" i="6"/>
  <c r="M27" i="6"/>
  <c r="M37" i="6"/>
  <c r="M39" i="6"/>
  <c r="M41" i="6"/>
  <c r="M43" i="6"/>
  <c r="M49" i="6"/>
  <c r="M51" i="6"/>
  <c r="M53" i="6"/>
  <c r="M59" i="6"/>
  <c r="M61" i="6"/>
  <c r="M63" i="6"/>
  <c r="M67" i="6"/>
  <c r="M79" i="6"/>
  <c r="M85" i="6"/>
  <c r="M87" i="6"/>
  <c r="M92" i="6"/>
  <c r="M94" i="6"/>
  <c r="M102" i="6"/>
  <c r="M104" i="6"/>
  <c r="M110" i="6"/>
  <c r="M112" i="6"/>
  <c r="M70" i="6"/>
  <c r="M76" i="6"/>
  <c r="M78" i="6"/>
  <c r="M91" i="6"/>
  <c r="M103" i="6"/>
  <c r="M90" i="6"/>
  <c r="I8" i="6"/>
  <c r="M83" i="6" l="1"/>
  <c r="M1" i="6" s="1"/>
  <c r="L83" i="6"/>
  <c r="D16" i="4"/>
  <c r="D14" i="4"/>
  <c r="D12" i="4"/>
  <c r="D10" i="4"/>
  <c r="D8" i="4"/>
  <c r="B8" i="4"/>
  <c r="B9" i="4" s="1"/>
  <c r="D6" i="4"/>
  <c r="D15" i="4" s="1"/>
  <c r="C6" i="4"/>
  <c r="E6" i="4" s="1"/>
  <c r="E5" i="4"/>
  <c r="C9" i="4" l="1"/>
  <c r="D9" i="4"/>
  <c r="D11" i="4"/>
  <c r="D13" i="4"/>
  <c r="B10" i="4" l="1"/>
  <c r="C10" i="4" l="1"/>
  <c r="B11" i="4" l="1"/>
  <c r="D5" i="1"/>
  <c r="C5" i="1" s="1"/>
  <c r="K12" i="2"/>
  <c r="K11" i="2"/>
  <c r="K10" i="2"/>
  <c r="K9" i="2"/>
  <c r="K8" i="2"/>
  <c r="K7" i="2"/>
  <c r="K6" i="2"/>
  <c r="K5" i="2"/>
  <c r="K4" i="2"/>
  <c r="I4" i="2"/>
  <c r="D16" i="1" l="1"/>
  <c r="B12" i="4"/>
  <c r="C11" i="4"/>
  <c r="D9" i="1"/>
  <c r="D11" i="1"/>
  <c r="D13" i="1"/>
  <c r="D15" i="1"/>
  <c r="D8" i="1"/>
  <c r="D10" i="1"/>
  <c r="D12" i="1"/>
  <c r="D14" i="1"/>
  <c r="J5" i="2"/>
  <c r="B13" i="4" l="1"/>
  <c r="C12" i="4"/>
  <c r="C13" i="4" l="1"/>
  <c r="B14" i="4" s="1"/>
  <c r="J6" i="2"/>
  <c r="C14" i="4" l="1"/>
  <c r="B15" i="4" s="1"/>
  <c r="C15" i="4" l="1"/>
  <c r="B16" i="4" s="1"/>
  <c r="J7" i="2"/>
  <c r="B17" i="4" l="1"/>
  <c r="B18" i="4" s="1"/>
  <c r="C16" i="4"/>
  <c r="C17" i="4" s="1"/>
  <c r="J8" i="2" l="1"/>
  <c r="J9" i="2" l="1"/>
  <c r="J10" i="2" l="1"/>
  <c r="J11" i="2" l="1"/>
  <c r="I13" i="2" l="1"/>
  <c r="I14" i="2" s="1"/>
  <c r="J12" i="2"/>
  <c r="J13" i="2" s="1"/>
  <c r="C6" i="1" l="1"/>
  <c r="E6" i="1" s="1"/>
  <c r="B8" i="1"/>
  <c r="B9" i="1" s="1"/>
  <c r="C9" i="1" l="1"/>
  <c r="B10" i="1" l="1"/>
  <c r="C10" i="1" l="1"/>
  <c r="B11" i="1" s="1"/>
  <c r="C11" i="1" l="1"/>
  <c r="B12" i="1" s="1"/>
  <c r="C12" i="1" l="1"/>
  <c r="B13" i="1" s="1"/>
  <c r="C13" i="1" l="1"/>
  <c r="B14" i="1" s="1"/>
  <c r="C14" i="1" l="1"/>
  <c r="B15" i="1" s="1"/>
  <c r="C15" i="1" l="1"/>
  <c r="B16" i="1" s="1"/>
  <c r="B17" i="1" l="1"/>
  <c r="C16" i="1"/>
  <c r="C17" i="1" s="1"/>
  <c r="B18" i="1" l="1"/>
  <c r="D17" i="1"/>
</calcChain>
</file>

<file path=xl/comments1.xml><?xml version="1.0" encoding="utf-8"?>
<comments xmlns="http://schemas.openxmlformats.org/spreadsheetml/2006/main">
  <authors>
    <author>NDIRANGU</author>
  </authors>
  <commentList>
    <comment ref="F2" authorId="0">
      <text>
        <r>
          <rPr>
            <sz val="9"/>
            <color indexed="81"/>
            <rFont val="Tahoma"/>
            <family val="2"/>
          </rPr>
          <t xml:space="preserve"> </t>
        </r>
        <r>
          <rPr>
            <sz val="9"/>
            <color indexed="81"/>
            <rFont val="Calibri"/>
            <family val="2"/>
            <scheme val="minor"/>
          </rPr>
          <t>- draw any gains above month bet budget upon realisation, to ensure accurate computation of 'To Stake' value.</t>
        </r>
      </text>
    </comment>
    <comment ref="M2" authorId="0">
      <text>
        <r>
          <rPr>
            <sz val="9"/>
            <color indexed="81"/>
            <rFont val="Tahoma"/>
            <family val="2"/>
          </rPr>
          <t xml:space="preserve"> - max value: To Stake/10*SC</t>
        </r>
      </text>
    </comment>
    <comment ref="T2" authorId="0">
      <text>
        <r>
          <rPr>
            <b/>
            <sz val="9"/>
            <color indexed="81"/>
            <rFont val="Tahoma"/>
            <family val="2"/>
          </rPr>
          <t xml:space="preserve"> - Draw any profits at eom and reset count</t>
        </r>
        <r>
          <rPr>
            <sz val="9"/>
            <color indexed="81"/>
            <rFont val="Tahoma"/>
            <family val="2"/>
          </rPr>
          <t xml:space="preserve">
</t>
        </r>
      </text>
    </comment>
  </commentList>
</comments>
</file>

<file path=xl/comments2.xml><?xml version="1.0" encoding="utf-8"?>
<comments xmlns="http://schemas.openxmlformats.org/spreadsheetml/2006/main">
  <authors>
    <author>NDIRANGU</author>
  </authors>
  <commentList>
    <comment ref="J89" authorId="0">
      <text>
        <r>
          <rPr>
            <b/>
            <sz val="9"/>
            <color indexed="81"/>
            <rFont val="Tahoma"/>
            <family val="2"/>
          </rPr>
          <t xml:space="preserve"> - no sure of this figure</t>
        </r>
      </text>
    </comment>
  </commentList>
</comments>
</file>

<file path=xl/sharedStrings.xml><?xml version="1.0" encoding="utf-8"?>
<sst xmlns="http://schemas.openxmlformats.org/spreadsheetml/2006/main" count="1847" uniqueCount="684">
  <si>
    <t>Month</t>
  </si>
  <si>
    <t>Bankroll</t>
  </si>
  <si>
    <t>Withdrawal</t>
  </si>
  <si>
    <t>S/W cost/pm</t>
  </si>
  <si>
    <t>Software</t>
  </si>
  <si>
    <t>Rate (Eur/Kes)</t>
  </si>
  <si>
    <t>Investment</t>
  </si>
  <si>
    <t>Notes:</t>
  </si>
  <si>
    <t xml:space="preserve"> - Translation services</t>
  </si>
  <si>
    <t xml:space="preserve"> **** If you place 30 bets per day, you will on average double your bankroll in 3 months. ****</t>
  </si>
  <si>
    <t>Value Betting</t>
  </si>
  <si>
    <t>5. Source of the 75K investment budget:</t>
  </si>
  <si>
    <t xml:space="preserve"> - Matched betting proceeds</t>
  </si>
  <si>
    <t>2. Draw 5% of proceeds every quarter to other investment tools (eg Cytonn MMF) to spread risk</t>
  </si>
  <si>
    <t>3. Check possibility of using Bet Brokers to make process more efficient and avoid limitation/grubbing.</t>
  </si>
  <si>
    <t>4. Check for possible cheaper tools (to RebelBetting subscription) to achieve the same projections.</t>
  </si>
  <si>
    <t>1. Target is to run plan for 24 months and achieve funds to generate investment income from Cytonn CHYS or similar products</t>
  </si>
  <si>
    <t xml:space="preserve"> **** Matched Betting can achieve Stg1000 returns in first 3 months, and subsequent Stg300 or more monthly returns indefinetly ****</t>
  </si>
  <si>
    <t>Goal</t>
  </si>
  <si>
    <t>Arbitrage Betting</t>
  </si>
  <si>
    <t xml:space="preserve"> **** ???? ****</t>
  </si>
  <si>
    <t xml:space="preserve"> - Subscription to Betfair Exchange</t>
  </si>
  <si>
    <t>Kshs</t>
  </si>
  <si>
    <t>Target to start mid-May 2019</t>
  </si>
  <si>
    <t>Check possibility of using local bookies offers to replace unavailable 3 way bookies bonuses</t>
  </si>
  <si>
    <t>Strategy</t>
  </si>
  <si>
    <t>Set up</t>
  </si>
  <si>
    <t>#</t>
  </si>
  <si>
    <t>Date</t>
  </si>
  <si>
    <t>Medium</t>
  </si>
  <si>
    <t>Deadline</t>
  </si>
  <si>
    <t>Comment</t>
  </si>
  <si>
    <t>Bet365</t>
  </si>
  <si>
    <t>Deposit bonus deadline expiry</t>
  </si>
  <si>
    <t xml:space="preserve"> - Confirm ideal currency to use for all tools</t>
  </si>
  <si>
    <t xml:space="preserve"> - Subscription to the Smarkets Exchange</t>
  </si>
  <si>
    <t>Status</t>
  </si>
  <si>
    <t>Notes</t>
  </si>
  <si>
    <t>Stg/Eur/USD</t>
  </si>
  <si>
    <t>Notices</t>
  </si>
  <si>
    <t>Projections</t>
  </si>
  <si>
    <t>Bookie</t>
  </si>
  <si>
    <t xml:space="preserve"> - Review eligible bookies</t>
  </si>
  <si>
    <t xml:space="preserve"> - See Eligibility tab</t>
  </si>
  <si>
    <t xml:space="preserve"> - Get Equity to activate int. transfers with Debit card</t>
  </si>
  <si>
    <t>Coral</t>
  </si>
  <si>
    <t>No</t>
  </si>
  <si>
    <t>William Hill</t>
  </si>
  <si>
    <t>BetFred</t>
  </si>
  <si>
    <t>888Sport</t>
  </si>
  <si>
    <t>Yes</t>
  </si>
  <si>
    <t xml:space="preserve">Skybet </t>
  </si>
  <si>
    <t>PaddyPower</t>
  </si>
  <si>
    <t>BetVictor</t>
  </si>
  <si>
    <t>Grosvenor Sports</t>
  </si>
  <si>
    <t>BetStars</t>
  </si>
  <si>
    <t>SunBets</t>
  </si>
  <si>
    <t>BetWay</t>
  </si>
  <si>
    <t>Ladbrokes</t>
  </si>
  <si>
    <t>ComeOn</t>
  </si>
  <si>
    <t>Startup Capital Required</t>
  </si>
  <si>
    <t>Totesport</t>
  </si>
  <si>
    <t>NetBet</t>
  </si>
  <si>
    <t>MoPlay</t>
  </si>
  <si>
    <t>MobileBet</t>
  </si>
  <si>
    <t>MrGreen</t>
  </si>
  <si>
    <t>UniBet</t>
  </si>
  <si>
    <t>DafaBet</t>
  </si>
  <si>
    <t>Genting</t>
  </si>
  <si>
    <t xml:space="preserve"> - Stg10 refund for no-win first bet</t>
  </si>
  <si>
    <t>SportingBet</t>
  </si>
  <si>
    <t>Bwin</t>
  </si>
  <si>
    <t>138Bet</t>
  </si>
  <si>
    <t>Betsid</t>
  </si>
  <si>
    <t>MansionBet</t>
  </si>
  <si>
    <t>Toals</t>
  </si>
  <si>
    <t xml:space="preserve"> - Review the possibility of using Bet Brokers</t>
  </si>
  <si>
    <t>12Bet</t>
  </si>
  <si>
    <t>Fun88</t>
  </si>
  <si>
    <t>BoyleSports</t>
  </si>
  <si>
    <t>K8</t>
  </si>
  <si>
    <t>BetOnline</t>
  </si>
  <si>
    <t>Kwiff</t>
  </si>
  <si>
    <t>Karamba</t>
  </si>
  <si>
    <t>LvBet</t>
  </si>
  <si>
    <t xml:space="preserve"> - 100% welcome bonus upto Euro50</t>
  </si>
  <si>
    <t>Betfair</t>
  </si>
  <si>
    <t>10Bet</t>
  </si>
  <si>
    <t>Spreadex</t>
  </si>
  <si>
    <t xml:space="preserve"> - retricted in Kenya</t>
  </si>
  <si>
    <t>RaceBets</t>
  </si>
  <si>
    <t>FansBet</t>
  </si>
  <si>
    <t>RedZone</t>
  </si>
  <si>
    <t>SportNation</t>
  </si>
  <si>
    <t>Spin Sports</t>
  </si>
  <si>
    <t>BetWinner</t>
  </si>
  <si>
    <t>ZulaBet</t>
  </si>
  <si>
    <t>ReloadBet</t>
  </si>
  <si>
    <t xml:space="preserve"> - Bet Stg100, get Stg100</t>
  </si>
  <si>
    <t xml:space="preserve"> - Stg130, get Stg25 multibet</t>
  </si>
  <si>
    <t xml:space="preserve"> - Bet Stg10, get Stg10</t>
  </si>
  <si>
    <t xml:space="preserve"> - UK Only</t>
  </si>
  <si>
    <t xml:space="preserve"> - UK &amp; Ireland Only</t>
  </si>
  <si>
    <t xml:space="preserve"> - No access to website</t>
  </si>
  <si>
    <t xml:space="preserve"> - Currently suspended</t>
  </si>
  <si>
    <t xml:space="preserve"> - Not working --- check later</t>
  </si>
  <si>
    <t xml:space="preserve"> - No promotions currently</t>
  </si>
  <si>
    <t xml:space="preserve"> - Bet Stg20, get Stg20</t>
  </si>
  <si>
    <t xml:space="preserve"> - Bet Eur10, get Euro10 welcome offer</t>
  </si>
  <si>
    <t xml:space="preserve"> - Stg10 refund</t>
  </si>
  <si>
    <t xml:space="preserve"> - Currently shutting down.</t>
  </si>
  <si>
    <t xml:space="preserve"> - This offer has been pulled for now as Toals are rebranding to Toalsbet. Check back later!</t>
  </si>
  <si>
    <t xml:space="preserve"> - Upto $200 free bet</t>
  </si>
  <si>
    <t xml:space="preserve"> - Euro150 first deposit bonus</t>
  </si>
  <si>
    <t xml:space="preserve"> - Euro120 first deposit bonus</t>
  </si>
  <si>
    <t>KTO</t>
  </si>
  <si>
    <t xml:space="preserve"> - 100% welcome match bonus</t>
  </si>
  <si>
    <t>EnergyBet</t>
  </si>
  <si>
    <t xml:space="preserve"> - 25% Welcome deposit bonus upto Euro50, plus 100% Odds Boost</t>
  </si>
  <si>
    <t>BonkersBet</t>
  </si>
  <si>
    <t xml:space="preserve"> - 100% welcome deposit bonus up to Euro100</t>
  </si>
  <si>
    <t>BetRebels</t>
  </si>
  <si>
    <t xml:space="preserve"> - Euro100 welcome bonus, plus Euro400 loyalty bonus every month</t>
  </si>
  <si>
    <t>NoviBet</t>
  </si>
  <si>
    <t>Spin Palace Sports</t>
  </si>
  <si>
    <t xml:space="preserve"> - 100% upto $/Euro400</t>
  </si>
  <si>
    <t>SvenBet</t>
  </si>
  <si>
    <t xml:space="preserve"> - 100% upto $/Euro100. Min deposit 20</t>
  </si>
  <si>
    <t>BetZest</t>
  </si>
  <si>
    <t xml:space="preserve"> - Euro5 registration bonus, 100% bonus for first deposit upto Euro200</t>
  </si>
  <si>
    <t>BetJoe</t>
  </si>
  <si>
    <t xml:space="preserve"> - 100% cash bonus upto $5000</t>
  </si>
  <si>
    <t>Curr</t>
  </si>
  <si>
    <t>Bonus</t>
  </si>
  <si>
    <t>E</t>
  </si>
  <si>
    <t>P</t>
  </si>
  <si>
    <t>U</t>
  </si>
  <si>
    <t>K</t>
  </si>
  <si>
    <t xml:space="preserve"> - Vpn subscription</t>
  </si>
  <si>
    <t>1xBet Kenya</t>
  </si>
  <si>
    <t>BetPawa</t>
  </si>
  <si>
    <t>W.B</t>
  </si>
  <si>
    <t xml:space="preserve"> - Document anti-grubbing measures</t>
  </si>
  <si>
    <t>BetYetu</t>
  </si>
  <si>
    <t>ChezaCash</t>
  </si>
  <si>
    <t xml:space="preserve"> - stakes a minimum of Ksh 200/= on a prematch SINGLE BET of 2.5 odds or prematch MULTIBET of at least 5 games using minimum odds of 2.0 per game.
 - after placing the bet one will automatically earn a bonus of 25% of the stake.
 - use the bonus amount to place a MULTIBET of at least 5 games with minimum odds of 2.0 per game. 
 - the maximum bonus payout is Ksh 10,000.
 - bonus expires after 7 days of issue. </t>
  </si>
  <si>
    <t>EaziBet</t>
  </si>
  <si>
    <t>EliteBet</t>
  </si>
  <si>
    <t xml:space="preserve"> - place a multibet of 5 games or more between Monday and Friday. If you miss by one prediction, you get your ENTIRE STAKE BACK. 
 - all the games you select MUST have a minimum odd of 1.50 for your bet to be eligible for the refund.
 - multibet Bonus Boost: Place a Multibet of 5 games and above and get a bonus on your winnings.
Win: 
10% EXTRA on 5-9 games 
50% EXTRA for 10-19 games 
Get 100% EXTRA on 20+ games 
This is applicable every day of the week and over the weekend.</t>
  </si>
  <si>
    <t>SportPesa</t>
  </si>
  <si>
    <t>SportyBet</t>
  </si>
  <si>
    <t>22Bet Kenya</t>
  </si>
  <si>
    <t>PremierBet</t>
  </si>
  <si>
    <t>MozzartBet</t>
  </si>
  <si>
    <t>HelaBet</t>
  </si>
  <si>
    <t>PowerBets</t>
  </si>
  <si>
    <t>Sahara Games</t>
  </si>
  <si>
    <t xml:space="preserve"> - deposit Kshs250 or more
 - bet on a game with odds of 3.0 or more
 - receive a free bet</t>
  </si>
  <si>
    <t>Betika</t>
  </si>
  <si>
    <t>Tucheze Afrobet Kenya</t>
  </si>
  <si>
    <t>Get 100% deposit Adisia bonus on Tucheze Afrobet by betting on four and more selections.</t>
  </si>
  <si>
    <t>Supabet247</t>
  </si>
  <si>
    <t>Kwikbet</t>
  </si>
  <si>
    <t>For every 5 bets placed, you get ksh 30 bonus earned.</t>
  </si>
  <si>
    <t>Safaribets Kenya</t>
  </si>
  <si>
    <t>Mcheza</t>
  </si>
  <si>
    <t xml:space="preserve"> - 50% welcome deposit bonus, upto Stg1000</t>
  </si>
  <si>
    <r>
      <rPr>
        <sz val="10"/>
        <color rgb="FFFF0000"/>
        <rFont val="Calibri"/>
        <family val="2"/>
      </rPr>
      <t xml:space="preserve"> - Need 30 - 35 eligible bookies </t>
    </r>
    <r>
      <rPr>
        <sz val="10"/>
        <color theme="1"/>
        <rFont val="Calibri"/>
        <family val="2"/>
      </rPr>
      <t xml:space="preserve">
</t>
    </r>
    <r>
      <rPr>
        <sz val="10"/>
        <color rgb="FFFF0000"/>
        <rFont val="Calibri"/>
        <family val="2"/>
      </rPr>
      <t xml:space="preserve"> - Include local bookies in review</t>
    </r>
  </si>
  <si>
    <t xml:space="preserve"> - Matchbook Exchange</t>
  </si>
  <si>
    <t xml:space="preserve"> - Review key bonus requirements</t>
  </si>
  <si>
    <t xml:space="preserve"> - minimum odds
 - turnover requirements
 - both of the above</t>
  </si>
  <si>
    <t xml:space="preserve">Welcome Bonus Eligibility </t>
  </si>
  <si>
    <t>Seq</t>
  </si>
  <si>
    <r>
      <t xml:space="preserve"> - 100% bonus on first deposit
 - In order to get the First Deposit Bonus you should fulfill the following conditions:
1 Register with 1xBet.
2 Fill in all the fields in My Account and tick the "Take part in bonus offers" box.
3 Deposit any amount from 112 kes. </t>
    </r>
    <r>
      <rPr>
        <b/>
        <sz val="10"/>
        <color rgb="FFFF0000"/>
        <rFont val="Calibri"/>
        <family val="2"/>
      </rPr>
      <t>Within 30 days of registration (time barred!).</t>
    </r>
    <r>
      <rPr>
        <sz val="10"/>
        <color theme="1"/>
        <rFont val="Calibri"/>
        <family val="2"/>
      </rPr>
      <t xml:space="preserve">
The bonus will be credited to your account automatically after the deposit is made.</t>
    </r>
  </si>
  <si>
    <r>
      <t xml:space="preserve"> - Up to Kshs5000 free bets first deposit bonus (50% of deposit)
 - To unlock your bonus, simply make your first deposit and place bets equal to 3x your deposit amount on odds of 3 or higher. </t>
    </r>
    <r>
      <rPr>
        <b/>
        <sz val="10"/>
        <color rgb="FFFF0000"/>
        <rFont val="Calibri"/>
        <family val="2"/>
      </rPr>
      <t xml:space="preserve"> Within 30 days of registration (time barred!).</t>
    </r>
    <r>
      <rPr>
        <sz val="10"/>
        <color theme="1"/>
        <rFont val="Calibri"/>
        <family val="2"/>
      </rPr>
      <t xml:space="preserve">
 - Please allow up to 24 hours for offer to be credited.</t>
    </r>
  </si>
  <si>
    <r>
      <t xml:space="preserve"> - bonus Bet Rule: Minimum Total Odds is 9.99 on both single and multibets. 
 - the maximum possible win for a bet placed using bonus is Kshs 20,000.
 - accumulate Betika Points by placing bets on games with a minimum bet amount of Kshs 49 and minimum total odd of 9.99.</t>
    </r>
    <r>
      <rPr>
        <b/>
        <sz val="10"/>
        <color rgb="FFFF0000"/>
        <rFont val="Calibri"/>
        <family val="2"/>
      </rPr>
      <t xml:space="preserve"> Complex rules for little value bonus!!!</t>
    </r>
    <r>
      <rPr>
        <sz val="10"/>
        <color theme="1"/>
        <rFont val="Calibri"/>
        <family val="2"/>
      </rPr>
      <t xml:space="preserve">
How to calculate your Betika Points:
</t>
    </r>
    <r>
      <rPr>
        <i/>
        <sz val="10"/>
        <color theme="1"/>
        <rFont val="Calibri"/>
        <family val="2"/>
      </rPr>
      <t>Minimum total odd of 9.99 on bet placed
Minimum bet amount of Kshs 49
Kshs 49 – 99 bet amount earns a maximum of 25 points
Kshs 100 – 500 bet amount earns a maximum of 50 points
Kshs 501 – 5000 bet amount earns a maximum of 100 points
Kshs 5001 and above bet amount earns a maximum of 200 points</t>
    </r>
    <r>
      <rPr>
        <sz val="10"/>
        <color theme="1"/>
        <rFont val="Calibri"/>
        <family val="2"/>
      </rPr>
      <t xml:space="preserve">
Normal Betika Point award = (Total Stake X Total Odds)/100
The maximum daily points that can be earned by one user is 500 Betika Points.
Points accumulated can be redeemed by sending redeem#500 or #1000 to 29090 to redeem 500 points for Kshs 50 and 1000 points for Kshs 100 bonus. The maximum points that can be redeemed in a day is 1000.</t>
    </r>
  </si>
  <si>
    <r>
      <t xml:space="preserve"> - </t>
    </r>
    <r>
      <rPr>
        <sz val="10"/>
        <color rgb="FFFF0000"/>
        <rFont val="Calibri"/>
        <family val="2"/>
      </rPr>
      <t>to qualify for the First Deposit Bonus, clients need to deposit within 14 days of registering and play through that deposit within 7 days. (Time Barred!!!)</t>
    </r>
    <r>
      <rPr>
        <sz val="10"/>
        <color theme="1"/>
        <rFont val="Calibri"/>
        <family val="2"/>
      </rPr>
      <t xml:space="preserve">
 - this offer is valid until the 31 July 2019. 
- 100% first deposit match bonus upto Kshs.200
 - to qualify client must have a registered account with EaziBet and made a minimum first deposit of Ksh10
 - you need to turn over your initial deposit once at minimum odds of 1,5 before you qualify to receive your welcome bonus.
 - the maximum amount that can be claimed here is Ksh200.
 - bonuses will be awarded within 48 hours of a client fulfilling the qualification criteria.
 - the Bonus must be wagered at least 5 times at minimum odds of 1,5 before any withdrawals can be processed.</t>
    </r>
  </si>
  <si>
    <t>Pot. Return</t>
  </si>
  <si>
    <r>
      <t xml:space="preserve"> - new customers will get a Free KSh 50 bonus voucher. 
</t>
    </r>
    <r>
      <rPr>
        <b/>
        <sz val="10"/>
        <color rgb="FFFF0000"/>
        <rFont val="Calibri"/>
        <family val="2"/>
      </rPr>
      <t xml:space="preserve"> - you must place it on a pre-selected event in the promotion page (hard to lay bet). </t>
    </r>
    <r>
      <rPr>
        <sz val="10"/>
        <color theme="1"/>
        <rFont val="Calibri"/>
        <family val="2"/>
      </rPr>
      <t xml:space="preserve">
 - you must claim this Free KSh 50 bonus voucher within 72 hours of registering your account. 
 - the money in your bonus balance cannot be used to place bets, but they will be unlocked partially when you place bets using real money. </t>
    </r>
  </si>
  <si>
    <r>
      <rPr>
        <b/>
        <sz val="10"/>
        <color rgb="FFFF0000"/>
        <rFont val="Calibri"/>
        <family val="2"/>
      </rPr>
      <t xml:space="preserve"> - coming soon</t>
    </r>
    <r>
      <rPr>
        <sz val="10"/>
        <color theme="1"/>
        <rFont val="Calibri"/>
        <family val="2"/>
      </rPr>
      <t xml:space="preserve">
 -  get a free bonus of 50% up to Ksh.10000 on the first deposit made.
 - To use the attained bonus, the SafariBet user is required to place bets that contain minimum odds of 4.0 and the bonus amount must be rolled over 4 times before the client is eligible to claim the bonus.</t>
    </r>
  </si>
  <si>
    <r>
      <t xml:space="preserve"> - </t>
    </r>
    <r>
      <rPr>
        <b/>
        <sz val="10"/>
        <color rgb="FFFF0000"/>
        <rFont val="Calibri"/>
        <family val="2"/>
      </rPr>
      <t>Site Inaccesible</t>
    </r>
    <r>
      <rPr>
        <sz val="10"/>
        <color theme="1"/>
        <rFont val="Calibri"/>
        <family val="2"/>
      </rPr>
      <t xml:space="preserve">
 - Get ksh 25 on Supabet247 by depositing ksh 99 and more on Superbet247.</t>
    </r>
  </si>
  <si>
    <t>Invest</t>
  </si>
  <si>
    <t xml:space="preserve"> - Can provide access to restricted Bookies
 - Not applicable for Match Betting</t>
  </si>
  <si>
    <t>Target of investment is to fund expenses, Value &amp; Arbitrage betting.</t>
  </si>
  <si>
    <t xml:space="preserve"> - Review bookies &amp; exchanges deposit/withdrawal procedures</t>
  </si>
  <si>
    <r>
      <t xml:space="preserve"> - See sample requirements from Matchbook Exchange
 - key concern is the physical location verification
</t>
    </r>
    <r>
      <rPr>
        <b/>
        <u/>
        <sz val="10"/>
        <color rgb="FFFF0000"/>
        <rFont val="Calibri"/>
        <family val="2"/>
      </rPr>
      <t xml:space="preserve"> - To use bank statement!!!</t>
    </r>
  </si>
  <si>
    <t>Smarkets</t>
  </si>
  <si>
    <t xml:space="preserve"> - Stg10 Welcome Offer</t>
  </si>
  <si>
    <t>BlackType</t>
  </si>
  <si>
    <t>Bet Stg10, get Stg10</t>
  </si>
  <si>
    <t>BetBright</t>
  </si>
  <si>
    <t>Ceased Trading</t>
  </si>
  <si>
    <t>TitanBet</t>
  </si>
  <si>
    <t xml:space="preserve"> - Bet Stg25, get Stg25 free</t>
  </si>
  <si>
    <t>Guts</t>
  </si>
  <si>
    <t>Not available in Kenya</t>
  </si>
  <si>
    <t>BetDaq</t>
  </si>
  <si>
    <t>BetSafe</t>
  </si>
  <si>
    <t xml:space="preserve"> - Look at Non-Sports Betting (Poker, etc)</t>
  </si>
  <si>
    <t xml:space="preserve"> - Subscription to e-wallet EcoPayz</t>
  </si>
  <si>
    <t xml:space="preserve"> - Subscription to e-wallet Skrill</t>
  </si>
  <si>
    <t xml:space="preserve"> - Subscribe to e-wallet Paypal</t>
  </si>
  <si>
    <t xml:space="preserve"> - Subscription to e-wallet Neteller</t>
  </si>
  <si>
    <t>DoubleBet</t>
  </si>
  <si>
    <t>100% up to €100 welcome bonus</t>
  </si>
  <si>
    <t>Account Verification</t>
  </si>
  <si>
    <t>Passport
Driving licence with photo
National Identity card</t>
  </si>
  <si>
    <t xml:space="preserve"> - for easy access to reload offers
 - austin.ndirango@gmail.com</t>
  </si>
  <si>
    <t xml:space="preserve"> - set up match betting bookies/exchanges e-mail account</t>
  </si>
  <si>
    <t xml:space="preserve"> - Name to use for bookies/exchanges/e-wallet registration</t>
  </si>
  <si>
    <t xml:space="preserve"> - USD
 - Deposit/Withdraw via Mpesa
 - Name: Austin Nyika</t>
  </si>
  <si>
    <t xml:space="preserve"> - Apply for Equitel/Eazzy account to facilitate transfers</t>
  </si>
  <si>
    <t>PoID:
 - The name that you provide at registration must be identical to that listed on your government issued identification.
 - If you use a credit/debit card and/or a financial/bank account for transactions, the account/cardholder’s name MUST be the same as the name you used when registering account.
PoA: N/a</t>
  </si>
  <si>
    <t xml:space="preserve"> - Look at cashback offers</t>
  </si>
  <si>
    <t>https://www.youtube.com/watch?v=cqfIbnlqeB8</t>
  </si>
  <si>
    <t>n/a</t>
  </si>
  <si>
    <t>TipWin</t>
  </si>
  <si>
    <t xml:space="preserve">100% bonus upto Euro100
1. This promotion is exclusive for all customers. 
2. Once you register and verify your account, the welcome bonus on your first/next deposit will be automatically added to your account.
3. Rollover – The total amount held as bonus funds must be wagered minimum 5 times (5X) with all bets settled before the deposit amount and the bonus funds are released for withdrawal.
4. The maximum stake per ticket included in calculating the rollover is 100 EUR.
5. The minimum odd per ticket included in calculating the rollover is 1.80.
7. The bonus is limited to one betting account per person, family, household or computer. </t>
  </si>
  <si>
    <t>Sports Betting</t>
  </si>
  <si>
    <t xml:space="preserve"> - Look at football indexes</t>
  </si>
  <si>
    <t>https://mail.google.com/mail/u/0/?tab=wm#inbox/FMfcgxwCgpXpbRgljLrVkJMTnBmmNHhS</t>
  </si>
  <si>
    <t>MelBet</t>
  </si>
  <si>
    <t>Place 1000 KES – get 3000 KES as a free bet
Players receive a 3000 KES free bet (2000 KES for betting on the website, 1000 KES for betting via the mobile app). To qualify for a free bet players must deposit at least 1000 KES and place a bet on an event with odds no less than 1.50 and with a stake equal to the amount deposited (hereinafter referred to as the "Qualifying bet").
The qualifying bet must be placed no later than 30 days after the deposit has been made.
Players who make their deposit via Neteller or Skrill are not eligible for the free bet.
This offer is limited to one per person, family, IP address, device, email address and payment details.</t>
  </si>
  <si>
    <t xml:space="preserve">Exchange </t>
  </si>
  <si>
    <t>Betin</t>
  </si>
  <si>
    <t>Pinnacle</t>
  </si>
  <si>
    <t>No restrictions to succesfull betters</t>
  </si>
  <si>
    <t>Joy Casino</t>
  </si>
  <si>
    <t>Euro 10 sign up free bet plus 200% deposit bonus</t>
  </si>
  <si>
    <t>18Bet</t>
  </si>
  <si>
    <t>Betsson</t>
  </si>
  <si>
    <t>Interwetten</t>
  </si>
  <si>
    <t>TipBet</t>
  </si>
  <si>
    <t>1. The 100% Welcome Bonus is available for all the new customers who deposit a minimum amount of €10. This bonus can only be claimed once.
2. The Welcome Bonus is worth one hundred percent (100%) of the corresponding deposit amount up to a maximum of €100.
3. The first deposit amount and the bonus amount need to be turned over at least ten (10) times on sports bets. Customers must place multi bets with at least two selections per betting slip and with minimum odds of 1.50 for every selection.
4. Bets that are settled with odds of 1.00, as well as system bets, will not count towards the wagering requirements of the bonus.</t>
  </si>
  <si>
    <t>RedBet</t>
  </si>
  <si>
    <t>1. Make a deposit using the promotion code: redbetwelcome
2. Place a bet with minimum odds of 4/5 (1.8) and get 25% of your first settled bet back as a bonus bet (up to £50) if your bet is settled as lost.
3. Then wager £200 of real money with the same minimum odds in one or more bets, and you will get a £25 bonus bet for sports and £25 bonus for casino, once the initial bets are settled.
4. Cashed out bets will not count for this promotion.
5. Bonus bet stakes will not be included in any winnings.
6. Bets placed with a bonus bet token will not be eligible for cash out.
7. Bonus bets cannot be exchanged for real money or for any other bonuses.</t>
  </si>
  <si>
    <t>MarathonBet</t>
  </si>
  <si>
    <t>No Bonuses</t>
  </si>
  <si>
    <t>WinMasters</t>
  </si>
  <si>
    <r>
      <t xml:space="preserve">50% upto Euro 50
</t>
    </r>
    <r>
      <rPr>
        <b/>
        <sz val="10"/>
        <color rgb="FFFF0000"/>
        <rFont val="Calibri"/>
        <family val="2"/>
      </rPr>
      <t>This offer is valid until December 31st 2018, 23:59 GMT</t>
    </r>
  </si>
  <si>
    <t>InterTops</t>
  </si>
  <si>
    <t>SIGN UP AND GET UP TO $200 BONUS</t>
  </si>
  <si>
    <t>MatchBook</t>
  </si>
  <si>
    <t>Stg50 free bet refund</t>
  </si>
  <si>
    <t>5Dimes</t>
  </si>
  <si>
    <t>NordicBet</t>
  </si>
  <si>
    <t>Euro 10 sign up free bet</t>
  </si>
  <si>
    <t xml:space="preserve">Expekt </t>
  </si>
  <si>
    <t>Bet Stg30, get Stg10 Free Bets</t>
  </si>
  <si>
    <t>Betolimp</t>
  </si>
  <si>
    <t>100% up to € 100!</t>
  </si>
  <si>
    <t>Stg25 free bet</t>
  </si>
  <si>
    <t>CampeonBet</t>
  </si>
  <si>
    <t>GoalBet</t>
  </si>
  <si>
    <t>24Bettle</t>
  </si>
  <si>
    <t>100% upto Euro 240</t>
  </si>
  <si>
    <t>https://www.beatingbetting.co.uk/matched-betting-tips/casino-offers/</t>
  </si>
  <si>
    <r>
      <t xml:space="preserve">https://www.youtube.com/watch?v=w5goQrDDvaY
https://www.beatingbetting.co.uk/matched-betting-tips/mug-betting/
 </t>
    </r>
    <r>
      <rPr>
        <sz val="10"/>
        <color theme="10"/>
        <rFont val="Calibri"/>
        <family val="2"/>
      </rPr>
      <t>- do not use affiliate links (from oddsmonkey, etc!!!!) to avoid gubbing.</t>
    </r>
  </si>
  <si>
    <t>Aim</t>
  </si>
  <si>
    <t xml:space="preserve"> - for the Stg10 guide, plan to use Equity VISA 
- Use STG for Neteller, Euro for Skrill,USD for Paypal for post welcome offers</t>
  </si>
  <si>
    <t>Austin Ndirangu</t>
  </si>
  <si>
    <t xml:space="preserve"> - Using Windscribe, where necessary</t>
  </si>
  <si>
    <t xml:space="preserve"> - for post welcome offers</t>
  </si>
  <si>
    <t xml:space="preserve"> - Bankroll (to run the Stg10 plan</t>
  </si>
  <si>
    <t xml:space="preserve"> - Subscribe to 1xBet Exchange</t>
  </si>
  <si>
    <r>
      <t xml:space="preserve"> - Local Exchange
</t>
    </r>
    <r>
      <rPr>
        <b/>
        <sz val="10"/>
        <color rgb="FFFF0000"/>
        <rFont val="Calibri"/>
        <family val="2"/>
      </rPr>
      <t xml:space="preserve">  - To use of Smarkets due to ease of Deposit/Withdrawal procedures</t>
    </r>
  </si>
  <si>
    <r>
      <t xml:space="preserve"> - make use of the 30 day 0% commision on transfers (5% commission)</t>
    </r>
    <r>
      <rPr>
        <b/>
        <sz val="10"/>
        <color rgb="FFFF0000"/>
        <rFont val="Calibri"/>
        <family val="2"/>
      </rPr>
      <t xml:space="preserve">
  - To use of Smarkets due to ease of Deposit/Withdrawal procedures</t>
    </r>
  </si>
  <si>
    <t xml:space="preserve"> - make use of the Stg10 welcome offer (2% commission)
  - To use of Smarkets due to ease of Deposit/Withdrawal procedures</t>
  </si>
  <si>
    <r>
      <t xml:space="preserve"> - 1.5% commission</t>
    </r>
    <r>
      <rPr>
        <b/>
        <sz val="10"/>
        <color rgb="FFFF0000"/>
        <rFont val="Calibri"/>
        <family val="2"/>
      </rPr>
      <t xml:space="preserve">
  - To use of Smarkets due to ease of Deposit/Withdrawal procedures</t>
    </r>
  </si>
  <si>
    <t xml:space="preserve"> - funds from the Burguret stipend allowance</t>
  </si>
  <si>
    <t xml:space="preserve"> - Sequence alternative eligible bookies for the Stg 10 Guide</t>
  </si>
  <si>
    <t>Pot. Return (Kshs)</t>
  </si>
  <si>
    <t xml:space="preserve">Use Matched Betting to  fund Value &amp; Arbitrage Betting -&gt; Target Euro 1,350 (Kshs 155,000) and therafter fund living expenses (Kshs 30,000pm) </t>
  </si>
  <si>
    <t>Use Value &amp; Arbitrage Betting to generate investment capital to fund Cytonn CHYS to assure financial freedom - &gt; Target Kshs2,1M for 30K pm</t>
  </si>
  <si>
    <t>Matched Betting -&gt; Start with Stg10 (Kshs 3,000)</t>
  </si>
  <si>
    <t xml:space="preserve">Entertainment (to be funded by betin bets) betting  budget -&gt; Start with Kshs 2,000 </t>
  </si>
  <si>
    <t>Funds for Matched Betting start to come from Burguret monthly stipend</t>
  </si>
  <si>
    <t>Living expenses to be catered for from translation services, Burguret monthly stipend and later, matched betting</t>
  </si>
  <si>
    <t>Entertainment betting budget to be funded from  Burguret monthly stipend.</t>
  </si>
  <si>
    <t>Any surplus funds to be directed to investements (Matched Betting, Value Betting, Arbitrage Betting &amp; Cytonn MMF) to speed up financial freedom target</t>
  </si>
  <si>
    <t>Currency</t>
  </si>
  <si>
    <t>Rate</t>
  </si>
  <si>
    <t>Eur/Kes</t>
  </si>
  <si>
    <t>Stg/Kes</t>
  </si>
  <si>
    <t>USD/Kes</t>
  </si>
  <si>
    <r>
      <rPr>
        <sz val="10"/>
        <rFont val="Calibri"/>
        <family val="2"/>
      </rPr>
      <t xml:space="preserve"> - checkout the 60% off offer (code:</t>
    </r>
    <r>
      <rPr>
        <sz val="10"/>
        <color rgb="FFFF0000"/>
        <rFont val="Calibri"/>
        <family val="2"/>
      </rPr>
      <t xml:space="preserve"> 60OFFNOW</t>
    </r>
    <r>
      <rPr>
        <sz val="10"/>
        <rFont val="Calibri"/>
        <family val="2"/>
      </rPr>
      <t>) for Stg 10.8</t>
    </r>
  </si>
  <si>
    <t xml:space="preserve"> - OddsMonkey premium subscription (Stg 1 for 10 days)/60% off for 1st Month (Standard Stg 17.99)</t>
  </si>
  <si>
    <t>Value Betting -&gt; Start with Eur 900 (Kshs 104,000)</t>
  </si>
  <si>
    <t>Arbitrage Betting -&gt; Start with Eur 450 (Kshs 52,000)</t>
  </si>
  <si>
    <t>Bet Stg10, get 3xStg10 in free bets (to confirm)</t>
  </si>
  <si>
    <t>Potential Returns</t>
  </si>
  <si>
    <t xml:space="preserve"> - also a betting exchange
Sportsbook offers Stg50 free bet refund</t>
  </si>
  <si>
    <t>PoA: Require physical address</t>
  </si>
  <si>
    <t>Type</t>
  </si>
  <si>
    <t xml:space="preserve"> - Min. deposit $25 (no Skrill/Neteller); 
 - 6x deposit and bonus turnover (min. odds 1.80 on singles and 1.40 per selection on combo bets), in 30 days, for bonus release;
 - To be eligible for this promotion, players must input FD10BET in the 'Bonus Code' field when making a qualifying deposit into their Sports Cash Account.
 - The bonus amount of 50% of your qualifying deposit, up to $100, shall then be credited to your Sports Bonus Account immediately after the qualifying deposit has been made.
 - The deposit and bonus amount must be turned over six (6) times on: (1) settled single sports bets with odds of at least 1.80; or (2) settled accumulator bets with odds of at least 1.40 per selection. Then the bonus amount shall be transferred from your Sports Bonus Account to your Sports Cash Account, and be withdrawable.</t>
  </si>
  <si>
    <t xml:space="preserve"> 50%up to $100</t>
  </si>
  <si>
    <t xml:space="preserve"> - will match your lowest stake after your first 6 bets
· Only deposits made via credit or debit cards are eligible for the promotion.
 - Deposits via E-Wallets such as Neteller or Skrill do not count for this promotion.
 - Your Bonus Token bonus will be equivalent to your lowest stake during all your qualifying bets. 
 - Place 6 bets each with a minimum stake of £10.
 - If any of your 6 qualifying bets are over £35 it will only count as the £35 maximum and count towards 1 of your 6 qualifying bets. 
 - Qualifying bets can only be placed on a win single or combo bet. System bets do not qualify. 
 - The 6 qualifying bets should be placed on different events/selections. In the event that the 6 qualifying bets are placed on same event/selection, only the first accepted bet shall qualify towards your 6 qualifying bets. 
 - Qualifying single bets must be staked at odds of 2.00 or over. Each selection in qualifying combo bets must be placed at odds of 1.40 or over.</t>
  </si>
  <si>
    <t xml:space="preserve">Matched Bonus Token up to £35 </t>
  </si>
  <si>
    <t>1. This promotion is available for all customers of 18bet for the period 1.11.2014 – 31.12.2019.
 2. Customers will receive 100% up to 125€/$/£ (or equivalent to € in other currency) on top of the deposited amount instantly upon entering the bonus code for this promotion: 18GRBET
3. Players, who fail to enter the bonus code along with their first deposit on the deposit page, cannot receive the bonus after the deposit has been successfully processed.
4. The minimum deposit eligible for participating in this promotion is 10 EUR/GBP/USD (or equivalent to EUR for other currency).
5. The maximum bonus amount for this promotion is 125€/$/£ (or equivalent to € in other currency).
6. In order to cash out the bonus and the winnings accumulated, players will need to rollover both the amount of their deposit and bonus amount 12 times.
Example: A customer deposits €10 and receives a €10 bonus automatically. In order to withdraw the amount they are required to meet a rollover of 240 = 12 x (10+10).</t>
  </si>
  <si>
    <t>100% up to €125</t>
  </si>
  <si>
    <t xml:space="preserve"> - only one 100% first deposit bonus per customer
 - to receive the bonus, customers must deposit a minimum of €1/$1/etc.
 - maximum bonus amount is 15,000 KES for sports betting
 - the bonus will be credited to the customer's account automatically after the first deposit is made, unless the box "I do not want any bonuses" is ticked.
 - before making a deposit, the customer must select the bonus account where the bonus will be credited.
 - once credited, the bonus cannot be transferred between bonus accounts.
 - withdrawal of funds from the customer account will only be possible after the bonus has been redeemed (wagered).
 - the wagering requirement will be 5x the bonus amount in accumulator bets. 
 - each accumulator bet must contain at least three selections. At least three selections in each accumulator must have odds of 1.40 or higher.
 - the bonus is deemed to have been wagered only after all the bets for the specified amount have been settled.</t>
  </si>
  <si>
    <t>100% up to 15,000 KES and 22 Bet Points</t>
  </si>
  <si>
    <t xml:space="preserve"> - members must first place a qualifying bet of at least £/$/€10 with odds of 1/2 (1.5) or greater,placed on any sports markets. 
First qualifying bet must be placed within 30 days of registration.
Bonuses will be applied to qualifying accounts upon bet settlement. (Please allow 72 hours in extenuating circumstances).
Members depositing with PayPal, Muchbetter , Paysafe, Neteller or Skrill will not be eligible for this promotion.</t>
  </si>
  <si>
    <t>Bet Stg10, get Stg30</t>
  </si>
  <si>
    <t>Bet Stg100, get Stg100</t>
  </si>
  <si>
    <t>100% upto $5000</t>
  </si>
  <si>
    <t>50% upto Stg1000</t>
  </si>
  <si>
    <t>100% up to € 100</t>
  </si>
  <si>
    <t xml:space="preserve"> - Euro 100</t>
  </si>
  <si>
    <t>The offer will be claimable from 23 May 2019, 11.00 (CEST) till 2 June 2019, 23.59 (CEST).
Customers that registered with betsson after start of this campaign won't be eligible for this promotion.
As a new customer you'll receive  on your first two deposits.
The minimum Deposit for the Sport Summer Bonus is €25.
The bonus will be 100% on top of your deposit. The maximum bonus for this promotion is €100.
This offer is valid only once per customer, IP Address or household.
Bonus amount must be wagered 10x at a minimum odds of 1.50.
System Bets do not count towards wagering.
Wagering requirements must be met within 30 days for bonus money to become real money.
Bonus money which has not been converted to real money after 30 days will be forfeited.
Locked up money and bonus money must be wagered on Sportsbook</t>
  </si>
  <si>
    <t>100% upto Euro100</t>
  </si>
  <si>
    <t>1. A customer is entitled to only one bonus. The minimum required deposit to activate the bonus is 112 KES.
 2. Before making a deposit into their account, customers must agree to receive a sports betting bonus either on the ‘Account Settings’ page in the My Account section, or directly on the ‘Deposit’ page. This bonus is automatically credited to customers’ accounts once the first deposit has been made, provided that the account details have been completed in full and a telephone number has been activated.
 3. The bonus amount must be rolled over 5 times in accumulator bets. Each accumulator bet must contain 3 events or more. At least 3 events within the accumulator must have odds of 1.40 or higher.
 4. The required amount is considered to have been wagered only when all the bets made within the said amount have been settled.
 5. No withdrawals can be made before all the conditions of the offer are met (apart from the exceptions specified in the Appendix*.)
 6. The bonus rollover must be completed in full before the customer can withdraw all the funds from the account (or transfer the funds to the casino), otherwise any bonuses or winnings made therewith will be forfeited.
 7. The offer cannot be used in conjunction with any other promotional or special offers.</t>
  </si>
  <si>
    <t xml:space="preserve">100% upto Kshs 10,000 </t>
  </si>
  <si>
    <t xml:space="preserve"> - I.e. if a player stakes Ksh. 2,000 on their first cash bet and he or she loses, they will receive Ksh. 2,000 back as a free bet.
 - customers who have not yet deposited and placed a cash bet with Betyetu.
 - this promotion applies to only single bets or price boosts.
 - the free bet will be awarded to the player’s account 24 hours after the bet has been settled.
 - the free bet awarded can only be staked on bets with minimum odds of 2.0
 - the Free bet are valid for 7 days from day they are awarded.
 - his offer is valid till the 31st July 2019</t>
  </si>
  <si>
    <t>100% free bet upto Ksh. 2,000 lose first bet.</t>
  </si>
  <si>
    <t>Euro5 plus 100% upto Euro200</t>
  </si>
  <si>
    <t>Stg130, get Stg25 multibet</t>
  </si>
  <si>
    <t xml:space="preserve">  - Minimum deposit to get the Bonus is 20€</t>
  </si>
  <si>
    <t>100% upto 100€</t>
  </si>
  <si>
    <t>Kshs200, get 25%</t>
  </si>
  <si>
    <t>100% upto €100</t>
  </si>
  <si>
    <t>25% upto Euro50</t>
  </si>
  <si>
    <t>Bet Stg30, get Stg10</t>
  </si>
  <si>
    <t>Stg10 no win refund</t>
  </si>
  <si>
    <r>
      <t xml:space="preserve"> - the minimum deposit amount to claim this bonus is KES 100. Maximum bonus amount is KES 10.000
</t>
    </r>
    <r>
      <rPr>
        <sz val="10"/>
        <rFont val="Calibri"/>
        <family val="2"/>
      </rPr>
      <t xml:space="preserve"> - before withdrawal the bonus amount must be wagered 15 times with odds 3.0 per selection. Failure to wager the deposit and bonus within 30 days will result in forfeit of the bonus and eventual winnings.</t>
    </r>
    <r>
      <rPr>
        <sz val="10"/>
        <color theme="1"/>
        <rFont val="Calibri"/>
        <family val="2"/>
      </rPr>
      <t xml:space="preserve">
 - you must place pre-match, single or multiple bets. Min. selections per multiple bet is 3.
 - maximum payout per bonus money is KES 40,000
 - when your real funds are locked to your bonus money, deposit funds will be used first.
 - if you cancel your bonus you will then lose your bonus and any winnings generated from your bonus.
 - any withdrawals made prior to full completion of bonus wagering may result in full forfeit of the bonus as well as any accumulated funds and winnings from the bonus and deposit used to trigger/credit the bonus.
 - Get daily Ksh 50 Free bet on Helabet by depositing daily. 
 - Get daily 20% deposit bonus on Helabet for your first deposit of the day</t>
    </r>
  </si>
  <si>
    <t>100% upto KES 10.000</t>
  </si>
  <si>
    <t>$200 sign up bonus</t>
  </si>
  <si>
    <t>The new customer bonus is valid if the first deposit is made within 10 days following registration. Within these 10 days, a bonus will be granted on deposits until the maximum bonus of EUR 100 has been reached. The stakes required to activate the bonus must be placed within 14 days.</t>
  </si>
  <si>
    <t>100% upto EUR 20</t>
  </si>
  <si>
    <t>Bet Stg20, get Stg20</t>
  </si>
  <si>
    <t>Bet Eur10, get Euro10</t>
  </si>
  <si>
    <t xml:space="preserve"> - 100% bonus</t>
  </si>
  <si>
    <t xml:space="preserve"> - 100% upto Euro50</t>
  </si>
  <si>
    <t>Stg10, get Stg10</t>
  </si>
  <si>
    <t>Bet Kshs1000, get Kshs3000</t>
  </si>
  <si>
    <t xml:space="preserve"> - The free bet is only valid for players who are not from any of the following countries: Norway, Sweden, Finland, Czech Republic, Germany, Austria and Switzerland.
You will be given a Sportsbook 10 Euro Free Bet when you deposit and place a qualifying bet of at least 10 Euros on Sportsbook. The Free Bet will be credited to you as soon as you meet the above criteria.
You will not be eligible for this welcome bonus if you place your first deposit with Moneybookers, Neteller and Skrill.
The qualifying bet and Free Bet can be placed as a single bet or as a combi-bet. You cannot use the free bet to place a system bet.
The Free Bet must be validated by ticking the blue check box on the bet slip before submitting the bet. In the event that the Free Bet option does not appear on your bet slip, please refresh the page before adding your selected bet again.
If you don’t use your free bet within 7 days of being credited with it, it will be removed.
If the free bet is a winner, you’ll need to wager through the winnings 3x at odds of 1.5 within 14 days.System bets do not contribute to the wagering requirement of the bonus.
If wagering requirements are attempted to be met by betting on both sides of an outcome across any of the Betsson Group brands (contact Customer Support for more information) – bonus will be forfeited.</t>
  </si>
  <si>
    <t>100% upto Kshs100</t>
  </si>
  <si>
    <r>
      <t xml:space="preserve"> - your bonus will be applied once your first deposit done. Please click on "Active bonus" when doing your first deposit
 - the bonus will be held in the bonus wallet until the wagering requirements have been met. 
 - the total amount (deposit + bonus) must be wagered at least 10 times at odds of 2.00 or (for each selection on the betslip) greater to release any funds (i.e. before you can withdraw them).
</t>
    </r>
    <r>
      <rPr>
        <sz val="10"/>
        <rFont val="Calibri"/>
        <family val="2"/>
      </rPr>
      <t xml:space="preserve"> - for example: customer makes a deposit of 100 KSH and an additional 100 KSH in bonus funds. Customer now has 200 KSH which must be wagered 10 times (total stake of 2,000 KSH) before the bonus amount is released to the customer’s cash fund wallet </t>
    </r>
    <r>
      <rPr>
        <sz val="10"/>
        <color theme="1"/>
        <rFont val="Calibri"/>
        <family val="2"/>
      </rPr>
      <t xml:space="preserve">
 - all bets must be placed at odds of 2.00 or greater. Any accumulator (bet with multiple selections) must include at least one selection with odds of 2.00 or greater
 - you have 7 days to complete any wagering requirements. Any bonus funds not turned over during this period will be removed, and any remaining deposit funds will be returned to your cash fund wallet
 - the deposit funds can be withdrawn at any time during the promotion, however any withdrawal made will cancel the promotion on the account and will forfeit the matched bonus funds
 - voided bets will not count towards the wagering requirements
 - any bets placed at lower odds will be taken from the balance but will not count towards wagering requirements</t>
    </r>
  </si>
  <si>
    <t>25% upto Stg50</t>
  </si>
  <si>
    <t>Euro120 bonus</t>
  </si>
  <si>
    <t>Kshs250, get free bet</t>
  </si>
  <si>
    <t xml:space="preserve"> - This promotion will run from 00:00 3rd May 2019 until terminated
 - In order to qualify for this promotion, new customers must place a minimum of £5 as their first bet on a single or each way bet on any Sky Bet market at odds of 1/1 or greater.
 - You must bet a minimum of £5 in a single bet. An accumulation of smaller stakes will not count.
 - Your free bets will be credited as two £10 free bet tokens.
Free bets are non-withdrawable and free bet stakes are not included in any returns</t>
  </si>
  <si>
    <t>Bet £5 Get a £20 Free Bet</t>
  </si>
  <si>
    <t xml:space="preserve"> - Stg10</t>
  </si>
  <si>
    <t>100% upto Euro400</t>
  </si>
  <si>
    <t>Upto $200 free bet</t>
  </si>
  <si>
    <t>Stg10 refund</t>
  </si>
  <si>
    <t>A MINIMUM deposit of $25.00 is required to qualify for the bonus.
You will receive a 50% bonus on your qualifying first deposit only.
Deposits via Skrill and Neteller do not qualify for this bonus.
The maximum bonus per deposit is $1,000.
There is a 10x (ten times) rollover requirement associated with this promotion.
In order to receive a bonus you must use promo code SB1000 in the cashier while making your deposit.
You must use any existing free plays already in your account before claiming any new free plays.
All free plays expire in 30 days unless otherwise stated. At the 30 day mark, any unused free plays will disappear from your account.</t>
  </si>
  <si>
    <t>50% upto $1000</t>
  </si>
  <si>
    <t>1. Each account can claim Karibu Gifts only once.
2. Make a first deposit of KES 50/100/200/300, and you get gifts in total value of KES 150/300/600/1000.
3. You will receive all the gifts once you make the first deposit. The gifts will become valid in sequence, in a period as described in the chart above. For example, if you choose Plan B and deposit KES 100, on each of the following 7 days some gifts will become valid for use.
4. You can check the validity status and period of your gifts anytime in your “gifts” account.
5. Each gift offers a discount when you place a bet with a stake higher than a certain amount. You can find the stake requirement on each gift in your “gifts” account.
6. Gifts can only be used for "Sports" Betting and only one gift can be used in a betslip.
7. Placed bets must have Selections with Odds &gt; 3.15.</t>
  </si>
  <si>
    <t>Kshs300 get upto Kshs1000</t>
  </si>
  <si>
    <t>Bet Stg25, get Stg25 free</t>
  </si>
  <si>
    <t xml:space="preserve"> If your first sport bet loses, we will refund your stake up to €25 as bonus money (Bonus funds will be converted into players desired currency). You can then withdraw your stake as well as any winnings from subsequent bets placed once you have completed the following requirements:
1) Sportsbook: Bet your bonus 3x 
To withdraw your refunded stake, you need to simply wager your bonus money 3 times. So, for e.g. if your first bet of €10 loses, we will credit you €10 instantly as bonus money. You need to place three subsequent bets of €10 to make your original stake and all associated winnings withdrawable. 
Only bets with odds of 1.4 or higher count. Only bets settled within the bonus validity period of 35 days will count. Combined Live and pre-match bets do not contribute towards the bonus wagering. </t>
  </si>
  <si>
    <t>Money back up to Euro25</t>
  </si>
  <si>
    <t>Euro150</t>
  </si>
  <si>
    <t>Comm</t>
  </si>
  <si>
    <t>Funds O/Bal</t>
  </si>
  <si>
    <t>Inflows</t>
  </si>
  <si>
    <t>Outflows</t>
  </si>
  <si>
    <t>SR</t>
  </si>
  <si>
    <t>To Stake</t>
  </si>
  <si>
    <t xml:space="preserve">League </t>
  </si>
  <si>
    <t>Bet Description</t>
  </si>
  <si>
    <t>Stake</t>
  </si>
  <si>
    <t>Odds</t>
  </si>
  <si>
    <t>Bookmaker</t>
  </si>
  <si>
    <t>Result</t>
  </si>
  <si>
    <t>P/L</t>
  </si>
  <si>
    <t>Day Stake</t>
  </si>
  <si>
    <t>Day P/L</t>
  </si>
  <si>
    <t>Cum. P/L</t>
  </si>
  <si>
    <t>ROI%</t>
  </si>
  <si>
    <t>Funds C/Bal</t>
  </si>
  <si>
    <t>Comments</t>
  </si>
  <si>
    <t>Rules &amp; Strategy</t>
  </si>
  <si>
    <t>Company</t>
  </si>
  <si>
    <t>Parameters</t>
  </si>
  <si>
    <t>C</t>
  </si>
  <si>
    <t>English FA Cup</t>
  </si>
  <si>
    <t>Arsenal vs Manchester United</t>
  </si>
  <si>
    <t>Win</t>
  </si>
  <si>
    <t>Only stake what we can afford to lose (i.e. the Bankroll or Bet Budget).</t>
  </si>
  <si>
    <t>1XBet</t>
  </si>
  <si>
    <t xml:space="preserve"> - offers 100% bonus on the first 10,000 cash deposit.</t>
  </si>
  <si>
    <t>TFT running % Success Rate (Home Wins)</t>
  </si>
  <si>
    <t>Loss</t>
  </si>
  <si>
    <t>Focus on minimizing losses.</t>
  </si>
  <si>
    <t xml:space="preserve"> - allow you to bet on an ongoing match.</t>
  </si>
  <si>
    <t>Taken Bets Success Rate (from 1/2/19).</t>
  </si>
  <si>
    <t>Australian A-League:</t>
  </si>
  <si>
    <t>Melbourne Victory vs Sydney FC</t>
  </si>
  <si>
    <t>X</t>
  </si>
  <si>
    <t>Month Bet Profit posted to Budget spreasheet is the 'Cum. P/L' value on the last day of the month (against the lat day bet).</t>
  </si>
  <si>
    <t>Betin Kenya</t>
  </si>
  <si>
    <t xml:space="preserve"> - Bettors can choose to bet on different things with Betin.</t>
  </si>
  <si>
    <t>Brighton &amp; Hove Albion vs West Bromwich Albion</t>
  </si>
  <si>
    <t>Bet only on Home win predictions, NEVER on draws.</t>
  </si>
  <si>
    <t xml:space="preserve"> - live betting.</t>
  </si>
  <si>
    <t>Adelaide United vs Central Coast Mariners</t>
  </si>
  <si>
    <t>See Logic tab for average ODDS in day bets &amp; total staked in day bets required to achieve Month Bet Turnover</t>
  </si>
  <si>
    <t xml:space="preserve"> - offers 50% bonus on cash deposit.-WRONG!</t>
  </si>
  <si>
    <t>Crystal Palace vs Tottenham Hotspur</t>
  </si>
  <si>
    <t>The number of day bets taken will be determined by:</t>
  </si>
  <si>
    <t xml:space="preserve"> - pay MPESA charges</t>
  </si>
  <si>
    <t>Asian Cup</t>
  </si>
  <si>
    <t>Iran vs Japan</t>
  </si>
  <si>
    <t>The minimum ODDS that we can bet on is 1.5?</t>
  </si>
  <si>
    <t xml:space="preserve"> - offers 100% bonus on the first cash deposit.</t>
  </si>
  <si>
    <t>Atlantic Cup</t>
  </si>
  <si>
    <t>Baumit Jablonec vs AGF Aarhus</t>
  </si>
  <si>
    <t>To query - Bet won!</t>
  </si>
  <si>
    <t xml:space="preserve"> - the maximum stake on an Individual bet (day stake/10*%success rate)</t>
  </si>
  <si>
    <t xml:space="preserve"> - free withdrawals.</t>
  </si>
  <si>
    <t>Argentinian Superliga</t>
  </si>
  <si>
    <t>Estudiantes de la Plata vs Velez Sarsfield</t>
  </si>
  <si>
    <t xml:space="preserve"> - the no. of eligible day bets</t>
  </si>
  <si>
    <t>Italian Serie A</t>
  </si>
  <si>
    <t>Empoli vs Genoa</t>
  </si>
  <si>
    <t xml:space="preserve"> - the minimum allowable stake on an Individual bet</t>
  </si>
  <si>
    <t xml:space="preserve"> - free bet with first 25 bob pay.</t>
  </si>
  <si>
    <t>Portuguese Liga 2</t>
  </si>
  <si>
    <t>Penafiel vs Famalicao</t>
  </si>
  <si>
    <t>If day tips do not meet criteria above, do not bet.</t>
  </si>
  <si>
    <t>Betway</t>
  </si>
  <si>
    <t>English Premier League</t>
  </si>
  <si>
    <t>Huddersfield Town vs Everton</t>
  </si>
  <si>
    <t>Draw any profit achieved on day bets.</t>
  </si>
  <si>
    <t xml:space="preserve"> - offers 100% bonus on accumulated bets</t>
  </si>
  <si>
    <t>French Coupe de la Ligue</t>
  </si>
  <si>
    <t>En Avant Guingamp vs AS Monaco</t>
  </si>
  <si>
    <t>TBC. Strategy on picking bets:</t>
  </si>
  <si>
    <t>Betyetu</t>
  </si>
  <si>
    <t xml:space="preserve"> - a good jackpot offer (10 mil).</t>
  </si>
  <si>
    <t>German Bundesliga 2</t>
  </si>
  <si>
    <t>Greuther Furth vs Ingolstadt</t>
  </si>
  <si>
    <t xml:space="preserve"> - Scrap all day games and retrieve 1X2 ODDS for each game.</t>
  </si>
  <si>
    <t xml:space="preserve"> - reward bettors that have at least 9 correct scores out of 13.</t>
  </si>
  <si>
    <t>Darmstadt 98 vs St. Pauli</t>
  </si>
  <si>
    <t xml:space="preserve"> - Filter games where Home team ODDS =&gt; average ODDS in day bets (see Logic Tab).</t>
  </si>
  <si>
    <t xml:space="preserve"> - minimum withdrawal amount is 100</t>
  </si>
  <si>
    <t>Varzim vs Leixoes Matosinhos</t>
  </si>
  <si>
    <t xml:space="preserve"> - Filter games where the difference between home team ODDS and away team ODDS &lt;= ??? (determine ??? By analysing a population for games where ??? Achieves a success rate =&gt; average ODDS in day bets in Logic tab).</t>
  </si>
  <si>
    <t>Argentinian Superliga:</t>
  </si>
  <si>
    <t>Godoy Cruz de Mendoza  vs  River Plate</t>
  </si>
  <si>
    <t>Cheza Cash</t>
  </si>
  <si>
    <t xml:space="preserve"> - can bet on 5 different sports concurrently.</t>
  </si>
  <si>
    <t>Italian Coppa Italia:</t>
  </si>
  <si>
    <t>ACF Fiorentina  vs  AS Roma</t>
  </si>
  <si>
    <t xml:space="preserve"> - has a 15 mil jackpot every week.</t>
  </si>
  <si>
    <t>French Coupe de la Ligue:</t>
  </si>
  <si>
    <t>Racing Club Strasbourg  vs  Girondins de Bordeaux</t>
  </si>
  <si>
    <t xml:space="preserve"> - Every time you play the jackpot you increase your chances of winning 15k, because you are earning points with each play.</t>
  </si>
  <si>
    <t>M</t>
  </si>
  <si>
    <t>Error - Bet twice!</t>
  </si>
  <si>
    <t xml:space="preserve"> - a bonus of 100 shillings when you place a bet with the same amount.</t>
  </si>
  <si>
    <t>N/a</t>
  </si>
  <si>
    <t>M-&gt;18,19</t>
  </si>
  <si>
    <t xml:space="preserve"> - 1/1/19: Deposit 250 &amp; get a Free Bet.</t>
  </si>
  <si>
    <t>Belgian Eerste Klasse:</t>
  </si>
  <si>
    <t>Royal Excel Mouscron  vs  Sporting Charleroi</t>
  </si>
  <si>
    <t>Eazi Bet</t>
  </si>
  <si>
    <t xml:space="preserve"> - the cheapest since you can bet from as low as 1 shilling and withdraw as low as 50 shillings.</t>
  </si>
  <si>
    <t>German Bundesliga 2:</t>
  </si>
  <si>
    <t>MSV Duisburg  vs  Darmstadt 98</t>
  </si>
  <si>
    <t xml:space="preserve"> - 4/1/19: Free bonus. Voucher Code: Bet2019. Redeem by 9/1.</t>
  </si>
  <si>
    <t>Dutch Eredivisie:</t>
  </si>
  <si>
    <t>De Graafschap  vs  NAC Breda</t>
  </si>
  <si>
    <t>Elibet Kenya</t>
  </si>
  <si>
    <t xml:space="preserve"> - has the lowest stakes</t>
  </si>
  <si>
    <t>Ingolstadt  vs  Magdeburg</t>
  </si>
  <si>
    <t xml:space="preserve"> - weekly jackpots</t>
  </si>
  <si>
    <t>Gimnasia de la Plata  vs  Tigre</t>
  </si>
  <si>
    <t>Played at 1am on 2/1/19</t>
  </si>
  <si>
    <t>Sportspesa</t>
  </si>
  <si>
    <t xml:space="preserve"> - has excellent jackpots (over 100 mil).</t>
  </si>
  <si>
    <t>Asian Cup:</t>
  </si>
  <si>
    <t xml:space="preserve"> Japan vs Qatar</t>
  </si>
  <si>
    <t>None of the teams is at home.</t>
  </si>
  <si>
    <t xml:space="preserve"> - least bet is 49 bob.</t>
  </si>
  <si>
    <t>Finnish Suomen Cup:</t>
  </si>
  <si>
    <t>VPS Vaasa  vs  KuPS Kuopio</t>
  </si>
  <si>
    <t>MyPa  vs  Jaro Pietarsaari</t>
  </si>
  <si>
    <t>Italian Serie B:</t>
  </si>
  <si>
    <t>Carpi  vs  Hellas Verona</t>
  </si>
  <si>
    <t>San Lorenzo de Almagro  vs  independiente</t>
  </si>
  <si>
    <t>Willem II  vs  Groningen</t>
  </si>
  <si>
    <t>English Premier League:</t>
  </si>
  <si>
    <t>Burnley  vs  Southampton</t>
  </si>
  <si>
    <t>Spanish Primera Liga:</t>
  </si>
  <si>
    <t>Levante CF  vs  Getafe</t>
  </si>
  <si>
    <t>Portuguese Liga 2:</t>
  </si>
  <si>
    <t>Mafra  vs  SL Benfica II</t>
  </si>
  <si>
    <t>German Bundesliga:</t>
  </si>
  <si>
    <t>Hertha Berlin  vs  VfL Wolfsburg</t>
  </si>
  <si>
    <t>Real Betis Balompie  vs  Atletico Madrid</t>
  </si>
  <si>
    <t>Check Bonus strategy!!!!</t>
  </si>
  <si>
    <t>Portuguese Liga 1:</t>
  </si>
  <si>
    <t>Sporting Clube de Portugal  vs  SL Benfica</t>
  </si>
  <si>
    <t>Pescara  vs  Brescia</t>
  </si>
  <si>
    <t>CD Nacional de Madeira  vs  Vitoria Setubal</t>
  </si>
  <si>
    <t>Holstein Kiel  vs  Jahn Regensburg</t>
  </si>
  <si>
    <t>FC Porto II  vs  Penafiel</t>
  </si>
  <si>
    <t>Standard de Liege  vs  RSC Anderlecht</t>
  </si>
  <si>
    <t>Crotone  vs  Livorno</t>
  </si>
  <si>
    <t>Patronato  vs  Atletico Tucuman</t>
  </si>
  <si>
    <t>Rayo Vallecano de Madrid  vs  Leganes CF</t>
  </si>
  <si>
    <t>Turkish Super Lig:</t>
  </si>
  <si>
    <t>Bursaspor  vs  Konyaspor</t>
  </si>
  <si>
    <t>Israeli Ligat Ha’al:</t>
  </si>
  <si>
    <t>Maccabi Haifa  vs  Hapoel Tel-Aviv</t>
  </si>
  <si>
    <t>German DFB Pokal:</t>
  </si>
  <si>
    <t>Hamburger SV  vs  Nurnberg</t>
  </si>
  <si>
    <t>Cashout at 42.23</t>
  </si>
  <si>
    <t>Israeli State Cup:</t>
  </si>
  <si>
    <t>Maccabi Netanya  vs  Maccabi Petah Tikva</t>
  </si>
  <si>
    <t>French Coupe de France:</t>
  </si>
  <si>
    <t>Nantes Atlantique  vs  Toulouse</t>
  </si>
  <si>
    <t>English FA Cup:</t>
  </si>
  <si>
    <t>West Bromwich Albion vs Brighton &amp; Hove Albion</t>
  </si>
  <si>
    <t>Copa Libertadores:</t>
  </si>
  <si>
    <t>Defensor Sporting vs Barcelona Guayaquil</t>
  </si>
  <si>
    <t>Swiss Super League:</t>
  </si>
  <si>
    <t>Lugano vs Thun</t>
  </si>
  <si>
    <t>Copa Sudamericana:</t>
  </si>
  <si>
    <t>Botafogo vs Defensa y Justicia</t>
  </si>
  <si>
    <t>Sporting Covilha vs Cova de Piedade</t>
  </si>
  <si>
    <t>French Ligue 1:</t>
  </si>
  <si>
    <t>Dijon FCO vs Olympique de Marseille</t>
  </si>
  <si>
    <t>Salernitana vs Benevento</t>
  </si>
  <si>
    <t>Atletico Huracan vs Velez Sarsfield</t>
  </si>
  <si>
    <t>Tigre vs Banfield</t>
  </si>
  <si>
    <t>Hungarian Liga 1:</t>
  </si>
  <si>
    <t>Varda SE  vs  Debreceni VC</t>
  </si>
  <si>
    <t>Jaro Pietarsaari  vs  AC Oulu</t>
  </si>
  <si>
    <t>SC Freiburg  vs  VfL Wolfsburg</t>
  </si>
  <si>
    <t>Melbourne City  vs  Adelaide United</t>
  </si>
  <si>
    <t>Croatian Prva Liga:</t>
  </si>
  <si>
    <t>Slaven Koprivnica  vs  Gorica</t>
  </si>
  <si>
    <t>Watford  vs  Everton</t>
  </si>
  <si>
    <t>Farense  vs  Leixoes Matosinhos</t>
  </si>
  <si>
    <t>KuPS Kuopio  vs  SJK</t>
  </si>
  <si>
    <t>Cittadella  vs  Spezia</t>
  </si>
  <si>
    <t>Heerenveen  vs  PEC Zwolle</t>
  </si>
  <si>
    <t>Crystal Palace  vs  West Ham United</t>
  </si>
  <si>
    <t>Thun  vs  Young Boys Bern</t>
  </si>
  <si>
    <t>En Avant Guingamp  vs  Lille OSC</t>
  </si>
  <si>
    <t>Neuchatel Xamax  vs  Luzern</t>
  </si>
  <si>
    <t>Toulouse  vs  Stade de Reims</t>
  </si>
  <si>
    <t>Arouca  vs  Famalicao</t>
  </si>
  <si>
    <t>Beitar Jerusalem  vs  Maccabi Haifa</t>
  </si>
  <si>
    <t>Montpellier HSC  vs  AS Monaco</t>
  </si>
  <si>
    <t>Goztepe  vs  Alanyaspor</t>
  </si>
  <si>
    <t>Italian Serie A:</t>
  </si>
  <si>
    <t>Bologna  vs  Genoa</t>
  </si>
  <si>
    <t>MyPa  vs  MuSa</t>
  </si>
  <si>
    <t>Livorno  vs  Cosenza</t>
  </si>
  <si>
    <t>UEFA Champions League:</t>
  </si>
  <si>
    <t>Manchester United  vs  Paris Saint-Germain</t>
  </si>
  <si>
    <t>AS Roma  vs  FC Porto</t>
  </si>
  <si>
    <t>Caracas  vs  Delfin</t>
  </si>
  <si>
    <t>Tottenham Hotspur  vs  Bv09 Borussia Dortmund</t>
  </si>
  <si>
    <t>Rosario Central  vs  River Plate</t>
  </si>
  <si>
    <t>UEFA Europa League:</t>
  </si>
  <si>
    <t>Galatasaray  vs  SL Benfica</t>
  </si>
  <si>
    <t>Slavia Prague  vs  Racing Genk</t>
  </si>
  <si>
    <t>SS Lazio  vs  Sevilla CF</t>
  </si>
  <si>
    <t>Corinthians  vs  Racing Club Avellaneda</t>
  </si>
  <si>
    <t>Shakhtar Donetsk  vs  Eintracht Frankfurt</t>
  </si>
  <si>
    <t>Sporting Clube de Portugal  vs  Villarreal CF</t>
  </si>
  <si>
    <t>Olympiakos Piraeus  vs  Dinamo Kiev</t>
  </si>
  <si>
    <t>Yeni Malatyaspor  vs  Besiktas JK</t>
  </si>
  <si>
    <t>SV Sandhausen  vs  Darmstadt 98</t>
  </si>
  <si>
    <t>Palermo  vs  Brescia</t>
  </si>
  <si>
    <t>Eibar  vs  Getafe</t>
  </si>
  <si>
    <t>Hapoel Ra’anana  vs  Hapoel Tel-Aviv</t>
  </si>
  <si>
    <t>Puskas FC  vs  Ujpest</t>
  </si>
  <si>
    <t>Newport County City vs Manchester City</t>
  </si>
  <si>
    <t>AS Saint-Etienne  vs  Paris Saint-Germain</t>
  </si>
  <si>
    <t>Trial Run - No Cash Down</t>
  </si>
  <si>
    <t>Antwerp  vs  RSC Anderlecht</t>
  </si>
  <si>
    <t>BB Erzurumspor  vs  Sivasspor</t>
  </si>
  <si>
    <t>Cosenza  vs  Cremonese</t>
  </si>
  <si>
    <t>Eintracht Frankfurt  vs  Borussia Moenchengladbach</t>
  </si>
  <si>
    <t>Grasshopper Zurich  vs  Neuchatel Xamax</t>
  </si>
  <si>
    <t>Excelsior Rotterdam  vs  FC Emmen</t>
  </si>
  <si>
    <t>Chaves  vs  Boavista</t>
  </si>
  <si>
    <t>Rosario Central  vs  Tigre</t>
  </si>
  <si>
    <t>Danish Superligaen:</t>
  </si>
  <si>
    <t>AC Horsens  vs  Vendsyssel</t>
  </si>
  <si>
    <t>Refund</t>
  </si>
  <si>
    <t>Girondins de Bordeaux  vs  Toulouse</t>
  </si>
  <si>
    <t>Lille OSC  vs  Montpellier HSC</t>
  </si>
  <si>
    <t>Moreirense  vs  Tondela</t>
  </si>
  <si>
    <t>Trabzonspor  vs  Alanyaspor</t>
  </si>
  <si>
    <t>Crotone  vs  Pescara</t>
  </si>
  <si>
    <t>Liverpool  vs  Bayern Munich</t>
  </si>
  <si>
    <t>Liverpool Montevideo  vs  Bahia</t>
  </si>
  <si>
    <t>Dinamo Kiev  vs  Olympiakos Piraeus</t>
  </si>
  <si>
    <t>Zenit St. Petersburg  vs  Fenerbahce</t>
  </si>
  <si>
    <t>Bulgarian A PFG:</t>
  </si>
  <si>
    <t>Beroe  vs  Etar</t>
  </si>
  <si>
    <t>Dinamo Zagreb  vs  Viktoria Plzen</t>
  </si>
  <si>
    <t>Goztepe  vs  Trabzonspor</t>
  </si>
  <si>
    <t>Central Coast Mariners  vs  Brisbane Roar</t>
  </si>
  <si>
    <t>Cherno More Varna  vs  Ludogorets Razgrad</t>
  </si>
  <si>
    <t>FC Lahti  vs  HJK</t>
  </si>
  <si>
    <t>Wellington Phoenix  vs  Sydney FC</t>
  </si>
  <si>
    <t>Godoy Cruz de Mendoza  vs  Velez Sarsfield</t>
  </si>
  <si>
    <t>Mainz 05  vs  Schalke 04</t>
  </si>
  <si>
    <t>Fortuna Sittuard  vs  Heerenveen</t>
  </si>
  <si>
    <t>Amiens SC  vs  OGC Nice</t>
  </si>
  <si>
    <t>Atletico Huracan  vs  Union de Santa Fe</t>
  </si>
  <si>
    <t>En Avant Guingamp  vs  Angers SCO</t>
  </si>
  <si>
    <t>Jaro Pietarsaari  vs  Haka Valkeakoski</t>
  </si>
  <si>
    <t>St. Pauli  vs  Ingolstadt</t>
  </si>
  <si>
    <t>Deportivo Alaves  vs  Celta de Vigo</t>
  </si>
  <si>
    <t>Czech Republic HET Liga:</t>
  </si>
  <si>
    <t>Zlin  vs  Bohemians 1905</t>
  </si>
  <si>
    <t>SC Freiburg  vs  Augsburg</t>
  </si>
  <si>
    <t>Cittadella  vs  Lecce</t>
  </si>
  <si>
    <t>Athletic Club  vs  Eibar</t>
  </si>
  <si>
    <t>Cercle Brugge  vs  KV Oostende</t>
  </si>
  <si>
    <t>Portimonense  vs  Desportivo Aves</t>
  </si>
  <si>
    <t>Penafiel  vs  Sporting Covilha</t>
  </si>
  <si>
    <t>Cremonese  vs  Ascoli</t>
  </si>
  <si>
    <t>Perugia  vs  Cosenza</t>
  </si>
  <si>
    <t>Brescia  vs  Crotone</t>
  </si>
  <si>
    <t>Newcastle United  vs  Huddersfield Town</t>
  </si>
  <si>
    <t>Borussia Moenchengladbach  vs  VfL Wolfsburg</t>
  </si>
  <si>
    <t>Alanyaspor  vs  Kasimpasa</t>
  </si>
  <si>
    <t>Mezokovesd-Zsory  vs  Varda SE</t>
  </si>
  <si>
    <t>Fortuna Dusseldorf  vs  Mainz 05</t>
  </si>
  <si>
    <t>Slaven Koprivnica  vs  Inter Zapresic</t>
  </si>
  <si>
    <t>Beitar Jerusalem  vs  Hapoel Ra’anana</t>
  </si>
  <si>
    <t>Famalicao  vs  Mafra</t>
  </si>
  <si>
    <t>Sivasspor  vs  Antalyaspor</t>
  </si>
  <si>
    <t>Chievo Verona  vs  Genoa</t>
  </si>
  <si>
    <t>Manchester United  vs  Liverpool</t>
  </si>
  <si>
    <t>ACF Fiorentina  vs  Internazionale</t>
  </si>
  <si>
    <t>Levski Sofia vs  CSKA Sofia</t>
  </si>
  <si>
    <t>Austrian Bundesliga:</t>
  </si>
  <si>
    <t>Hartberg  vs  St. Polten</t>
  </si>
  <si>
    <t>Lithuanian Super Cup:</t>
  </si>
  <si>
    <t>Suduva Marijampole  vs  Zalgiris Vilnius</t>
  </si>
  <si>
    <t>Erzgebirge Aue  vs  MSV Duisburg</t>
  </si>
  <si>
    <t>Sint-Truiden  vs  Sporting Charleroi</t>
  </si>
  <si>
    <t>Nantes Atlantique  vs  Girondins de Bordeaux</t>
  </si>
  <si>
    <t>Konyaspor  vs  Kayserispor</t>
  </si>
  <si>
    <t>Academico Viseu  vs  Sporting Braga II</t>
  </si>
  <si>
    <t>FC Zurich  vs  Luzern</t>
  </si>
  <si>
    <t>Estoril  vs  Academica de Coimbra</t>
  </si>
  <si>
    <t>Sassuolo  vs  SPAL</t>
  </si>
  <si>
    <t xml:space="preserve">Girona  vs  Real Sociedad </t>
  </si>
  <si>
    <t xml:space="preserve">Septemvri Sofia  vs  Vitosha Bistritsa </t>
  </si>
  <si>
    <t>Salernitana  vs  Cremonese</t>
  </si>
  <si>
    <t>Lecce  vs  Hellas Verona</t>
  </si>
  <si>
    <t>Dutch KNVB Beker:</t>
  </si>
  <si>
    <t>Feyenoord Rotterdam  vs  AFC Ajax Amsterdam</t>
  </si>
  <si>
    <t>Venezia  vs  Perugia</t>
  </si>
  <si>
    <t>Palestino  vs  Talleres de Cordoba</t>
  </si>
  <si>
    <t>Racing Club Avellaneda  vs  Corinthians</t>
  </si>
  <si>
    <t>Southampton  vs  Fulham</t>
  </si>
  <si>
    <t>Spezia  vs  Livorno</t>
  </si>
  <si>
    <t>Guabira  vs  Macara Ambato</t>
  </si>
  <si>
    <t>RoPS  vs  KPV</t>
  </si>
  <si>
    <t>Foggia  vs  Cosenza</t>
  </si>
  <si>
    <t>De Graafschap  vs  ADO Den Haag</t>
  </si>
  <si>
    <t>Rayo Vallecano de Madrid  vs  Girona</t>
  </si>
  <si>
    <t>San Lorenzo de Almagro  vs  Argentinos Juniors</t>
  </si>
  <si>
    <t>Desportivo Aves  vs  Boavista</t>
  </si>
  <si>
    <t>Grasshopper Zurich  vs  Luzern</t>
  </si>
  <si>
    <t>Slovan Liberec  vs  Sparta Prague</t>
  </si>
  <si>
    <t>Maccabi Netanya  vs  Beitar Jerusalem</t>
  </si>
  <si>
    <t>Padova  vs  Crotone</t>
  </si>
  <si>
    <t>Puskas FC  vs  DebrecenivsC</t>
  </si>
  <si>
    <t>Esbjerg  vs  AC Horsens</t>
  </si>
  <si>
    <t>Heidenheim  vs  Jahn Regensburg</t>
  </si>
  <si>
    <t>Rosario Central  vs  Belgrano de Cordoba</t>
  </si>
  <si>
    <t>Bnei Yehuda Tel-Aviv  vs  Ironi Kiryat Shmona</t>
  </si>
  <si>
    <t>Sporting Braga II  vs  UD Oliveirense</t>
  </si>
  <si>
    <t>Tottenham Hotspur  vs  Arsenal</t>
  </si>
  <si>
    <t>SV Sandhausen  vs  Erzgebirge Aue</t>
  </si>
  <si>
    <t>Bursaspor  vs  Sivasspor</t>
  </si>
  <si>
    <t>Palermo  vs  Lecce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</si>
</sst>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00_-;\-* #,##0.00_-;_-* &quot;-&quot;??_-;_-@_-"/>
  </numFmts>
  <fonts count="31">
    <font>
      <sz val="10"/>
      <color theme="1"/>
      <name val="Calibri"/>
      <family val="2"/>
    </font>
    <font>
      <sz val="10"/>
      <color theme="1"/>
      <name val="Calibri"/>
      <family val="2"/>
    </font>
    <font>
      <sz val="10"/>
      <color rgb="FFFF0000"/>
      <name val="Calibri"/>
      <family val="2"/>
    </font>
    <font>
      <u/>
      <sz val="10"/>
      <color theme="10"/>
      <name val="Calibri"/>
      <family val="2"/>
    </font>
    <font>
      <sz val="10"/>
      <color theme="10"/>
      <name val="Calibri"/>
      <family val="2"/>
    </font>
    <font>
      <b/>
      <sz val="10"/>
      <color theme="1"/>
      <name val="Calibri"/>
      <family val="2"/>
    </font>
    <font>
      <sz val="10"/>
      <name val="Calibri"/>
      <family val="2"/>
    </font>
    <font>
      <b/>
      <sz val="10"/>
      <color rgb="FFFF0000"/>
      <name val="Calibri"/>
      <family val="2"/>
    </font>
    <font>
      <b/>
      <sz val="9"/>
      <color indexed="81"/>
      <name val="Tahoma"/>
      <family val="2"/>
    </font>
    <font>
      <i/>
      <sz val="10"/>
      <color theme="1"/>
      <name val="Calibri"/>
      <family val="2"/>
    </font>
    <font>
      <u/>
      <sz val="10"/>
      <color rgb="FFFF0000"/>
      <name val="Calibri"/>
      <family val="2"/>
    </font>
    <font>
      <u/>
      <sz val="10"/>
      <name val="Calibri"/>
      <family val="2"/>
    </font>
    <font>
      <b/>
      <u/>
      <sz val="10"/>
      <color rgb="FFFF0000"/>
      <name val="Calibri"/>
      <family val="2"/>
    </font>
    <font>
      <b/>
      <sz val="10"/>
      <color theme="0"/>
      <name val="Calibri"/>
      <family val="2"/>
    </font>
    <font>
      <sz val="10"/>
      <color rgb="FF000000"/>
      <name val="Arial"/>
      <family val="2"/>
    </font>
    <font>
      <sz val="10"/>
      <name val="Arial"/>
      <family val="2"/>
    </font>
    <font>
      <sz val="11"/>
      <color theme="1"/>
      <name val="Calibri"/>
      <family val="2"/>
      <scheme val="minor"/>
    </font>
    <font>
      <b/>
      <sz val="10"/>
      <name val="Arial"/>
      <family val="2"/>
    </font>
    <font>
      <b/>
      <sz val="11"/>
      <color theme="1"/>
      <name val="Calibri"/>
      <family val="2"/>
      <scheme val="minor"/>
    </font>
    <font>
      <sz val="10"/>
      <color rgb="FFFF0000"/>
      <name val="Arial"/>
      <family val="2"/>
    </font>
    <font>
      <b/>
      <sz val="10"/>
      <color rgb="FFFF0000"/>
      <name val="Arial"/>
      <family val="2"/>
    </font>
    <font>
      <i/>
      <sz val="10"/>
      <color rgb="FFFF0000"/>
      <name val="Arial"/>
      <family val="2"/>
    </font>
    <font>
      <i/>
      <sz val="10"/>
      <name val="Arial"/>
      <family val="2"/>
    </font>
    <font>
      <sz val="10"/>
      <color theme="1"/>
      <name val="Calibri"/>
      <family val="2"/>
      <scheme val="minor"/>
    </font>
    <font>
      <b/>
      <sz val="10"/>
      <color theme="0"/>
      <name val="Arial"/>
      <family val="2"/>
    </font>
    <font>
      <sz val="9"/>
      <color indexed="81"/>
      <name val="Tahoma"/>
      <family val="2"/>
    </font>
    <font>
      <sz val="9"/>
      <color indexed="81"/>
      <name val="Calibri"/>
      <family val="2"/>
      <scheme val="minor"/>
    </font>
    <font>
      <sz val="10"/>
      <name val="Helv"/>
      <charset val="204"/>
    </font>
    <font>
      <u/>
      <sz val="10"/>
      <color indexed="12"/>
      <name val="Arial"/>
      <family val="2"/>
    </font>
    <font>
      <u/>
      <sz val="11"/>
      <color theme="10"/>
      <name val="Calibri"/>
      <family val="2"/>
      <scheme val="minor"/>
    </font>
    <font>
      <b/>
      <sz val="10"/>
      <name val="MS Sans"/>
      <family val="2"/>
    </font>
  </fonts>
  <fills count="9">
    <fill>
      <patternFill patternType="none"/>
    </fill>
    <fill>
      <patternFill patternType="gray125"/>
    </fill>
    <fill>
      <patternFill patternType="solid">
        <fgColor theme="9" tint="0.59999389629810485"/>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03">
    <xf numFmtId="0" fontId="0" fillId="0" borderId="0"/>
    <xf numFmtId="43" fontId="1" fillId="0" borderId="0" applyFont="0" applyFill="0" applyBorder="0" applyAlignment="0" applyProtection="0"/>
    <xf numFmtId="0" fontId="3" fillId="0" borderId="0" applyNumberFormat="0" applyFill="0" applyBorder="0" applyAlignment="0" applyProtection="0"/>
    <xf numFmtId="9" fontId="1" fillId="0" borderId="0" applyFont="0" applyFill="0" applyBorder="0" applyAlignment="0" applyProtection="0"/>
    <xf numFmtId="0" fontId="15" fillId="0" borderId="0"/>
    <xf numFmtId="164" fontId="15" fillId="0" borderId="0" applyFont="0" applyFill="0" applyBorder="0" applyAlignment="0" applyProtection="0"/>
    <xf numFmtId="43" fontId="16" fillId="0" borderId="0" applyFont="0" applyFill="0" applyBorder="0" applyAlignment="0" applyProtection="0"/>
    <xf numFmtId="9" fontId="15" fillId="0" borderId="0" applyFont="0" applyFill="0" applyBorder="0" applyAlignment="0" applyProtection="0"/>
    <xf numFmtId="9" fontId="16" fillId="0" borderId="0" applyFont="0" applyFill="0" applyBorder="0" applyAlignment="0" applyProtection="0"/>
    <xf numFmtId="0" fontId="27"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4" fontId="15"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64" fontId="15"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xf numFmtId="0" fontId="15" fillId="0" borderId="0"/>
    <xf numFmtId="0"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5" fillId="0" borderId="0"/>
    <xf numFmtId="0"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5" fillId="0" borderId="0"/>
    <xf numFmtId="0" fontId="16" fillId="0" borderId="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30" fillId="0" borderId="0" applyNumberFormat="0" applyFill="0" applyBorder="0" applyAlignment="0" applyProtection="0"/>
  </cellStyleXfs>
  <cellXfs count="137">
    <xf numFmtId="0" fontId="0" fillId="0" borderId="0" xfId="0"/>
    <xf numFmtId="43" fontId="0" fillId="2" borderId="0" xfId="1" applyFont="1" applyFill="1"/>
    <xf numFmtId="43" fontId="0" fillId="2" borderId="0" xfId="0" applyNumberFormat="1" applyFill="1"/>
    <xf numFmtId="0" fontId="2" fillId="0" borderId="0" xfId="0" applyFont="1"/>
    <xf numFmtId="0" fontId="3" fillId="0" borderId="0" xfId="2"/>
    <xf numFmtId="0" fontId="0" fillId="0" borderId="1" xfId="0" applyBorder="1"/>
    <xf numFmtId="43" fontId="0" fillId="0" borderId="1" xfId="1" applyFont="1" applyBorder="1"/>
    <xf numFmtId="43" fontId="0" fillId="0" borderId="0" xfId="1" applyFont="1" applyFill="1"/>
    <xf numFmtId="43" fontId="0" fillId="0" borderId="0" xfId="1" applyFont="1" applyFill="1" applyBorder="1"/>
    <xf numFmtId="10" fontId="0" fillId="0" borderId="0" xfId="3" applyNumberFormat="1" applyFont="1"/>
    <xf numFmtId="0" fontId="4" fillId="0" borderId="0" xfId="2" applyFont="1"/>
    <xf numFmtId="43" fontId="0" fillId="0" borderId="0" xfId="0" applyNumberFormat="1"/>
    <xf numFmtId="43" fontId="0" fillId="0" borderId="0" xfId="0" applyNumberFormat="1" applyFill="1" applyBorder="1"/>
    <xf numFmtId="0" fontId="0" fillId="0" borderId="0" xfId="0" applyAlignment="1">
      <alignment wrapText="1"/>
    </xf>
    <xf numFmtId="0" fontId="0" fillId="0" borderId="0" xfId="0" applyAlignment="1">
      <alignment vertical="top" wrapText="1"/>
    </xf>
    <xf numFmtId="43" fontId="0" fillId="0" borderId="0" xfId="1" applyFont="1" applyFill="1" applyAlignment="1">
      <alignment vertical="top" wrapText="1"/>
    </xf>
    <xf numFmtId="0" fontId="2" fillId="0" borderId="0" xfId="0" applyFont="1" applyAlignment="1">
      <alignment vertical="top"/>
    </xf>
    <xf numFmtId="0" fontId="0" fillId="0" borderId="0" xfId="0" applyAlignment="1">
      <alignment vertical="top"/>
    </xf>
    <xf numFmtId="16" fontId="0" fillId="0" borderId="0" xfId="0" applyNumberFormat="1"/>
    <xf numFmtId="0" fontId="3" fillId="0" borderId="0" xfId="2" applyAlignment="1">
      <alignment vertical="top" wrapText="1"/>
    </xf>
    <xf numFmtId="0" fontId="0" fillId="0" borderId="0" xfId="0" applyAlignment="1">
      <alignment horizontal="left"/>
    </xf>
    <xf numFmtId="0" fontId="6" fillId="0" borderId="0" xfId="0" applyFont="1" applyAlignment="1">
      <alignment vertical="top"/>
    </xf>
    <xf numFmtId="0" fontId="2" fillId="4" borderId="0" xfId="0" applyFont="1" applyFill="1" applyAlignment="1">
      <alignment vertical="top"/>
    </xf>
    <xf numFmtId="0" fontId="0" fillId="4" borderId="0" xfId="0" applyFill="1" applyAlignment="1">
      <alignment vertical="top" wrapText="1"/>
    </xf>
    <xf numFmtId="0" fontId="0" fillId="4" borderId="0" xfId="0" applyFill="1"/>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0" fillId="4" borderId="0" xfId="0" applyFill="1" applyAlignment="1">
      <alignment vertical="top"/>
    </xf>
    <xf numFmtId="43" fontId="0" fillId="0" borderId="0" xfId="1" applyFont="1" applyAlignment="1">
      <alignment vertical="top"/>
    </xf>
    <xf numFmtId="43" fontId="0" fillId="0" borderId="0" xfId="1" applyFont="1" applyFill="1" applyAlignment="1">
      <alignment vertical="top"/>
    </xf>
    <xf numFmtId="0" fontId="2" fillId="0" borderId="0" xfId="0" applyFont="1" applyAlignment="1">
      <alignment horizontal="left" vertical="top"/>
    </xf>
    <xf numFmtId="0" fontId="5" fillId="0" borderId="0" xfId="0" applyFont="1" applyAlignment="1">
      <alignment vertical="top" wrapText="1"/>
    </xf>
    <xf numFmtId="43" fontId="7" fillId="3" borderId="0" xfId="1" applyFont="1" applyFill="1" applyAlignment="1">
      <alignment vertical="top"/>
    </xf>
    <xf numFmtId="0" fontId="3" fillId="0" borderId="0" xfId="2" applyAlignment="1">
      <alignment wrapText="1"/>
    </xf>
    <xf numFmtId="0" fontId="0" fillId="0" borderId="0" xfId="0" applyAlignment="1"/>
    <xf numFmtId="43" fontId="0" fillId="0" borderId="0" xfId="1" applyFont="1" applyAlignment="1"/>
    <xf numFmtId="0" fontId="0" fillId="0" borderId="0" xfId="0" applyAlignment="1">
      <alignment horizontal="center"/>
    </xf>
    <xf numFmtId="43" fontId="0" fillId="0" borderId="0" xfId="1" applyFont="1" applyAlignment="1">
      <alignment horizontal="center" vertical="top"/>
    </xf>
    <xf numFmtId="43" fontId="0" fillId="0" borderId="0" xfId="1" applyFont="1" applyAlignment="1">
      <alignment horizontal="center"/>
    </xf>
    <xf numFmtId="43" fontId="2" fillId="0" borderId="0" xfId="1" applyFont="1" applyAlignment="1">
      <alignment vertical="top"/>
    </xf>
    <xf numFmtId="43" fontId="0" fillId="0" borderId="0" xfId="1" applyFont="1"/>
    <xf numFmtId="0" fontId="2" fillId="0" borderId="0" xfId="0" applyFont="1" applyAlignment="1">
      <alignment vertical="top" wrapText="1"/>
    </xf>
    <xf numFmtId="0" fontId="6" fillId="0" borderId="0" xfId="2" applyFont="1" applyAlignment="1">
      <alignment vertical="top" wrapText="1"/>
    </xf>
    <xf numFmtId="0" fontId="10" fillId="0" borderId="0" xfId="2" applyFont="1" applyAlignment="1">
      <alignment wrapText="1"/>
    </xf>
    <xf numFmtId="0" fontId="0" fillId="0" borderId="0" xfId="0" applyAlignment="1">
      <alignment horizontal="center" vertical="top" wrapText="1"/>
    </xf>
    <xf numFmtId="0" fontId="2" fillId="0" borderId="0" xfId="0" applyFont="1" applyAlignment="1">
      <alignment wrapText="1"/>
    </xf>
    <xf numFmtId="0" fontId="0" fillId="5" borderId="0" xfId="0" applyFill="1" applyAlignment="1">
      <alignment vertical="top"/>
    </xf>
    <xf numFmtId="0" fontId="6" fillId="5" borderId="0" xfId="0" applyFont="1" applyFill="1" applyAlignment="1">
      <alignment vertical="top"/>
    </xf>
    <xf numFmtId="0" fontId="6" fillId="0" borderId="0" xfId="0" applyFont="1" applyAlignment="1">
      <alignment vertical="top" wrapText="1"/>
    </xf>
    <xf numFmtId="43" fontId="6" fillId="0" borderId="0" xfId="1" applyFont="1" applyAlignment="1">
      <alignment vertical="top"/>
    </xf>
    <xf numFmtId="0" fontId="11" fillId="0" borderId="0" xfId="2" applyFont="1" applyAlignment="1">
      <alignment wrapText="1"/>
    </xf>
    <xf numFmtId="0" fontId="6" fillId="0" borderId="0" xfId="0" applyFont="1" applyAlignment="1">
      <alignment wrapText="1"/>
    </xf>
    <xf numFmtId="0" fontId="13" fillId="6" borderId="0" xfId="0" applyFont="1" applyFill="1" applyAlignment="1">
      <alignment horizontal="center" vertical="top"/>
    </xf>
    <xf numFmtId="0" fontId="6" fillId="0" borderId="0" xfId="0" applyFont="1"/>
    <xf numFmtId="0" fontId="2" fillId="0" borderId="0" xfId="0" applyFont="1" applyAlignment="1">
      <alignment horizontal="center" vertical="top"/>
    </xf>
    <xf numFmtId="43" fontId="0" fillId="0" borderId="0" xfId="1" applyFont="1" applyAlignment="1">
      <alignment horizontal="right" vertical="top"/>
    </xf>
    <xf numFmtId="0" fontId="0" fillId="0" borderId="0" xfId="0" applyAlignment="1">
      <alignment horizontal="center" wrapText="1"/>
    </xf>
    <xf numFmtId="9" fontId="0" fillId="0" borderId="0" xfId="1" applyNumberFormat="1" applyFont="1" applyAlignment="1">
      <alignment vertical="top"/>
    </xf>
    <xf numFmtId="0" fontId="15" fillId="0" borderId="0" xfId="4" applyAlignment="1">
      <alignment horizontal="center"/>
    </xf>
    <xf numFmtId="0" fontId="15" fillId="0" borderId="0" xfId="4"/>
    <xf numFmtId="164" fontId="0" fillId="0" borderId="0" xfId="5" applyFont="1" applyAlignment="1">
      <alignment horizontal="center"/>
    </xf>
    <xf numFmtId="43" fontId="15" fillId="0" borderId="0" xfId="6" applyFont="1"/>
    <xf numFmtId="0" fontId="17" fillId="7" borderId="0" xfId="4" applyFont="1" applyFill="1" applyAlignment="1">
      <alignment horizontal="center"/>
    </xf>
    <xf numFmtId="0" fontId="18" fillId="7" borderId="0" xfId="4" applyFont="1" applyFill="1" applyAlignment="1">
      <alignment horizontal="center"/>
    </xf>
    <xf numFmtId="164" fontId="17" fillId="7" borderId="0" xfId="5" applyFont="1" applyFill="1" applyAlignment="1">
      <alignment horizontal="center"/>
    </xf>
    <xf numFmtId="43" fontId="18" fillId="7" borderId="0" xfId="6" applyFont="1" applyFill="1" applyAlignment="1">
      <alignment horizontal="center"/>
    </xf>
    <xf numFmtId="0" fontId="15" fillId="7" borderId="0" xfId="4" applyFill="1" applyAlignment="1">
      <alignment horizontal="center"/>
    </xf>
    <xf numFmtId="0" fontId="17" fillId="7" borderId="0" xfId="4" applyFont="1" applyFill="1" applyAlignment="1">
      <alignment horizontal="left"/>
    </xf>
    <xf numFmtId="0" fontId="15" fillId="0" borderId="2" xfId="4" applyBorder="1" applyAlignment="1">
      <alignment horizontal="center"/>
    </xf>
    <xf numFmtId="14" fontId="15" fillId="5" borderId="3" xfId="4" applyNumberFormat="1" applyFill="1" applyBorder="1" applyAlignment="1">
      <alignment horizontal="center"/>
    </xf>
    <xf numFmtId="164" fontId="0" fillId="5" borderId="3" xfId="5" applyFont="1" applyFill="1" applyBorder="1" applyAlignment="1">
      <alignment horizontal="center"/>
    </xf>
    <xf numFmtId="164" fontId="0" fillId="0" borderId="3" xfId="5" applyFont="1" applyFill="1" applyBorder="1" applyAlignment="1">
      <alignment horizontal="center"/>
    </xf>
    <xf numFmtId="14" fontId="15" fillId="0" borderId="3" xfId="4" applyNumberFormat="1" applyBorder="1" applyAlignment="1">
      <alignment horizontal="center"/>
    </xf>
    <xf numFmtId="0" fontId="15" fillId="0" borderId="3" xfId="4" applyBorder="1" applyAlignment="1">
      <alignment horizontal="center"/>
    </xf>
    <xf numFmtId="0" fontId="15" fillId="0" borderId="3" xfId="4" applyBorder="1" applyAlignment="1">
      <alignment horizontal="center" wrapText="1"/>
    </xf>
    <xf numFmtId="43" fontId="0" fillId="0" borderId="3" xfId="6" applyFont="1" applyBorder="1" applyAlignment="1">
      <alignment horizontal="center"/>
    </xf>
    <xf numFmtId="2" fontId="15" fillId="0" borderId="3" xfId="4" applyNumberFormat="1" applyBorder="1" applyAlignment="1">
      <alignment horizontal="center"/>
    </xf>
    <xf numFmtId="0" fontId="19" fillId="0" borderId="3" xfId="4" applyFont="1" applyBorder="1" applyAlignment="1">
      <alignment horizontal="center"/>
    </xf>
    <xf numFmtId="164" fontId="0" fillId="0" borderId="3" xfId="5" applyFont="1" applyBorder="1" applyAlignment="1">
      <alignment horizontal="center"/>
    </xf>
    <xf numFmtId="10" fontId="0" fillId="0" borderId="3" xfId="7" applyNumberFormat="1" applyFont="1" applyBorder="1" applyAlignment="1">
      <alignment horizontal="center"/>
    </xf>
    <xf numFmtId="0" fontId="15" fillId="0" borderId="4" xfId="4" applyBorder="1" applyAlignment="1">
      <alignment horizontal="center"/>
    </xf>
    <xf numFmtId="0" fontId="15" fillId="0" borderId="0" xfId="4" applyFont="1"/>
    <xf numFmtId="0" fontId="20" fillId="0" borderId="0" xfId="4" applyFont="1"/>
    <xf numFmtId="0" fontId="21" fillId="0" borderId="0" xfId="4" applyFont="1"/>
    <xf numFmtId="9" fontId="15" fillId="0" borderId="0" xfId="4" applyNumberFormat="1" applyBorder="1"/>
    <xf numFmtId="0" fontId="15" fillId="0" borderId="0" xfId="4" applyFont="1" applyBorder="1"/>
    <xf numFmtId="0" fontId="15" fillId="0" borderId="5" xfId="4" applyBorder="1" applyAlignment="1">
      <alignment horizontal="center"/>
    </xf>
    <xf numFmtId="14" fontId="15" fillId="0" borderId="0" xfId="4" applyNumberFormat="1" applyBorder="1" applyAlignment="1">
      <alignment horizontal="center"/>
    </xf>
    <xf numFmtId="164" fontId="0" fillId="0" borderId="0" xfId="5" applyFont="1" applyBorder="1" applyAlignment="1">
      <alignment horizontal="center"/>
    </xf>
    <xf numFmtId="164" fontId="0" fillId="0" borderId="0" xfId="5" applyFont="1" applyFill="1" applyBorder="1" applyAlignment="1">
      <alignment horizontal="center"/>
    </xf>
    <xf numFmtId="0" fontId="15" fillId="0" borderId="0" xfId="4" applyBorder="1" applyAlignment="1">
      <alignment horizontal="center"/>
    </xf>
    <xf numFmtId="0" fontId="15" fillId="0" borderId="0" xfId="4" applyBorder="1" applyAlignment="1">
      <alignment horizontal="center" wrapText="1"/>
    </xf>
    <xf numFmtId="43" fontId="0" fillId="0" borderId="0" xfId="6" applyFont="1" applyBorder="1" applyAlignment="1">
      <alignment horizontal="center"/>
    </xf>
    <xf numFmtId="2" fontId="15" fillId="0" borderId="0" xfId="4" applyNumberFormat="1" applyBorder="1" applyAlignment="1">
      <alignment horizontal="center"/>
    </xf>
    <xf numFmtId="0" fontId="19" fillId="0" borderId="0" xfId="4" applyFont="1" applyBorder="1" applyAlignment="1">
      <alignment horizontal="center"/>
    </xf>
    <xf numFmtId="10" fontId="0" fillId="0" borderId="0" xfId="7" applyNumberFormat="1" applyFont="1" applyBorder="1" applyAlignment="1">
      <alignment horizontal="center"/>
    </xf>
    <xf numFmtId="0" fontId="15" fillId="0" borderId="6" xfId="4" applyBorder="1" applyAlignment="1">
      <alignment horizontal="center"/>
    </xf>
    <xf numFmtId="0" fontId="19" fillId="0" borderId="0" xfId="4" applyFont="1"/>
    <xf numFmtId="0" fontId="17" fillId="0" borderId="0" xfId="4" applyFont="1"/>
    <xf numFmtId="0" fontId="22" fillId="0" borderId="0" xfId="4" applyFont="1"/>
    <xf numFmtId="0" fontId="15" fillId="0" borderId="0" xfId="4" applyBorder="1"/>
    <xf numFmtId="14" fontId="15" fillId="5" borderId="0" xfId="4" applyNumberFormat="1" applyFill="1" applyBorder="1" applyAlignment="1">
      <alignment horizontal="center"/>
    </xf>
    <xf numFmtId="164" fontId="0" fillId="5" borderId="0" xfId="5" applyFont="1" applyFill="1" applyBorder="1" applyAlignment="1">
      <alignment horizontal="center"/>
    </xf>
    <xf numFmtId="43" fontId="15" fillId="0" borderId="0" xfId="6" applyFont="1" applyBorder="1"/>
    <xf numFmtId="0" fontId="15" fillId="0" borderId="6" xfId="4" applyBorder="1"/>
    <xf numFmtId="0" fontId="17" fillId="0" borderId="0" xfId="4" applyFont="1" applyBorder="1"/>
    <xf numFmtId="0" fontId="22" fillId="0" borderId="0" xfId="4" applyFont="1" applyBorder="1"/>
    <xf numFmtId="0" fontId="19" fillId="5" borderId="0" xfId="4" applyFont="1" applyFill="1"/>
    <xf numFmtId="0" fontId="20" fillId="0" borderId="0" xfId="4" applyFont="1" applyBorder="1"/>
    <xf numFmtId="0" fontId="21" fillId="0" borderId="0" xfId="4" applyFont="1" applyBorder="1"/>
    <xf numFmtId="0" fontId="15" fillId="0" borderId="7" xfId="4" applyBorder="1" applyAlignment="1">
      <alignment horizontal="center"/>
    </xf>
    <xf numFmtId="14" fontId="15" fillId="0" borderId="8" xfId="4" applyNumberFormat="1" applyBorder="1" applyAlignment="1">
      <alignment horizontal="center"/>
    </xf>
    <xf numFmtId="164" fontId="0" fillId="0" borderId="8" xfId="5" applyFont="1" applyBorder="1" applyAlignment="1">
      <alignment horizontal="center"/>
    </xf>
    <xf numFmtId="164" fontId="0" fillId="0" borderId="8" xfId="5" applyFont="1" applyFill="1" applyBorder="1" applyAlignment="1">
      <alignment horizontal="center"/>
    </xf>
    <xf numFmtId="0" fontId="15" fillId="0" borderId="8" xfId="4" applyBorder="1" applyAlignment="1">
      <alignment horizontal="center"/>
    </xf>
    <xf numFmtId="43" fontId="15" fillId="0" borderId="8" xfId="6" applyFont="1" applyBorder="1"/>
    <xf numFmtId="2" fontId="15" fillId="0" borderId="8" xfId="4" applyNumberFormat="1" applyBorder="1" applyAlignment="1">
      <alignment horizontal="center"/>
    </xf>
    <xf numFmtId="0" fontId="19" fillId="0" borderId="8" xfId="4" applyFont="1" applyBorder="1" applyAlignment="1">
      <alignment horizontal="center"/>
    </xf>
    <xf numFmtId="10" fontId="0" fillId="0" borderId="8" xfId="7" applyNumberFormat="1" applyFont="1" applyBorder="1" applyAlignment="1">
      <alignment horizontal="center"/>
    </xf>
    <xf numFmtId="0" fontId="15" fillId="0" borderId="9" xfId="4" applyBorder="1"/>
    <xf numFmtId="43" fontId="15" fillId="0" borderId="3" xfId="6" applyFont="1" applyBorder="1"/>
    <xf numFmtId="0" fontId="15" fillId="0" borderId="4" xfId="4" applyBorder="1"/>
    <xf numFmtId="0" fontId="19" fillId="0" borderId="6" xfId="4" applyFont="1" applyBorder="1"/>
    <xf numFmtId="164" fontId="15" fillId="0" borderId="6" xfId="4" applyNumberFormat="1" applyBorder="1"/>
    <xf numFmtId="43" fontId="15" fillId="0" borderId="0" xfId="4" applyNumberFormat="1" applyBorder="1" applyAlignment="1">
      <alignment horizontal="center"/>
    </xf>
    <xf numFmtId="0" fontId="19" fillId="0" borderId="0" xfId="4" applyFont="1" applyFill="1" applyBorder="1" applyAlignment="1">
      <alignment horizontal="center"/>
    </xf>
    <xf numFmtId="164" fontId="0" fillId="5" borderId="8" xfId="5" applyFont="1" applyFill="1" applyBorder="1" applyAlignment="1">
      <alignment horizontal="center"/>
    </xf>
    <xf numFmtId="14" fontId="15" fillId="5" borderId="0" xfId="4" applyNumberFormat="1" applyFill="1" applyAlignment="1">
      <alignment horizontal="center"/>
    </xf>
    <xf numFmtId="164" fontId="0" fillId="5" borderId="0" xfId="5" applyFont="1" applyFill="1" applyAlignment="1">
      <alignment horizontal="center"/>
    </xf>
    <xf numFmtId="9" fontId="23" fillId="8" borderId="0" xfId="8" applyFont="1" applyFill="1" applyBorder="1" applyAlignment="1">
      <alignment horizontal="center"/>
    </xf>
    <xf numFmtId="0" fontId="19" fillId="0" borderId="0" xfId="4" applyFont="1" applyAlignment="1">
      <alignment horizontal="center"/>
    </xf>
    <xf numFmtId="2" fontId="15" fillId="0" borderId="0" xfId="4" applyNumberFormat="1" applyAlignment="1">
      <alignment horizontal="center"/>
    </xf>
    <xf numFmtId="10" fontId="0" fillId="0" borderId="0" xfId="7" applyNumberFormat="1" applyFont="1" applyAlignment="1">
      <alignment horizontal="center"/>
    </xf>
    <xf numFmtId="0" fontId="24" fillId="6" borderId="0" xfId="4" applyFont="1" applyFill="1"/>
    <xf numFmtId="14" fontId="15" fillId="0" borderId="0" xfId="4" applyNumberFormat="1" applyAlignment="1">
      <alignment horizontal="center"/>
    </xf>
    <xf numFmtId="1" fontId="15" fillId="0" borderId="0" xfId="4" applyNumberFormat="1"/>
  </cellXfs>
  <cellStyles count="103">
    <cellStyle name="_S024 FEB RECON FOR PAYMENT" xfId="9"/>
    <cellStyle name="Comma" xfId="1" builtinId="3"/>
    <cellStyle name="Comma 10" xfId="10"/>
    <cellStyle name="Comma 10 2" xfId="11"/>
    <cellStyle name="Comma 11" xfId="12"/>
    <cellStyle name="Comma 11 2" xfId="13"/>
    <cellStyle name="Comma 11 2 2" xfId="14"/>
    <cellStyle name="Comma 11 3" xfId="15"/>
    <cellStyle name="Comma 12" xfId="16"/>
    <cellStyle name="Comma 12 2" xfId="17"/>
    <cellStyle name="Comma 13" xfId="18"/>
    <cellStyle name="Comma 13 2" xfId="19"/>
    <cellStyle name="Comma 14" xfId="20"/>
    <cellStyle name="Comma 14 2" xfId="21"/>
    <cellStyle name="Comma 15" xfId="22"/>
    <cellStyle name="Comma 16" xfId="23"/>
    <cellStyle name="Comma 2" xfId="5"/>
    <cellStyle name="Comma 2 2" xfId="24"/>
    <cellStyle name="Comma 2 2 2" xfId="25"/>
    <cellStyle name="Comma 2 3" xfId="26"/>
    <cellStyle name="Comma 3" xfId="6"/>
    <cellStyle name="Comma 3 2" xfId="27"/>
    <cellStyle name="Comma 4" xfId="28"/>
    <cellStyle name="Comma 4 2" xfId="29"/>
    <cellStyle name="Comma 4 2 2" xfId="30"/>
    <cellStyle name="Comma 4 3" xfId="31"/>
    <cellStyle name="Comma 5" xfId="32"/>
    <cellStyle name="Comma 5 2" xfId="33"/>
    <cellStyle name="Comma 5 2 2" xfId="34"/>
    <cellStyle name="Comma 5 3" xfId="35"/>
    <cellStyle name="Comma 6" xfId="36"/>
    <cellStyle name="Comma 6 2" xfId="37"/>
    <cellStyle name="Comma 7" xfId="38"/>
    <cellStyle name="Comma 7 2" xfId="39"/>
    <cellStyle name="Comma 8" xfId="40"/>
    <cellStyle name="Comma 9" xfId="41"/>
    <cellStyle name="Comma 9 2" xfId="42"/>
    <cellStyle name="Hyperlink" xfId="2" builtinId="8"/>
    <cellStyle name="Hyperlink 2" xfId="43"/>
    <cellStyle name="Hyperlink 3" xfId="44"/>
    <cellStyle name="Normal" xfId="0" builtinId="0"/>
    <cellStyle name="Normal 10" xfId="45"/>
    <cellStyle name="Normal 10 2" xfId="46"/>
    <cellStyle name="Normal 11" xfId="47"/>
    <cellStyle name="Normal 11 2" xfId="48"/>
    <cellStyle name="Normal 12" xfId="49"/>
    <cellStyle name="Normal 12 2" xfId="50"/>
    <cellStyle name="Normal 13" xfId="51"/>
    <cellStyle name="Normal 13 2" xfId="52"/>
    <cellStyle name="Normal 14" xfId="53"/>
    <cellStyle name="Normal 14 2" xfId="54"/>
    <cellStyle name="Normal 15" xfId="55"/>
    <cellStyle name="Normal 15 2" xfId="56"/>
    <cellStyle name="Normal 16" xfId="57"/>
    <cellStyle name="Normal 16 2" xfId="58"/>
    <cellStyle name="Normal 17" xfId="59"/>
    <cellStyle name="Normal 18" xfId="60"/>
    <cellStyle name="Normal 2" xfId="4"/>
    <cellStyle name="Normal 2 2" xfId="61"/>
    <cellStyle name="Normal 2 2 2" xfId="62"/>
    <cellStyle name="Normal 2 3" xfId="63"/>
    <cellStyle name="Normal 3" xfId="64"/>
    <cellStyle name="Normal 3 2" xfId="65"/>
    <cellStyle name="Normal 4" xfId="66"/>
    <cellStyle name="Normal 4 2" xfId="67"/>
    <cellStyle name="Normal 4 2 2" xfId="68"/>
    <cellStyle name="Normal 4 3" xfId="69"/>
    <cellStyle name="Normal 5" xfId="70"/>
    <cellStyle name="Normal 5 2" xfId="71"/>
    <cellStyle name="Normal 5 2 2" xfId="72"/>
    <cellStyle name="Normal 5 3" xfId="73"/>
    <cellStyle name="Normal 6" xfId="74"/>
    <cellStyle name="Normal 6 2" xfId="75"/>
    <cellStyle name="Normal 6 2 2" xfId="76"/>
    <cellStyle name="Normal 6 3" xfId="77"/>
    <cellStyle name="Normal 7" xfId="78"/>
    <cellStyle name="Normal 7 2" xfId="79"/>
    <cellStyle name="Normal 7 2 2" xfId="80"/>
    <cellStyle name="Normal 7 3" xfId="81"/>
    <cellStyle name="Normal 8" xfId="82"/>
    <cellStyle name="Normal 8 2" xfId="83"/>
    <cellStyle name="Normal 8 2 2" xfId="84"/>
    <cellStyle name="Normal 8 3" xfId="85"/>
    <cellStyle name="Normal 9" xfId="86"/>
    <cellStyle name="Normal 9 2" xfId="87"/>
    <cellStyle name="Normal 9 2 2" xfId="88"/>
    <cellStyle name="Normal 9 3" xfId="89"/>
    <cellStyle name="Normal 9 4" xfId="90"/>
    <cellStyle name="Percent" xfId="3" builtinId="5"/>
    <cellStyle name="Percent 2" xfId="7"/>
    <cellStyle name="Percent 2 2" xfId="91"/>
    <cellStyle name="Percent 3" xfId="8"/>
    <cellStyle name="Percent 3 2" xfId="92"/>
    <cellStyle name="Percent 4" xfId="93"/>
    <cellStyle name="Percent 5" xfId="94"/>
    <cellStyle name="Percent 5 2" xfId="95"/>
    <cellStyle name="Percent 6" xfId="96"/>
    <cellStyle name="Percent 6 2" xfId="97"/>
    <cellStyle name="Percent 7" xfId="98"/>
    <cellStyle name="Percent 7 2" xfId="99"/>
    <cellStyle name="Percent 8" xfId="100"/>
    <cellStyle name="Percent 9" xfId="101"/>
    <cellStyle name="Style 1" xfId="102"/>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228600</xdr:colOff>
          <xdr:row>0</xdr:row>
          <xdr:rowOff>0</xdr:rowOff>
        </xdr:from>
        <xdr:to>
          <xdr:col>5</xdr:col>
          <xdr:colOff>238125</xdr:colOff>
          <xdr:row>0</xdr:row>
          <xdr:rowOff>295275</xdr:rowOff>
        </xdr:to>
        <xdr:sp macro="" textlink="">
          <xdr:nvSpPr>
            <xdr:cNvPr id="13313" name="Button 1" hidden="1">
              <a:extLst>
                <a:ext uri="{63B3BB69-23CF-44E3-9099-C40C66FF867C}">
                  <a14:compatExt spid="_x0000_s13313"/>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Rules</a:t>
              </a:r>
              <a:endParaRPr lang="en-US"/>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0</xdr:row>
          <xdr:rowOff>28575</xdr:rowOff>
        </xdr:from>
        <xdr:to>
          <xdr:col>24</xdr:col>
          <xdr:colOff>838200</xdr:colOff>
          <xdr:row>1</xdr:row>
          <xdr:rowOff>0</xdr:rowOff>
        </xdr:to>
        <xdr:sp macro="" textlink="">
          <xdr:nvSpPr>
            <xdr:cNvPr id="13314" name="Button 2" hidden="1">
              <a:extLst>
                <a:ext uri="{63B3BB69-23CF-44E3-9099-C40C66FF867C}">
                  <a14:compatExt spid="_x0000_s13314"/>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Back</a:t>
              </a:r>
              <a:endParaRPr lang="en-US"/>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371475</xdr:colOff>
          <xdr:row>0</xdr:row>
          <xdr:rowOff>19050</xdr:rowOff>
        </xdr:from>
        <xdr:to>
          <xdr:col>9</xdr:col>
          <xdr:colOff>381000</xdr:colOff>
          <xdr:row>1</xdr:row>
          <xdr:rowOff>19050</xdr:rowOff>
        </xdr:to>
        <xdr:sp macro="" textlink="">
          <xdr:nvSpPr>
            <xdr:cNvPr id="13315" name="Button 3" hidden="1">
              <a:extLst>
                <a:ext uri="{63B3BB69-23CF-44E3-9099-C40C66FF867C}">
                  <a14:compatExt spid="_x0000_s13315"/>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Companies</a:t>
              </a:r>
              <a:endParaRPr lang="en-US"/>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26</xdr:col>
          <xdr:colOff>28575</xdr:colOff>
          <xdr:row>0</xdr:row>
          <xdr:rowOff>28575</xdr:rowOff>
        </xdr:from>
        <xdr:to>
          <xdr:col>26</xdr:col>
          <xdr:colOff>790575</xdr:colOff>
          <xdr:row>0</xdr:row>
          <xdr:rowOff>285750</xdr:rowOff>
        </xdr:to>
        <xdr:sp macro="" textlink="">
          <xdr:nvSpPr>
            <xdr:cNvPr id="13316" name="Button 4" hidden="1">
              <a:extLst>
                <a:ext uri="{63B3BB69-23CF-44E3-9099-C40C66FF867C}">
                  <a14:compatExt spid="_x0000_s13316"/>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Back</a:t>
              </a:r>
              <a:endParaRPr lang="en-US"/>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xdr:col>
          <xdr:colOff>838200</xdr:colOff>
          <xdr:row>0</xdr:row>
          <xdr:rowOff>0</xdr:rowOff>
        </xdr:from>
        <xdr:to>
          <xdr:col>10</xdr:col>
          <xdr:colOff>533400</xdr:colOff>
          <xdr:row>1</xdr:row>
          <xdr:rowOff>0</xdr:rowOff>
        </xdr:to>
        <xdr:sp macro="" textlink="">
          <xdr:nvSpPr>
            <xdr:cNvPr id="13317" name="Button 5" hidden="1">
              <a:extLst>
                <a:ext uri="{63B3BB69-23CF-44E3-9099-C40C66FF867C}">
                  <a14:compatExt spid="_x0000_s13317"/>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Parameters</a:t>
              </a:r>
              <a:endParaRPr lang="en-US"/>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0</xdr:colOff>
          <xdr:row>0</xdr:row>
          <xdr:rowOff>28575</xdr:rowOff>
        </xdr:from>
        <xdr:to>
          <xdr:col>28</xdr:col>
          <xdr:colOff>990600</xdr:colOff>
          <xdr:row>1</xdr:row>
          <xdr:rowOff>0</xdr:rowOff>
        </xdr:to>
        <xdr:sp macro="" textlink="">
          <xdr:nvSpPr>
            <xdr:cNvPr id="13318" name="Button 6" hidden="1">
              <a:extLst>
                <a:ext uri="{63B3BB69-23CF-44E3-9099-C40C66FF867C}">
                  <a14:compatExt spid="_x0000_s13318"/>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Back</a:t>
              </a:r>
              <a:endParaRPr lang="en-US"/>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unterTips/analysis/BetinBetsAnalysi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chive"/>
      <sheetName val="Current"/>
      <sheetName val="TFT-Tips"/>
      <sheetName val="Pivot"/>
      <sheetName val="Logic"/>
      <sheetName val="BT Filter"/>
      <sheetName val="Betting Tips 1X2"/>
      <sheetName val="TFT-Current"/>
      <sheetName val="TFT-Archive"/>
      <sheetName val="Results"/>
      <sheetName val="Bets"/>
    </sheetNames>
    <definedNames>
      <definedName name="Back"/>
      <definedName name="Companies"/>
      <definedName name="Parameters"/>
      <definedName name="Rules"/>
    </definedNames>
    <sheetDataSet>
      <sheetData sheetId="0"/>
      <sheetData sheetId="1"/>
      <sheetData sheetId="2"/>
      <sheetData sheetId="3"/>
      <sheetData sheetId="4"/>
      <sheetData sheetId="5"/>
      <sheetData sheetId="6"/>
      <sheetData sheetId="7"/>
      <sheetData sheetId="8">
        <row r="6">
          <cell r="P6">
            <v>0.53911564625850339</v>
          </cell>
        </row>
      </sheetData>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matchedbettingoz.com/what-is-a-turnover-requirement/" TargetMode="External"/><Relationship Id="rId7" Type="http://schemas.openxmlformats.org/officeDocument/2006/relationships/hyperlink" Target="https://try.oddsmonkey.com/teamprofit10/?utm_medium=affiliate&amp;utm_source=54636&amp;idev_id=54636" TargetMode="External"/><Relationship Id="rId2" Type="http://schemas.openxmlformats.org/officeDocument/2006/relationships/hyperlink" Target="https://www.matchbook.com/page/faqs/opening-an-account/" TargetMode="External"/><Relationship Id="rId1" Type="http://schemas.openxmlformats.org/officeDocument/2006/relationships/hyperlink" Target="https://www.youtube.com/watch?v=w5goQrDDvaY" TargetMode="External"/><Relationship Id="rId6" Type="http://schemas.openxmlformats.org/officeDocument/2006/relationships/hyperlink" Target="https://www.beatingbetting.co.uk/matched-betting-tips/casino-offers/" TargetMode="External"/><Relationship Id="rId5" Type="http://schemas.openxmlformats.org/officeDocument/2006/relationships/hyperlink" Target="https://mail.google.com/mail/u/0/?tab=wm" TargetMode="External"/><Relationship Id="rId4" Type="http://schemas.openxmlformats.org/officeDocument/2006/relationships/hyperlink" Target="https://www.youtube.com/watch?v=cqfIbnlqeB8" TargetMode="Externa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omments" Target="../comments1.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rebelbetting.com/valuebettin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rebelbetting.com/valuebetting"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tabSelected="1" topLeftCell="A6" zoomScale="80" zoomScaleNormal="80" workbookViewId="0">
      <selection activeCell="B15" sqref="B15"/>
    </sheetView>
  </sheetViews>
  <sheetFormatPr defaultRowHeight="12.75" outlineLevelRow="1"/>
  <cols>
    <col min="1" max="1" width="3.7109375" customWidth="1"/>
    <col min="2" max="2" width="11.28515625" customWidth="1"/>
  </cols>
  <sheetData>
    <row r="1" spans="1:3" hidden="1" outlineLevel="1">
      <c r="B1" t="s">
        <v>280</v>
      </c>
      <c r="C1" t="s">
        <v>281</v>
      </c>
    </row>
    <row r="2" spans="1:3" hidden="1" outlineLevel="1">
      <c r="B2" s="14" t="s">
        <v>282</v>
      </c>
      <c r="C2" s="17">
        <v>113.1</v>
      </c>
    </row>
    <row r="3" spans="1:3" hidden="1" outlineLevel="1">
      <c r="B3" s="14" t="s">
        <v>283</v>
      </c>
      <c r="C3" s="17">
        <v>130.52000000000001</v>
      </c>
    </row>
    <row r="4" spans="1:3" hidden="1" outlineLevel="1">
      <c r="B4" s="14" t="s">
        <v>284</v>
      </c>
      <c r="C4" s="17">
        <v>101.14</v>
      </c>
    </row>
    <row r="5" spans="1:3" hidden="1" outlineLevel="1"/>
    <row r="6" spans="1:3" collapsed="1">
      <c r="A6" s="3" t="s">
        <v>258</v>
      </c>
    </row>
    <row r="7" spans="1:3">
      <c r="A7">
        <v>1</v>
      </c>
      <c r="B7" t="s">
        <v>272</v>
      </c>
    </row>
    <row r="8" spans="1:3">
      <c r="A8">
        <v>2</v>
      </c>
      <c r="B8" t="s">
        <v>273</v>
      </c>
    </row>
    <row r="10" spans="1:3">
      <c r="A10" s="3" t="s">
        <v>18</v>
      </c>
    </row>
    <row r="11" spans="1:3">
      <c r="A11">
        <v>1</v>
      </c>
      <c r="B11" t="s">
        <v>274</v>
      </c>
    </row>
    <row r="12" spans="1:3">
      <c r="A12">
        <v>2</v>
      </c>
      <c r="B12" t="s">
        <v>275</v>
      </c>
    </row>
    <row r="13" spans="1:3">
      <c r="A13">
        <v>3</v>
      </c>
      <c r="B13" t="s">
        <v>287</v>
      </c>
    </row>
    <row r="14" spans="1:3">
      <c r="A14">
        <v>4</v>
      </c>
      <c r="B14" t="s">
        <v>288</v>
      </c>
    </row>
    <row r="16" spans="1:3">
      <c r="A16" s="3" t="s">
        <v>25</v>
      </c>
    </row>
    <row r="17" spans="1:3">
      <c r="A17">
        <v>1</v>
      </c>
      <c r="B17" t="s">
        <v>276</v>
      </c>
    </row>
    <row r="18" spans="1:3">
      <c r="A18">
        <v>2</v>
      </c>
      <c r="B18" t="s">
        <v>277</v>
      </c>
    </row>
    <row r="19" spans="1:3">
      <c r="A19">
        <v>3</v>
      </c>
      <c r="B19" t="s">
        <v>278</v>
      </c>
      <c r="C19" s="9"/>
    </row>
    <row r="20" spans="1:3">
      <c r="A20">
        <v>4</v>
      </c>
      <c r="B20" t="s">
        <v>279</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zoomScale="80" zoomScaleNormal="80" workbookViewId="0">
      <pane ySplit="1" topLeftCell="A23" activePane="bottomLeft" state="frozen"/>
      <selection pane="bottomLeft" activeCell="F37" sqref="F37"/>
    </sheetView>
  </sheetViews>
  <sheetFormatPr defaultRowHeight="12.75" outlineLevelRow="1"/>
  <cols>
    <col min="1" max="1" width="3.42578125" style="17" customWidth="1"/>
    <col min="2" max="2" width="53" style="14" customWidth="1"/>
    <col min="3" max="3" width="11.140625" style="17" bestFit="1" customWidth="1"/>
    <col min="4" max="4" width="10.85546875" style="17" bestFit="1" customWidth="1"/>
    <col min="5" max="5" width="7" style="17" customWidth="1"/>
    <col min="6" max="6" width="54" customWidth="1"/>
    <col min="7" max="7" width="3.7109375" customWidth="1"/>
  </cols>
  <sheetData>
    <row r="1" spans="1:11">
      <c r="A1" s="53" t="s">
        <v>17</v>
      </c>
      <c r="B1" s="53"/>
      <c r="C1" s="53"/>
      <c r="D1" s="53"/>
      <c r="E1" s="53"/>
      <c r="F1" s="53"/>
    </row>
    <row r="2" spans="1:11" outlineLevel="1">
      <c r="A2" s="22"/>
      <c r="B2" s="23"/>
      <c r="C2" s="28"/>
      <c r="D2" s="28"/>
      <c r="E2" s="28"/>
      <c r="F2" s="24"/>
      <c r="G2" t="s">
        <v>40</v>
      </c>
    </row>
    <row r="3" spans="1:11" outlineLevel="1">
      <c r="A3" s="22"/>
      <c r="B3" s="23"/>
      <c r="C3" s="28"/>
      <c r="D3" s="28"/>
      <c r="E3" s="28"/>
      <c r="F3" s="24"/>
      <c r="H3" s="5" t="s">
        <v>0</v>
      </c>
      <c r="I3" s="5" t="s">
        <v>1</v>
      </c>
      <c r="J3" s="5" t="s">
        <v>2</v>
      </c>
      <c r="K3" s="5" t="s">
        <v>4</v>
      </c>
    </row>
    <row r="4" spans="1:11" outlineLevel="1">
      <c r="A4" s="22"/>
      <c r="B4" s="23"/>
      <c r="C4" s="28"/>
      <c r="D4" s="28"/>
      <c r="E4" s="28"/>
      <c r="F4" s="24"/>
      <c r="H4" s="5">
        <v>1</v>
      </c>
      <c r="I4" s="6">
        <f>+B20*Strategy!C2-J4</f>
        <v>0</v>
      </c>
      <c r="J4" s="6">
        <v>0</v>
      </c>
      <c r="K4" s="6" t="e">
        <f>+Strategy!$C$2*#REF!*3</f>
        <v>#REF!</v>
      </c>
    </row>
    <row r="5" spans="1:11" outlineLevel="1">
      <c r="A5" s="22"/>
      <c r="B5" s="23"/>
      <c r="C5" s="28"/>
      <c r="D5" s="28"/>
      <c r="E5" s="28"/>
      <c r="F5" s="24"/>
      <c r="H5" s="5">
        <v>2</v>
      </c>
      <c r="I5" s="6"/>
      <c r="J5" s="6">
        <f>(+I5-I4)*5%</f>
        <v>0</v>
      </c>
      <c r="K5" s="6" t="e">
        <f>+Strategy!$C$2*#REF!*3</f>
        <v>#REF!</v>
      </c>
    </row>
    <row r="6" spans="1:11" outlineLevel="1">
      <c r="A6" s="22"/>
      <c r="B6" s="23"/>
      <c r="C6" s="28"/>
      <c r="D6" s="28"/>
      <c r="E6" s="28"/>
      <c r="F6" s="24"/>
      <c r="H6" s="5">
        <v>3</v>
      </c>
      <c r="I6" s="6"/>
      <c r="J6" s="6">
        <f t="shared" ref="J6:J12" si="0">(+I6-I5)*5%</f>
        <v>0</v>
      </c>
      <c r="K6" s="6" t="e">
        <f>+Strategy!$C$2*#REF!*3</f>
        <v>#REF!</v>
      </c>
    </row>
    <row r="7" spans="1:11" outlineLevel="1">
      <c r="A7" s="22"/>
      <c r="B7" s="23"/>
      <c r="C7" s="28"/>
      <c r="D7" s="28"/>
      <c r="E7" s="28"/>
      <c r="F7" s="24"/>
      <c r="H7" s="5">
        <v>4</v>
      </c>
      <c r="I7" s="6"/>
      <c r="J7" s="6">
        <f t="shared" si="0"/>
        <v>0</v>
      </c>
      <c r="K7" s="6" t="e">
        <f>+Strategy!$C$2*#REF!*3</f>
        <v>#REF!</v>
      </c>
    </row>
    <row r="8" spans="1:11" outlineLevel="1">
      <c r="A8" s="22"/>
      <c r="B8" s="23"/>
      <c r="C8" s="28"/>
      <c r="D8" s="28"/>
      <c r="E8" s="28"/>
      <c r="F8" s="24"/>
      <c r="H8" s="5">
        <v>5</v>
      </c>
      <c r="I8" s="6"/>
      <c r="J8" s="6">
        <f t="shared" si="0"/>
        <v>0</v>
      </c>
      <c r="K8" s="6" t="e">
        <f>+Strategy!$C$2*#REF!*3</f>
        <v>#REF!</v>
      </c>
    </row>
    <row r="9" spans="1:11" outlineLevel="1">
      <c r="A9" s="22"/>
      <c r="B9" s="23"/>
      <c r="C9" s="28"/>
      <c r="D9" s="28"/>
      <c r="E9" s="28"/>
      <c r="F9" s="24"/>
      <c r="H9" s="5">
        <v>6</v>
      </c>
      <c r="I9" s="6"/>
      <c r="J9" s="6">
        <f t="shared" si="0"/>
        <v>0</v>
      </c>
      <c r="K9" s="6" t="e">
        <f>+Strategy!$C$2*#REF!*3</f>
        <v>#REF!</v>
      </c>
    </row>
    <row r="10" spans="1:11" outlineLevel="1">
      <c r="A10" s="22"/>
      <c r="B10" s="23"/>
      <c r="C10" s="28"/>
      <c r="D10" s="28"/>
      <c r="E10" s="28"/>
      <c r="F10" s="24"/>
      <c r="H10" s="5">
        <v>7</v>
      </c>
      <c r="I10" s="6"/>
      <c r="J10" s="6">
        <f t="shared" si="0"/>
        <v>0</v>
      </c>
      <c r="K10" s="6" t="e">
        <f>+Strategy!$C$2*#REF!*3</f>
        <v>#REF!</v>
      </c>
    </row>
    <row r="11" spans="1:11" outlineLevel="1">
      <c r="A11" s="21" t="s">
        <v>39</v>
      </c>
      <c r="H11" s="5">
        <v>8</v>
      </c>
      <c r="I11" s="6"/>
      <c r="J11" s="6">
        <f t="shared" si="0"/>
        <v>0</v>
      </c>
      <c r="K11" s="6" t="e">
        <f>+Strategy!$C$2*#REF!*3</f>
        <v>#REF!</v>
      </c>
    </row>
    <row r="12" spans="1:11" outlineLevel="1">
      <c r="H12" s="5">
        <v>9</v>
      </c>
      <c r="I12" s="6"/>
      <c r="J12" s="6">
        <f t="shared" si="0"/>
        <v>0</v>
      </c>
      <c r="K12" s="6" t="e">
        <f>+Strategy!$C$2*#REF!*3</f>
        <v>#REF!</v>
      </c>
    </row>
    <row r="13" spans="1:11" outlineLevel="1">
      <c r="I13" s="2">
        <f>+I12</f>
        <v>0</v>
      </c>
      <c r="J13" s="2">
        <f>SUM(J4:J12)</f>
        <v>0</v>
      </c>
    </row>
    <row r="14" spans="1:11" outlineLevel="1">
      <c r="I14" s="8">
        <f>+I13*0.2*0.85/12</f>
        <v>0</v>
      </c>
    </row>
    <row r="15" spans="1:11" outlineLevel="1"/>
    <row r="16" spans="1:11">
      <c r="A16" s="17" t="s">
        <v>25</v>
      </c>
    </row>
    <row r="17" spans="1:6">
      <c r="A17" s="17">
        <v>1</v>
      </c>
      <c r="B17" s="14" t="s">
        <v>23</v>
      </c>
    </row>
    <row r="18" spans="1:6">
      <c r="A18" s="17">
        <v>2</v>
      </c>
      <c r="B18" s="16" t="s">
        <v>183</v>
      </c>
    </row>
    <row r="19" spans="1:6">
      <c r="A19" s="17">
        <v>3</v>
      </c>
      <c r="B19" s="16" t="s">
        <v>24</v>
      </c>
    </row>
    <row r="21" spans="1:6">
      <c r="A21" s="17" t="s">
        <v>26</v>
      </c>
      <c r="B21" s="15"/>
      <c r="C21" s="25" t="s">
        <v>38</v>
      </c>
      <c r="D21" s="25" t="s">
        <v>22</v>
      </c>
      <c r="E21" s="25" t="s">
        <v>36</v>
      </c>
      <c r="F21" s="20" t="s">
        <v>37</v>
      </c>
    </row>
    <row r="22" spans="1:6" ht="25.5">
      <c r="B22" s="42" t="s">
        <v>42</v>
      </c>
      <c r="C22" s="29">
        <v>0</v>
      </c>
      <c r="D22" s="29">
        <v>0</v>
      </c>
      <c r="F22" s="13" t="s">
        <v>167</v>
      </c>
    </row>
    <row r="23" spans="1:6" ht="38.25">
      <c r="B23" s="42" t="s">
        <v>169</v>
      </c>
      <c r="C23" s="29"/>
      <c r="D23" s="29"/>
      <c r="F23" s="44" t="s">
        <v>170</v>
      </c>
    </row>
    <row r="24" spans="1:6" ht="38.25">
      <c r="A24" s="48"/>
      <c r="B24" s="49" t="s">
        <v>184</v>
      </c>
      <c r="C24" s="50"/>
      <c r="D24" s="50"/>
      <c r="E24" s="21"/>
      <c r="F24" s="51" t="s">
        <v>185</v>
      </c>
    </row>
    <row r="25" spans="1:6">
      <c r="A25" s="47"/>
      <c r="B25" s="14" t="s">
        <v>270</v>
      </c>
      <c r="C25" s="29"/>
      <c r="D25" s="29"/>
      <c r="F25" t="s">
        <v>43</v>
      </c>
    </row>
    <row r="26" spans="1:6" ht="25.5">
      <c r="A26" s="16"/>
      <c r="B26" s="42" t="s">
        <v>76</v>
      </c>
      <c r="C26" s="40"/>
      <c r="D26" s="40"/>
      <c r="E26" s="16"/>
      <c r="F26" s="46" t="s">
        <v>182</v>
      </c>
    </row>
    <row r="27" spans="1:6" s="3" customFormat="1" ht="38.25">
      <c r="A27" s="16"/>
      <c r="B27" s="42" t="s">
        <v>34</v>
      </c>
      <c r="C27" s="40"/>
      <c r="D27" s="40"/>
      <c r="E27" s="16"/>
      <c r="F27" s="46" t="s">
        <v>259</v>
      </c>
    </row>
    <row r="28" spans="1:6">
      <c r="B28" s="42" t="s">
        <v>138</v>
      </c>
      <c r="C28" s="29"/>
      <c r="D28" s="29"/>
      <c r="F28" s="3" t="s">
        <v>261</v>
      </c>
    </row>
    <row r="29" spans="1:6">
      <c r="B29" s="42" t="s">
        <v>209</v>
      </c>
      <c r="C29" s="29"/>
      <c r="D29" s="29"/>
      <c r="F29" s="3" t="s">
        <v>260</v>
      </c>
    </row>
    <row r="30" spans="1:6" s="3" customFormat="1" ht="25.5">
      <c r="A30" s="16"/>
      <c r="B30" s="42" t="s">
        <v>208</v>
      </c>
      <c r="C30" s="40"/>
      <c r="D30" s="40"/>
      <c r="E30" s="16"/>
      <c r="F30" s="46" t="s">
        <v>207</v>
      </c>
    </row>
    <row r="31" spans="1:6">
      <c r="B31" s="14" t="s">
        <v>44</v>
      </c>
      <c r="C31" s="29"/>
      <c r="D31" s="29"/>
      <c r="F31" s="3"/>
    </row>
    <row r="32" spans="1:6">
      <c r="B32" s="14" t="s">
        <v>211</v>
      </c>
      <c r="C32" s="29"/>
      <c r="D32" s="29"/>
      <c r="F32" s="3"/>
    </row>
    <row r="33" spans="1:13" s="3" customFormat="1" ht="38.25" hidden="1" outlineLevel="1">
      <c r="A33" s="16"/>
      <c r="B33" s="42" t="s">
        <v>201</v>
      </c>
      <c r="C33" s="40"/>
      <c r="D33" s="40"/>
      <c r="E33" s="16"/>
      <c r="F33" s="46" t="s">
        <v>210</v>
      </c>
    </row>
    <row r="34" spans="1:13" s="3" customFormat="1" hidden="1" outlineLevel="1">
      <c r="A34" s="21"/>
      <c r="B34" s="49" t="s">
        <v>199</v>
      </c>
      <c r="C34" s="50"/>
      <c r="D34" s="50"/>
      <c r="E34" s="21"/>
      <c r="F34" s="52" t="s">
        <v>262</v>
      </c>
    </row>
    <row r="35" spans="1:13" hidden="1" outlineLevel="1">
      <c r="B35" s="14" t="s">
        <v>200</v>
      </c>
      <c r="C35" s="29"/>
      <c r="D35" s="29"/>
      <c r="F35" s="52" t="s">
        <v>262</v>
      </c>
    </row>
    <row r="36" spans="1:13" hidden="1" outlineLevel="1">
      <c r="B36" s="14" t="s">
        <v>202</v>
      </c>
      <c r="C36" s="29"/>
      <c r="D36" s="29"/>
      <c r="F36" s="52" t="s">
        <v>262</v>
      </c>
    </row>
    <row r="37" spans="1:13" s="54" customFormat="1" ht="38.25" collapsed="1">
      <c r="A37" s="21"/>
      <c r="B37" s="49" t="s">
        <v>35</v>
      </c>
      <c r="C37" s="50"/>
      <c r="D37" s="50"/>
      <c r="E37" s="21"/>
      <c r="F37" s="52" t="s">
        <v>267</v>
      </c>
    </row>
    <row r="38" spans="1:13" ht="38.25" outlineLevel="1">
      <c r="B38" s="43" t="s">
        <v>264</v>
      </c>
      <c r="C38" s="30"/>
      <c r="D38" s="29"/>
      <c r="F38" s="13" t="s">
        <v>265</v>
      </c>
    </row>
    <row r="39" spans="1:13" ht="51" outlineLevel="1">
      <c r="B39" s="14" t="s">
        <v>21</v>
      </c>
      <c r="C39" s="29"/>
      <c r="D39" s="29"/>
      <c r="F39" s="13" t="s">
        <v>266</v>
      </c>
    </row>
    <row r="40" spans="1:13" ht="38.25" outlineLevel="1">
      <c r="B40" s="14" t="s">
        <v>168</v>
      </c>
      <c r="C40" s="29"/>
      <c r="D40" s="29"/>
      <c r="F40" s="13" t="s">
        <v>268</v>
      </c>
    </row>
    <row r="41" spans="1:13" ht="63.75">
      <c r="B41" s="14" t="s">
        <v>142</v>
      </c>
      <c r="C41" s="29"/>
      <c r="D41" s="29"/>
      <c r="F41" s="34" t="s">
        <v>257</v>
      </c>
    </row>
    <row r="42" spans="1:13" ht="25.5">
      <c r="B42" s="19" t="s">
        <v>286</v>
      </c>
      <c r="C42" s="30">
        <v>11</v>
      </c>
      <c r="D42" s="29">
        <f>+C42*Strategy!C3</f>
        <v>1435.72</v>
      </c>
      <c r="F42" s="14" t="s">
        <v>285</v>
      </c>
      <c r="M42">
        <f>18*0.6</f>
        <v>10.799999999999999</v>
      </c>
    </row>
    <row r="43" spans="1:13">
      <c r="B43" s="14" t="s">
        <v>263</v>
      </c>
      <c r="C43" s="29">
        <v>10</v>
      </c>
      <c r="D43" s="29">
        <f>+C43*Strategy!C3</f>
        <v>1305.2</v>
      </c>
      <c r="F43" s="52" t="s">
        <v>269</v>
      </c>
    </row>
    <row r="44" spans="1:13">
      <c r="B44" s="32" t="s">
        <v>60</v>
      </c>
      <c r="C44" s="29"/>
      <c r="D44" s="33">
        <f>SUM(D22:D43)</f>
        <v>2740.92</v>
      </c>
    </row>
    <row r="45" spans="1:13">
      <c r="B45" s="14" t="s">
        <v>213</v>
      </c>
      <c r="F45" s="4" t="s">
        <v>214</v>
      </c>
    </row>
    <row r="46" spans="1:13">
      <c r="B46" s="14" t="s">
        <v>219</v>
      </c>
      <c r="F46" s="4" t="s">
        <v>220</v>
      </c>
    </row>
    <row r="47" spans="1:13">
      <c r="B47" s="14" t="s">
        <v>198</v>
      </c>
      <c r="F47" s="4" t="s">
        <v>256</v>
      </c>
    </row>
  </sheetData>
  <mergeCells count="1">
    <mergeCell ref="A1:F1"/>
  </mergeCells>
  <hyperlinks>
    <hyperlink ref="F41" r:id="rId1" display="https://www.youtube.com/watch?v=w5goQrDDvaY"/>
    <hyperlink ref="F24" r:id="rId2" display=" - See sample from Matchbook Exchange"/>
    <hyperlink ref="F23" r:id="rId3" display="https://matchedbettingoz.com/what-is-a-turnover-requirement/"/>
    <hyperlink ref="F45" r:id="rId4"/>
    <hyperlink ref="F46" r:id="rId5" location="inbox/FMfcgxwCgpXpbRgljLrVkJMTnBmmNHhS"/>
    <hyperlink ref="F47" r:id="rId6"/>
    <hyperlink ref="B42" r:id="rId7" display=" - OddsMonkey premium subscription (10 days)"/>
  </hyperlinks>
  <pageMargins left="0.7" right="0.7" top="0.75" bottom="0.75" header="0.3" footer="0.3"/>
  <pageSetup orientation="portrait" horizontalDpi="300" verticalDpi="300"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AC250"/>
  <sheetViews>
    <sheetView zoomScale="80" zoomScaleNormal="80" workbookViewId="0">
      <pane ySplit="2" topLeftCell="A3" activePane="bottomLeft" state="frozen"/>
      <selection pane="bottomLeft" activeCell="J19" sqref="J19"/>
    </sheetView>
  </sheetViews>
  <sheetFormatPr defaultColWidth="20.5703125" defaultRowHeight="12.75" outlineLevelCol="1"/>
  <cols>
    <col min="1" max="1" width="4.42578125" style="59" customWidth="1"/>
    <col min="2" max="2" width="9.7109375" style="60" customWidth="1"/>
    <col min="3" max="3" width="10.42578125" style="59" hidden="1" customWidth="1" outlineLevel="1"/>
    <col min="4" max="4" width="10.7109375" style="61" hidden="1" customWidth="1" outlineLevel="1"/>
    <col min="5" max="5" width="9.28515625" style="61" hidden="1" customWidth="1" outlineLevel="1"/>
    <col min="6" max="6" width="10.42578125" style="61" customWidth="1" collapsed="1"/>
    <col min="7" max="7" width="4.7109375" style="61" customWidth="1"/>
    <col min="8" max="8" width="10.42578125" style="60" customWidth="1"/>
    <col min="9" max="9" width="3.140625" style="59" customWidth="1"/>
    <col min="10" max="10" width="21.28515625" style="59" customWidth="1"/>
    <col min="11" max="11" width="35.5703125" style="59" customWidth="1"/>
    <col min="12" max="12" width="4" style="59" customWidth="1"/>
    <col min="13" max="13" width="8.5703125" style="62" customWidth="1"/>
    <col min="14" max="14" width="7.28515625" style="59" customWidth="1"/>
    <col min="15" max="15" width="12.28515625" style="60" customWidth="1"/>
    <col min="16" max="16" width="8" style="60" customWidth="1"/>
    <col min="17" max="17" width="10.42578125" style="60" customWidth="1"/>
    <col min="18" max="19" width="11.140625" style="60" customWidth="1"/>
    <col min="20" max="20" width="12" style="60" customWidth="1"/>
    <col min="21" max="21" width="10.42578125" style="60" customWidth="1"/>
    <col min="22" max="22" width="11.42578125" style="60" customWidth="1"/>
    <col min="23" max="23" width="30.28515625" style="60" customWidth="1"/>
    <col min="24" max="24" width="4.140625" style="59" customWidth="1"/>
    <col min="25" max="25" width="232.140625" style="60" customWidth="1"/>
    <col min="26" max="26" width="15.140625" style="60" customWidth="1"/>
    <col min="27" max="27" width="220.7109375" style="60" customWidth="1"/>
    <col min="28" max="28" width="12.42578125" style="60" customWidth="1"/>
    <col min="29" max="29" width="221.140625" style="60" customWidth="1"/>
    <col min="30" max="16384" width="20.5703125" style="60"/>
  </cols>
  <sheetData>
    <row r="1" spans="1:29" ht="24" customHeight="1"/>
    <row r="2" spans="1:29" s="59" customFormat="1" ht="15.75" thickBot="1">
      <c r="A2" s="63" t="s">
        <v>27</v>
      </c>
      <c r="B2" s="64" t="s">
        <v>28</v>
      </c>
      <c r="C2" s="63" t="s">
        <v>356</v>
      </c>
      <c r="D2" s="65" t="s">
        <v>357</v>
      </c>
      <c r="E2" s="65" t="s">
        <v>358</v>
      </c>
      <c r="F2" s="65" t="s">
        <v>1</v>
      </c>
      <c r="G2" s="65" t="s">
        <v>359</v>
      </c>
      <c r="H2" s="63" t="s">
        <v>360</v>
      </c>
      <c r="I2" s="64"/>
      <c r="J2" s="64" t="s">
        <v>361</v>
      </c>
      <c r="K2" s="64" t="s">
        <v>362</v>
      </c>
      <c r="L2" s="64"/>
      <c r="M2" s="66" t="s">
        <v>363</v>
      </c>
      <c r="N2" s="64" t="s">
        <v>364</v>
      </c>
      <c r="O2" s="64" t="s">
        <v>365</v>
      </c>
      <c r="P2" s="64" t="s">
        <v>366</v>
      </c>
      <c r="Q2" s="64" t="s">
        <v>367</v>
      </c>
      <c r="R2" s="64" t="s">
        <v>368</v>
      </c>
      <c r="S2" s="64" t="s">
        <v>369</v>
      </c>
      <c r="T2" s="64" t="s">
        <v>370</v>
      </c>
      <c r="U2" s="64" t="s">
        <v>371</v>
      </c>
      <c r="V2" s="63" t="s">
        <v>372</v>
      </c>
      <c r="W2" s="64" t="s">
        <v>373</v>
      </c>
      <c r="X2" s="67"/>
      <c r="Y2" s="68" t="s">
        <v>374</v>
      </c>
      <c r="Z2" s="68" t="s">
        <v>375</v>
      </c>
      <c r="AA2" s="68" t="s">
        <v>37</v>
      </c>
      <c r="AB2" s="63"/>
      <c r="AC2" s="68" t="s">
        <v>376</v>
      </c>
    </row>
    <row r="3" spans="1:29">
      <c r="A3" s="69">
        <v>1</v>
      </c>
      <c r="B3" s="70">
        <v>43490</v>
      </c>
      <c r="C3" s="71">
        <v>523</v>
      </c>
      <c r="D3" s="71">
        <v>0</v>
      </c>
      <c r="E3" s="71"/>
      <c r="F3" s="71">
        <f>+C3+D3-E3</f>
        <v>523</v>
      </c>
      <c r="G3" s="71"/>
      <c r="H3" s="72">
        <f>F3*$AB$3</f>
        <v>281.95748299319729</v>
      </c>
      <c r="I3" s="73" t="s">
        <v>377</v>
      </c>
      <c r="J3" s="74" t="s">
        <v>378</v>
      </c>
      <c r="K3" s="75" t="s">
        <v>379</v>
      </c>
      <c r="L3" s="75">
        <v>2</v>
      </c>
      <c r="M3" s="76">
        <v>200</v>
      </c>
      <c r="N3" s="77">
        <v>2.73</v>
      </c>
      <c r="O3" s="77" t="s">
        <v>224</v>
      </c>
      <c r="P3" s="78" t="s">
        <v>380</v>
      </c>
      <c r="Q3" s="79">
        <f t="shared" ref="Q3:Q50" si="0">IF(P3="Win",(M3*N3)-M3,IF(P3="Refund",0,IF(P3="Loss",-M3)))</f>
        <v>346</v>
      </c>
      <c r="R3" s="79">
        <f>M3</f>
        <v>200</v>
      </c>
      <c r="S3" s="79">
        <f>+Q3</f>
        <v>346</v>
      </c>
      <c r="T3" s="79">
        <f>Q3</f>
        <v>346</v>
      </c>
      <c r="U3" s="80">
        <f>T3/$F$3</f>
        <v>0.66156787762906311</v>
      </c>
      <c r="V3" s="79">
        <f>+F3+T3</f>
        <v>869</v>
      </c>
      <c r="W3" s="81"/>
      <c r="X3" s="59">
        <v>1</v>
      </c>
      <c r="Y3" s="82" t="s">
        <v>381</v>
      </c>
      <c r="Z3" s="83" t="s">
        <v>382</v>
      </c>
      <c r="AA3" s="84" t="s">
        <v>383</v>
      </c>
      <c r="AB3" s="85">
        <f>+'[1]TFT-Archive'!P6</f>
        <v>0.53911564625850339</v>
      </c>
      <c r="AC3" s="86" t="s">
        <v>384</v>
      </c>
    </row>
    <row r="4" spans="1:29" s="101" customFormat="1">
      <c r="A4" s="87">
        <v>2</v>
      </c>
      <c r="B4" s="88">
        <v>43490</v>
      </c>
      <c r="C4" s="89">
        <f>+V3</f>
        <v>869</v>
      </c>
      <c r="D4" s="89"/>
      <c r="E4" s="89"/>
      <c r="F4" s="89">
        <f t="shared" ref="F4:F67" si="1">+C4+D4-E4</f>
        <v>869</v>
      </c>
      <c r="G4" s="89"/>
      <c r="H4" s="90">
        <f>IF(B4=B3,H3-M3,F4*$AB$3)</f>
        <v>81.957482993197289</v>
      </c>
      <c r="I4" s="88" t="s">
        <v>377</v>
      </c>
      <c r="J4" s="91" t="s">
        <v>378</v>
      </c>
      <c r="K4" s="92" t="s">
        <v>379</v>
      </c>
      <c r="L4" s="91">
        <v>1</v>
      </c>
      <c r="M4" s="93">
        <v>200</v>
      </c>
      <c r="N4" s="94">
        <v>2.3199999999999998</v>
      </c>
      <c r="O4" s="94" t="s">
        <v>224</v>
      </c>
      <c r="P4" s="95" t="s">
        <v>385</v>
      </c>
      <c r="Q4" s="89">
        <f t="shared" si="0"/>
        <v>-200</v>
      </c>
      <c r="R4" s="89">
        <f t="shared" ref="R4:R67" si="2">IF(B4=B3,M4+R3,M4)</f>
        <v>400</v>
      </c>
      <c r="S4" s="89">
        <f t="shared" ref="S4:S67" si="3">IF(B4=B3,+Q4+S3,Q4)</f>
        <v>146</v>
      </c>
      <c r="T4" s="89">
        <f t="shared" ref="T4:T67" si="4">IF(MONTH(B4)=MONTH(B3),T3+Q4,Q4)</f>
        <v>146</v>
      </c>
      <c r="U4" s="96">
        <f t="shared" ref="U4:U67" si="5">T4/F4</f>
        <v>0.16800920598388952</v>
      </c>
      <c r="V4" s="89">
        <f>+F4+Q4</f>
        <v>669</v>
      </c>
      <c r="W4" s="97"/>
      <c r="X4" s="91">
        <v>2</v>
      </c>
      <c r="Y4" s="98" t="s">
        <v>386</v>
      </c>
      <c r="Z4" s="99" t="s">
        <v>382</v>
      </c>
      <c r="AA4" s="100" t="s">
        <v>387</v>
      </c>
      <c r="AB4" s="85">
        <f>+COUNTIF($P$24:$P$203,"Win")/COUNT($A$24:$A$203)</f>
        <v>0.35555555555555557</v>
      </c>
      <c r="AC4" s="86" t="s">
        <v>388</v>
      </c>
    </row>
    <row r="5" spans="1:29">
      <c r="A5" s="87">
        <v>3</v>
      </c>
      <c r="B5" s="102">
        <v>43491</v>
      </c>
      <c r="C5" s="89">
        <f t="shared" ref="C5:C68" si="6">+V4</f>
        <v>669</v>
      </c>
      <c r="D5" s="89"/>
      <c r="E5" s="89"/>
      <c r="F5" s="103">
        <f t="shared" si="1"/>
        <v>669</v>
      </c>
      <c r="G5" s="103"/>
      <c r="H5" s="90">
        <f t="shared" ref="H5:H68" si="7">IF(B5=B4,H4-M4,F5*$AB$3)</f>
        <v>360.66836734693879</v>
      </c>
      <c r="I5" s="91" t="s">
        <v>377</v>
      </c>
      <c r="J5" s="91" t="s">
        <v>389</v>
      </c>
      <c r="K5" s="91" t="s">
        <v>390</v>
      </c>
      <c r="L5" s="91" t="s">
        <v>391</v>
      </c>
      <c r="M5" s="104">
        <v>50</v>
      </c>
      <c r="N5" s="91">
        <v>1.58</v>
      </c>
      <c r="O5" s="94" t="s">
        <v>224</v>
      </c>
      <c r="P5" s="95" t="s">
        <v>385</v>
      </c>
      <c r="Q5" s="89">
        <f t="shared" si="0"/>
        <v>-50</v>
      </c>
      <c r="R5" s="89">
        <f t="shared" si="2"/>
        <v>50</v>
      </c>
      <c r="S5" s="89">
        <f t="shared" si="3"/>
        <v>-50</v>
      </c>
      <c r="T5" s="89">
        <f t="shared" si="4"/>
        <v>96</v>
      </c>
      <c r="U5" s="96">
        <f t="shared" si="5"/>
        <v>0.14349775784753363</v>
      </c>
      <c r="V5" s="89">
        <f t="shared" ref="V5:V68" si="8">+F5+Q5</f>
        <v>619</v>
      </c>
      <c r="W5" s="105"/>
      <c r="X5" s="59">
        <v>3</v>
      </c>
      <c r="Y5" s="86" t="s">
        <v>392</v>
      </c>
      <c r="Z5" s="99" t="s">
        <v>393</v>
      </c>
      <c r="AA5" s="100" t="s">
        <v>394</v>
      </c>
    </row>
    <row r="6" spans="1:29">
      <c r="A6" s="87">
        <v>4</v>
      </c>
      <c r="B6" s="88">
        <v>43491</v>
      </c>
      <c r="C6" s="89">
        <f t="shared" si="6"/>
        <v>619</v>
      </c>
      <c r="D6" s="89"/>
      <c r="E6" s="89"/>
      <c r="F6" s="89">
        <f t="shared" si="1"/>
        <v>619</v>
      </c>
      <c r="G6" s="89"/>
      <c r="H6" s="90">
        <f t="shared" si="7"/>
        <v>310.66836734693879</v>
      </c>
      <c r="I6" s="91" t="s">
        <v>377</v>
      </c>
      <c r="J6" s="91" t="s">
        <v>378</v>
      </c>
      <c r="K6" s="91" t="s">
        <v>395</v>
      </c>
      <c r="L6" s="91">
        <v>1</v>
      </c>
      <c r="M6" s="104">
        <v>50</v>
      </c>
      <c r="N6" s="91">
        <v>1.77</v>
      </c>
      <c r="O6" s="94" t="s">
        <v>224</v>
      </c>
      <c r="P6" s="95" t="s">
        <v>385</v>
      </c>
      <c r="Q6" s="89">
        <f t="shared" si="0"/>
        <v>-50</v>
      </c>
      <c r="R6" s="89">
        <f t="shared" si="2"/>
        <v>100</v>
      </c>
      <c r="S6" s="89">
        <f t="shared" si="3"/>
        <v>-100</v>
      </c>
      <c r="T6" s="89">
        <f t="shared" si="4"/>
        <v>46</v>
      </c>
      <c r="U6" s="96">
        <f t="shared" si="5"/>
        <v>7.4313408723747976E-2</v>
      </c>
      <c r="V6" s="89">
        <f t="shared" si="8"/>
        <v>569</v>
      </c>
      <c r="W6" s="105"/>
      <c r="X6" s="59">
        <v>4</v>
      </c>
      <c r="Y6" s="60" t="s">
        <v>396</v>
      </c>
      <c r="Z6" s="99" t="s">
        <v>393</v>
      </c>
      <c r="AA6" s="100" t="s">
        <v>397</v>
      </c>
    </row>
    <row r="7" spans="1:29">
      <c r="A7" s="87">
        <v>5</v>
      </c>
      <c r="B7" s="102">
        <v>43492</v>
      </c>
      <c r="C7" s="89">
        <f t="shared" si="6"/>
        <v>569</v>
      </c>
      <c r="D7" s="89"/>
      <c r="E7" s="89"/>
      <c r="F7" s="103">
        <f t="shared" si="1"/>
        <v>569</v>
      </c>
      <c r="G7" s="103"/>
      <c r="H7" s="90">
        <f t="shared" si="7"/>
        <v>306.75680272108843</v>
      </c>
      <c r="I7" s="91" t="s">
        <v>377</v>
      </c>
      <c r="J7" s="91" t="s">
        <v>389</v>
      </c>
      <c r="K7" s="91" t="s">
        <v>398</v>
      </c>
      <c r="L7" s="91">
        <v>1</v>
      </c>
      <c r="M7" s="104">
        <v>50</v>
      </c>
      <c r="N7" s="94">
        <v>1.4</v>
      </c>
      <c r="O7" s="94" t="s">
        <v>224</v>
      </c>
      <c r="P7" s="95" t="s">
        <v>380</v>
      </c>
      <c r="Q7" s="89">
        <f t="shared" si="0"/>
        <v>20</v>
      </c>
      <c r="R7" s="89">
        <f t="shared" si="2"/>
        <v>50</v>
      </c>
      <c r="S7" s="89">
        <f t="shared" si="3"/>
        <v>20</v>
      </c>
      <c r="T7" s="89">
        <f t="shared" si="4"/>
        <v>66</v>
      </c>
      <c r="U7" s="96">
        <f t="shared" si="5"/>
        <v>0.11599297012302284</v>
      </c>
      <c r="V7" s="89">
        <f t="shared" si="8"/>
        <v>589</v>
      </c>
      <c r="W7" s="105"/>
      <c r="X7" s="59">
        <v>5</v>
      </c>
      <c r="Y7" s="60" t="s">
        <v>399</v>
      </c>
      <c r="Z7" s="99" t="s">
        <v>393</v>
      </c>
      <c r="AA7" s="100" t="s">
        <v>400</v>
      </c>
    </row>
    <row r="8" spans="1:29">
      <c r="A8" s="87">
        <v>6</v>
      </c>
      <c r="B8" s="88">
        <v>43492</v>
      </c>
      <c r="C8" s="89">
        <f t="shared" si="6"/>
        <v>589</v>
      </c>
      <c r="D8" s="89"/>
      <c r="E8" s="89"/>
      <c r="F8" s="89">
        <f t="shared" si="1"/>
        <v>589</v>
      </c>
      <c r="G8" s="89"/>
      <c r="H8" s="90">
        <f t="shared" si="7"/>
        <v>256.75680272108843</v>
      </c>
      <c r="I8" s="91" t="s">
        <v>377</v>
      </c>
      <c r="J8" s="91" t="s">
        <v>378</v>
      </c>
      <c r="K8" s="91" t="s">
        <v>401</v>
      </c>
      <c r="L8" s="91">
        <v>2</v>
      </c>
      <c r="M8" s="104">
        <v>50</v>
      </c>
      <c r="N8" s="94">
        <v>2.4500000000000002</v>
      </c>
      <c r="O8" s="94" t="s">
        <v>224</v>
      </c>
      <c r="P8" s="95" t="s">
        <v>385</v>
      </c>
      <c r="Q8" s="89">
        <f t="shared" si="0"/>
        <v>-50</v>
      </c>
      <c r="R8" s="89">
        <f t="shared" si="2"/>
        <v>100</v>
      </c>
      <c r="S8" s="89">
        <f t="shared" si="3"/>
        <v>-30</v>
      </c>
      <c r="T8" s="89">
        <f t="shared" si="4"/>
        <v>16</v>
      </c>
      <c r="U8" s="96">
        <f t="shared" si="5"/>
        <v>2.7164685908319185E-2</v>
      </c>
      <c r="V8" s="89">
        <f t="shared" si="8"/>
        <v>539</v>
      </c>
      <c r="W8" s="105"/>
      <c r="X8" s="59">
        <v>6</v>
      </c>
      <c r="Y8" s="60" t="s">
        <v>402</v>
      </c>
      <c r="Z8" s="106" t="s">
        <v>393</v>
      </c>
      <c r="AA8" s="107" t="s">
        <v>403</v>
      </c>
    </row>
    <row r="9" spans="1:29">
      <c r="A9" s="87">
        <v>7</v>
      </c>
      <c r="B9" s="102">
        <v>43493</v>
      </c>
      <c r="C9" s="89">
        <f t="shared" si="6"/>
        <v>539</v>
      </c>
      <c r="D9" s="89"/>
      <c r="E9" s="89"/>
      <c r="F9" s="103">
        <f t="shared" si="1"/>
        <v>539</v>
      </c>
      <c r="G9" s="103"/>
      <c r="H9" s="90">
        <f t="shared" si="7"/>
        <v>290.58333333333331</v>
      </c>
      <c r="I9" s="91" t="s">
        <v>377</v>
      </c>
      <c r="J9" s="91" t="s">
        <v>404</v>
      </c>
      <c r="K9" s="91" t="s">
        <v>405</v>
      </c>
      <c r="L9" s="91">
        <v>1</v>
      </c>
      <c r="M9" s="104">
        <v>50</v>
      </c>
      <c r="N9" s="91">
        <v>2.2599999999999998</v>
      </c>
      <c r="O9" s="94" t="s">
        <v>224</v>
      </c>
      <c r="P9" s="95" t="s">
        <v>385</v>
      </c>
      <c r="Q9" s="89">
        <f t="shared" si="0"/>
        <v>-50</v>
      </c>
      <c r="R9" s="89">
        <f t="shared" si="2"/>
        <v>50</v>
      </c>
      <c r="S9" s="89">
        <f t="shared" si="3"/>
        <v>-50</v>
      </c>
      <c r="T9" s="89">
        <f t="shared" si="4"/>
        <v>-34</v>
      </c>
      <c r="U9" s="96">
        <f t="shared" si="5"/>
        <v>-6.3079777365491654E-2</v>
      </c>
      <c r="V9" s="89">
        <f t="shared" si="8"/>
        <v>489</v>
      </c>
      <c r="W9" s="105"/>
      <c r="X9" s="59">
        <v>7</v>
      </c>
      <c r="Y9" s="108" t="s">
        <v>406</v>
      </c>
      <c r="Z9" s="83" t="s">
        <v>140</v>
      </c>
      <c r="AA9" s="84" t="s">
        <v>407</v>
      </c>
    </row>
    <row r="10" spans="1:29">
      <c r="A10" s="87">
        <v>8</v>
      </c>
      <c r="B10" s="88">
        <v>43493</v>
      </c>
      <c r="C10" s="89">
        <f t="shared" si="6"/>
        <v>489</v>
      </c>
      <c r="D10" s="89"/>
      <c r="E10" s="89"/>
      <c r="F10" s="89">
        <f t="shared" si="1"/>
        <v>489</v>
      </c>
      <c r="G10" s="89"/>
      <c r="H10" s="90">
        <f t="shared" si="7"/>
        <v>240.58333333333331</v>
      </c>
      <c r="I10" s="91" t="s">
        <v>377</v>
      </c>
      <c r="J10" s="91" t="s">
        <v>408</v>
      </c>
      <c r="K10" s="91" t="s">
        <v>409</v>
      </c>
      <c r="L10" s="91">
        <v>1</v>
      </c>
      <c r="M10" s="104">
        <v>50</v>
      </c>
      <c r="N10" s="91">
        <v>2.33</v>
      </c>
      <c r="O10" s="94" t="s">
        <v>224</v>
      </c>
      <c r="P10" s="91" t="s">
        <v>385</v>
      </c>
      <c r="Q10" s="89">
        <f t="shared" si="0"/>
        <v>-50</v>
      </c>
      <c r="R10" s="89">
        <f t="shared" si="2"/>
        <v>100</v>
      </c>
      <c r="S10" s="89">
        <f t="shared" si="3"/>
        <v>-100</v>
      </c>
      <c r="T10" s="89">
        <f t="shared" si="4"/>
        <v>-84</v>
      </c>
      <c r="U10" s="96">
        <f t="shared" si="5"/>
        <v>-0.17177914110429449</v>
      </c>
      <c r="V10" s="89">
        <f t="shared" si="8"/>
        <v>439</v>
      </c>
      <c r="W10" s="105" t="s">
        <v>410</v>
      </c>
      <c r="Y10" s="60" t="s">
        <v>411</v>
      </c>
      <c r="Z10" s="99" t="s">
        <v>140</v>
      </c>
      <c r="AA10" s="100" t="s">
        <v>412</v>
      </c>
    </row>
    <row r="11" spans="1:29">
      <c r="A11" s="87">
        <v>9</v>
      </c>
      <c r="B11" s="88">
        <v>43493</v>
      </c>
      <c r="C11" s="89">
        <f t="shared" si="6"/>
        <v>439</v>
      </c>
      <c r="D11" s="89"/>
      <c r="E11" s="89"/>
      <c r="F11" s="89">
        <f t="shared" si="1"/>
        <v>439</v>
      </c>
      <c r="G11" s="89"/>
      <c r="H11" s="90">
        <f t="shared" si="7"/>
        <v>190.58333333333331</v>
      </c>
      <c r="I11" s="91" t="s">
        <v>377</v>
      </c>
      <c r="J11" s="91" t="s">
        <v>413</v>
      </c>
      <c r="K11" s="91" t="s">
        <v>414</v>
      </c>
      <c r="L11" s="91">
        <v>1</v>
      </c>
      <c r="M11" s="104">
        <v>50</v>
      </c>
      <c r="N11" s="91">
        <v>3.05</v>
      </c>
      <c r="O11" s="94" t="s">
        <v>224</v>
      </c>
      <c r="P11" s="95" t="s">
        <v>385</v>
      </c>
      <c r="Q11" s="89">
        <f t="shared" si="0"/>
        <v>-50</v>
      </c>
      <c r="R11" s="89">
        <f t="shared" si="2"/>
        <v>150</v>
      </c>
      <c r="S11" s="89">
        <f t="shared" si="3"/>
        <v>-150</v>
      </c>
      <c r="T11" s="89">
        <f t="shared" si="4"/>
        <v>-134</v>
      </c>
      <c r="U11" s="96">
        <f t="shared" si="5"/>
        <v>-0.30523917995444189</v>
      </c>
      <c r="V11" s="89">
        <f t="shared" si="8"/>
        <v>389</v>
      </c>
      <c r="W11" s="105"/>
      <c r="Y11" s="60" t="s">
        <v>415</v>
      </c>
      <c r="Z11" s="99" t="s">
        <v>140</v>
      </c>
      <c r="AA11" s="100" t="s">
        <v>397</v>
      </c>
    </row>
    <row r="12" spans="1:29">
      <c r="A12" s="87">
        <v>10</v>
      </c>
      <c r="B12" s="88">
        <v>43493</v>
      </c>
      <c r="C12" s="89">
        <f t="shared" si="6"/>
        <v>389</v>
      </c>
      <c r="D12" s="89"/>
      <c r="E12" s="89"/>
      <c r="F12" s="89">
        <f t="shared" si="1"/>
        <v>389</v>
      </c>
      <c r="G12" s="89"/>
      <c r="H12" s="90">
        <f t="shared" si="7"/>
        <v>140.58333333333331</v>
      </c>
      <c r="I12" s="91" t="s">
        <v>377</v>
      </c>
      <c r="J12" s="91" t="s">
        <v>416</v>
      </c>
      <c r="K12" s="91" t="s">
        <v>417</v>
      </c>
      <c r="L12" s="91">
        <v>1</v>
      </c>
      <c r="M12" s="104">
        <v>50</v>
      </c>
      <c r="N12" s="94">
        <v>2.33</v>
      </c>
      <c r="O12" s="94" t="s">
        <v>224</v>
      </c>
      <c r="P12" s="95" t="s">
        <v>380</v>
      </c>
      <c r="Q12" s="89">
        <f t="shared" si="0"/>
        <v>66.5</v>
      </c>
      <c r="R12" s="89">
        <f t="shared" si="2"/>
        <v>200</v>
      </c>
      <c r="S12" s="89">
        <f t="shared" si="3"/>
        <v>-83.5</v>
      </c>
      <c r="T12" s="89">
        <f t="shared" si="4"/>
        <v>-67.5</v>
      </c>
      <c r="U12" s="96">
        <f t="shared" si="5"/>
        <v>-0.17352185089974292</v>
      </c>
      <c r="V12" s="89">
        <f t="shared" si="8"/>
        <v>455.5</v>
      </c>
      <c r="W12" s="105"/>
      <c r="Y12" s="60" t="s">
        <v>418</v>
      </c>
      <c r="Z12" s="99" t="s">
        <v>140</v>
      </c>
      <c r="AA12" s="100" t="s">
        <v>419</v>
      </c>
    </row>
    <row r="13" spans="1:29">
      <c r="A13" s="87">
        <v>11</v>
      </c>
      <c r="B13" s="88">
        <v>43493</v>
      </c>
      <c r="C13" s="89">
        <f t="shared" si="6"/>
        <v>455.5</v>
      </c>
      <c r="D13" s="89"/>
      <c r="E13" s="89"/>
      <c r="F13" s="89">
        <f t="shared" si="1"/>
        <v>455.5</v>
      </c>
      <c r="G13" s="89"/>
      <c r="H13" s="90">
        <f t="shared" si="7"/>
        <v>90.583333333333314</v>
      </c>
      <c r="I13" s="91" t="s">
        <v>377</v>
      </c>
      <c r="J13" s="91" t="s">
        <v>420</v>
      </c>
      <c r="K13" s="91" t="s">
        <v>421</v>
      </c>
      <c r="L13" s="91">
        <v>1</v>
      </c>
      <c r="M13" s="104">
        <v>50</v>
      </c>
      <c r="N13" s="91">
        <v>2.88</v>
      </c>
      <c r="O13" s="94" t="s">
        <v>224</v>
      </c>
      <c r="P13" s="95" t="s">
        <v>385</v>
      </c>
      <c r="Q13" s="89">
        <f t="shared" si="0"/>
        <v>-50</v>
      </c>
      <c r="R13" s="89">
        <f t="shared" si="2"/>
        <v>250</v>
      </c>
      <c r="S13" s="89">
        <f t="shared" si="3"/>
        <v>-133.5</v>
      </c>
      <c r="T13" s="89">
        <f t="shared" si="4"/>
        <v>-117.5</v>
      </c>
      <c r="U13" s="96">
        <f t="shared" si="5"/>
        <v>-0.25795828759604827</v>
      </c>
      <c r="V13" s="89">
        <f t="shared" si="8"/>
        <v>405.5</v>
      </c>
      <c r="W13" s="105"/>
      <c r="X13" s="59">
        <v>8</v>
      </c>
      <c r="Y13" s="83" t="s">
        <v>422</v>
      </c>
      <c r="Z13" s="109" t="s">
        <v>423</v>
      </c>
      <c r="AA13" s="110" t="s">
        <v>407</v>
      </c>
    </row>
    <row r="14" spans="1:29">
      <c r="A14" s="87">
        <v>12</v>
      </c>
      <c r="B14" s="102">
        <v>43494</v>
      </c>
      <c r="C14" s="89">
        <f t="shared" si="6"/>
        <v>405.5</v>
      </c>
      <c r="D14" s="89"/>
      <c r="E14" s="89"/>
      <c r="F14" s="103">
        <f t="shared" si="1"/>
        <v>405.5</v>
      </c>
      <c r="G14" s="103"/>
      <c r="H14" s="90">
        <f t="shared" si="7"/>
        <v>218.61139455782313</v>
      </c>
      <c r="I14" s="91" t="s">
        <v>377</v>
      </c>
      <c r="J14" s="91" t="s">
        <v>424</v>
      </c>
      <c r="K14" s="91" t="s">
        <v>425</v>
      </c>
      <c r="L14" s="91">
        <v>1</v>
      </c>
      <c r="M14" s="104">
        <v>50</v>
      </c>
      <c r="N14" s="91">
        <v>3.9</v>
      </c>
      <c r="O14" s="94" t="s">
        <v>224</v>
      </c>
      <c r="P14" s="95" t="s">
        <v>385</v>
      </c>
      <c r="Q14" s="89">
        <f t="shared" si="0"/>
        <v>-50</v>
      </c>
      <c r="R14" s="89">
        <f t="shared" si="2"/>
        <v>50</v>
      </c>
      <c r="S14" s="89">
        <f t="shared" si="3"/>
        <v>-50</v>
      </c>
      <c r="T14" s="89">
        <f t="shared" si="4"/>
        <v>-167.5</v>
      </c>
      <c r="U14" s="96">
        <f t="shared" si="5"/>
        <v>-0.41307028360049319</v>
      </c>
      <c r="V14" s="89">
        <f t="shared" si="8"/>
        <v>355.5</v>
      </c>
      <c r="W14" s="105"/>
      <c r="X14" s="59">
        <v>9</v>
      </c>
      <c r="Y14" s="60" t="s">
        <v>426</v>
      </c>
      <c r="Z14" s="99" t="s">
        <v>423</v>
      </c>
      <c r="AA14" s="100" t="s">
        <v>427</v>
      </c>
    </row>
    <row r="15" spans="1:29">
      <c r="A15" s="87">
        <v>13</v>
      </c>
      <c r="B15" s="88">
        <v>43494</v>
      </c>
      <c r="C15" s="89">
        <f t="shared" si="6"/>
        <v>355.5</v>
      </c>
      <c r="D15" s="89"/>
      <c r="E15" s="89"/>
      <c r="F15" s="89">
        <f t="shared" si="1"/>
        <v>355.5</v>
      </c>
      <c r="G15" s="89"/>
      <c r="H15" s="90">
        <f t="shared" si="7"/>
        <v>168.61139455782313</v>
      </c>
      <c r="I15" s="91" t="s">
        <v>377</v>
      </c>
      <c r="J15" s="91" t="s">
        <v>428</v>
      </c>
      <c r="K15" s="91" t="s">
        <v>429</v>
      </c>
      <c r="L15" s="91">
        <v>1</v>
      </c>
      <c r="M15" s="104">
        <v>50</v>
      </c>
      <c r="N15" s="91">
        <v>2.8</v>
      </c>
      <c r="O15" s="94" t="s">
        <v>224</v>
      </c>
      <c r="P15" s="95" t="s">
        <v>385</v>
      </c>
      <c r="Q15" s="89">
        <f t="shared" si="0"/>
        <v>-50</v>
      </c>
      <c r="R15" s="89">
        <f t="shared" si="2"/>
        <v>100</v>
      </c>
      <c r="S15" s="89">
        <f t="shared" si="3"/>
        <v>-100</v>
      </c>
      <c r="T15" s="89">
        <f t="shared" si="4"/>
        <v>-217.5</v>
      </c>
      <c r="U15" s="96">
        <f t="shared" si="5"/>
        <v>-0.61181434599156115</v>
      </c>
      <c r="V15" s="89">
        <f t="shared" si="8"/>
        <v>305.5</v>
      </c>
      <c r="W15" s="105"/>
      <c r="X15" s="59">
        <v>10</v>
      </c>
      <c r="Y15" s="60" t="s">
        <v>430</v>
      </c>
      <c r="Z15" s="99" t="s">
        <v>431</v>
      </c>
      <c r="AA15" s="100" t="s">
        <v>432</v>
      </c>
    </row>
    <row r="16" spans="1:29">
      <c r="A16" s="87">
        <v>14</v>
      </c>
      <c r="B16" s="88">
        <v>43494</v>
      </c>
      <c r="C16" s="89">
        <f t="shared" si="6"/>
        <v>305.5</v>
      </c>
      <c r="D16" s="89"/>
      <c r="E16" s="89"/>
      <c r="F16" s="89">
        <f t="shared" si="1"/>
        <v>305.5</v>
      </c>
      <c r="G16" s="89"/>
      <c r="H16" s="90">
        <f t="shared" si="7"/>
        <v>118.61139455782313</v>
      </c>
      <c r="I16" s="91" t="s">
        <v>377</v>
      </c>
      <c r="J16" s="91" t="s">
        <v>433</v>
      </c>
      <c r="K16" s="91" t="s">
        <v>434</v>
      </c>
      <c r="L16" s="91">
        <v>1</v>
      </c>
      <c r="M16" s="104">
        <v>50</v>
      </c>
      <c r="N16" s="91">
        <v>2.87</v>
      </c>
      <c r="O16" s="94" t="s">
        <v>224</v>
      </c>
      <c r="P16" s="95" t="s">
        <v>385</v>
      </c>
      <c r="Q16" s="89">
        <f t="shared" si="0"/>
        <v>-50</v>
      </c>
      <c r="R16" s="89">
        <f t="shared" si="2"/>
        <v>150</v>
      </c>
      <c r="S16" s="89">
        <f t="shared" si="3"/>
        <v>-150</v>
      </c>
      <c r="T16" s="89">
        <f t="shared" si="4"/>
        <v>-267.5</v>
      </c>
      <c r="U16" s="96">
        <f t="shared" si="5"/>
        <v>-0.87561374795417346</v>
      </c>
      <c r="V16" s="89">
        <f t="shared" si="8"/>
        <v>255.5</v>
      </c>
      <c r="W16" s="105"/>
      <c r="Y16" s="60" t="s">
        <v>435</v>
      </c>
      <c r="Z16" s="99" t="s">
        <v>431</v>
      </c>
      <c r="AA16" s="100" t="s">
        <v>436</v>
      </c>
    </row>
    <row r="17" spans="1:27">
      <c r="A17" s="87">
        <v>15</v>
      </c>
      <c r="B17" s="88">
        <v>43494</v>
      </c>
      <c r="C17" s="89">
        <f t="shared" si="6"/>
        <v>255.5</v>
      </c>
      <c r="D17" s="89"/>
      <c r="E17" s="89"/>
      <c r="F17" s="89">
        <f t="shared" si="1"/>
        <v>255.5</v>
      </c>
      <c r="G17" s="89"/>
      <c r="H17" s="90">
        <f t="shared" si="7"/>
        <v>68.611394557823132</v>
      </c>
      <c r="I17" s="91" t="s">
        <v>377</v>
      </c>
      <c r="J17" s="91" t="s">
        <v>433</v>
      </c>
      <c r="K17" s="91" t="s">
        <v>437</v>
      </c>
      <c r="L17" s="91">
        <v>1</v>
      </c>
      <c r="M17" s="104">
        <v>50</v>
      </c>
      <c r="N17" s="91">
        <v>2.76</v>
      </c>
      <c r="O17" s="94" t="s">
        <v>224</v>
      </c>
      <c r="P17" s="95" t="s">
        <v>380</v>
      </c>
      <c r="Q17" s="89">
        <f t="shared" si="0"/>
        <v>88</v>
      </c>
      <c r="R17" s="89">
        <f t="shared" si="2"/>
        <v>200</v>
      </c>
      <c r="S17" s="89">
        <f t="shared" si="3"/>
        <v>-62</v>
      </c>
      <c r="T17" s="89">
        <f t="shared" si="4"/>
        <v>-179.5</v>
      </c>
      <c r="U17" s="96">
        <f t="shared" si="5"/>
        <v>-0.70254403131115462</v>
      </c>
      <c r="V17" s="89">
        <f t="shared" si="8"/>
        <v>343.5</v>
      </c>
      <c r="W17" s="105"/>
      <c r="Y17" s="60" t="s">
        <v>438</v>
      </c>
      <c r="Z17" s="99" t="s">
        <v>431</v>
      </c>
      <c r="AA17" s="100" t="s">
        <v>439</v>
      </c>
    </row>
    <row r="18" spans="1:27">
      <c r="A18" s="87">
        <v>16</v>
      </c>
      <c r="B18" s="88">
        <v>43494</v>
      </c>
      <c r="C18" s="89">
        <f t="shared" si="6"/>
        <v>343.5</v>
      </c>
      <c r="D18" s="89"/>
      <c r="E18" s="89"/>
      <c r="F18" s="89">
        <f t="shared" si="1"/>
        <v>343.5</v>
      </c>
      <c r="G18" s="89"/>
      <c r="H18" s="90">
        <f t="shared" si="7"/>
        <v>18.611394557823132</v>
      </c>
      <c r="I18" s="91" t="s">
        <v>377</v>
      </c>
      <c r="J18" s="91" t="s">
        <v>420</v>
      </c>
      <c r="K18" s="91" t="s">
        <v>440</v>
      </c>
      <c r="L18" s="91">
        <v>1</v>
      </c>
      <c r="M18" s="104">
        <v>50</v>
      </c>
      <c r="N18" s="91">
        <v>2.35</v>
      </c>
      <c r="O18" s="94" t="s">
        <v>224</v>
      </c>
      <c r="P18" s="95" t="s">
        <v>380</v>
      </c>
      <c r="Q18" s="89">
        <f t="shared" si="0"/>
        <v>67.5</v>
      </c>
      <c r="R18" s="89">
        <f t="shared" si="2"/>
        <v>250</v>
      </c>
      <c r="S18" s="89">
        <f t="shared" si="3"/>
        <v>5.5</v>
      </c>
      <c r="T18" s="89">
        <f t="shared" si="4"/>
        <v>-112</v>
      </c>
      <c r="U18" s="96">
        <f t="shared" si="5"/>
        <v>-0.32605531295487628</v>
      </c>
      <c r="V18" s="89">
        <f t="shared" si="8"/>
        <v>411</v>
      </c>
      <c r="W18" s="105"/>
      <c r="Y18" s="60" t="s">
        <v>441</v>
      </c>
      <c r="Z18" s="106" t="s">
        <v>431</v>
      </c>
      <c r="AA18" s="107" t="s">
        <v>397</v>
      </c>
    </row>
    <row r="19" spans="1:27">
      <c r="A19" s="87">
        <v>17</v>
      </c>
      <c r="B19" s="102">
        <v>43495</v>
      </c>
      <c r="C19" s="89">
        <f t="shared" si="6"/>
        <v>411</v>
      </c>
      <c r="D19" s="103"/>
      <c r="E19" s="103"/>
      <c r="F19" s="103">
        <f t="shared" si="1"/>
        <v>411</v>
      </c>
      <c r="G19" s="103"/>
      <c r="H19" s="90">
        <f t="shared" si="7"/>
        <v>221.57653061224488</v>
      </c>
      <c r="I19" s="91" t="s">
        <v>377</v>
      </c>
      <c r="J19" s="91" t="s">
        <v>442</v>
      </c>
      <c r="K19" s="91" t="s">
        <v>443</v>
      </c>
      <c r="L19" s="91">
        <v>1</v>
      </c>
      <c r="M19" s="104">
        <v>50</v>
      </c>
      <c r="N19" s="94">
        <v>3.7</v>
      </c>
      <c r="O19" s="94" t="s">
        <v>224</v>
      </c>
      <c r="P19" s="95" t="s">
        <v>385</v>
      </c>
      <c r="Q19" s="89">
        <f t="shared" si="0"/>
        <v>-50</v>
      </c>
      <c r="R19" s="89">
        <f t="shared" si="2"/>
        <v>50</v>
      </c>
      <c r="S19" s="89">
        <f t="shared" si="3"/>
        <v>-50</v>
      </c>
      <c r="T19" s="89">
        <f t="shared" si="4"/>
        <v>-162</v>
      </c>
      <c r="U19" s="96">
        <f t="shared" si="5"/>
        <v>-0.39416058394160586</v>
      </c>
      <c r="V19" s="89">
        <f t="shared" si="8"/>
        <v>361</v>
      </c>
      <c r="W19" s="105"/>
      <c r="Z19" s="99" t="s">
        <v>444</v>
      </c>
      <c r="AA19" s="100" t="s">
        <v>445</v>
      </c>
    </row>
    <row r="20" spans="1:27">
      <c r="A20" s="87">
        <v>18</v>
      </c>
      <c r="B20" s="88">
        <v>43495</v>
      </c>
      <c r="C20" s="89">
        <f t="shared" si="6"/>
        <v>361</v>
      </c>
      <c r="D20" s="89"/>
      <c r="E20" s="89"/>
      <c r="F20" s="89">
        <f t="shared" si="1"/>
        <v>361</v>
      </c>
      <c r="G20" s="89"/>
      <c r="H20" s="90">
        <f t="shared" si="7"/>
        <v>171.57653061224488</v>
      </c>
      <c r="I20" s="91" t="s">
        <v>377</v>
      </c>
      <c r="J20" s="91" t="s">
        <v>446</v>
      </c>
      <c r="K20" s="91" t="s">
        <v>447</v>
      </c>
      <c r="L20" s="91">
        <v>1</v>
      </c>
      <c r="M20" s="104">
        <v>50</v>
      </c>
      <c r="N20" s="91">
        <v>2.58</v>
      </c>
      <c r="O20" s="94" t="s">
        <v>224</v>
      </c>
      <c r="P20" s="95" t="s">
        <v>380</v>
      </c>
      <c r="Q20" s="89">
        <f t="shared" si="0"/>
        <v>79</v>
      </c>
      <c r="R20" s="89">
        <f t="shared" si="2"/>
        <v>100</v>
      </c>
      <c r="S20" s="89">
        <f t="shared" si="3"/>
        <v>29</v>
      </c>
      <c r="T20" s="89">
        <f t="shared" si="4"/>
        <v>-83</v>
      </c>
      <c r="U20" s="96">
        <f t="shared" si="5"/>
        <v>-0.22991689750692521</v>
      </c>
      <c r="V20" s="89">
        <f t="shared" si="8"/>
        <v>440</v>
      </c>
      <c r="W20" s="105"/>
      <c r="Z20" s="99" t="s">
        <v>444</v>
      </c>
      <c r="AA20" s="100" t="s">
        <v>448</v>
      </c>
    </row>
    <row r="21" spans="1:27">
      <c r="A21" s="87">
        <v>19</v>
      </c>
      <c r="B21" s="88">
        <v>43495</v>
      </c>
      <c r="C21" s="89">
        <f t="shared" si="6"/>
        <v>440</v>
      </c>
      <c r="D21" s="89"/>
      <c r="E21" s="89"/>
      <c r="F21" s="89">
        <f t="shared" si="1"/>
        <v>440</v>
      </c>
      <c r="G21" s="89"/>
      <c r="H21" s="90">
        <f t="shared" si="7"/>
        <v>121.57653061224488</v>
      </c>
      <c r="I21" s="91" t="s">
        <v>377</v>
      </c>
      <c r="J21" s="91" t="s">
        <v>449</v>
      </c>
      <c r="K21" s="91" t="s">
        <v>450</v>
      </c>
      <c r="L21" s="91">
        <v>1</v>
      </c>
      <c r="M21" s="104">
        <v>50</v>
      </c>
      <c r="N21" s="91">
        <v>2.33</v>
      </c>
      <c r="O21" s="94" t="s">
        <v>224</v>
      </c>
      <c r="P21" s="95" t="s">
        <v>380</v>
      </c>
      <c r="Q21" s="89">
        <f t="shared" si="0"/>
        <v>66.5</v>
      </c>
      <c r="R21" s="89">
        <f t="shared" si="2"/>
        <v>150</v>
      </c>
      <c r="S21" s="89">
        <f t="shared" si="3"/>
        <v>95.5</v>
      </c>
      <c r="T21" s="89">
        <f t="shared" si="4"/>
        <v>-16.5</v>
      </c>
      <c r="U21" s="96">
        <f t="shared" si="5"/>
        <v>-3.7499999999999999E-2</v>
      </c>
      <c r="V21" s="89">
        <f t="shared" si="8"/>
        <v>506.5</v>
      </c>
      <c r="W21" s="105"/>
      <c r="Z21" s="99" t="s">
        <v>444</v>
      </c>
      <c r="AA21" s="100" t="s">
        <v>451</v>
      </c>
    </row>
    <row r="22" spans="1:27">
      <c r="A22" s="87">
        <v>20</v>
      </c>
      <c r="B22" s="88">
        <v>43495</v>
      </c>
      <c r="C22" s="89">
        <f t="shared" si="6"/>
        <v>506.5</v>
      </c>
      <c r="D22" s="89"/>
      <c r="E22" s="89"/>
      <c r="F22" s="89">
        <f t="shared" si="1"/>
        <v>506.5</v>
      </c>
      <c r="G22" s="89"/>
      <c r="H22" s="90">
        <f t="shared" si="7"/>
        <v>71.576530612244881</v>
      </c>
      <c r="I22" s="91" t="s">
        <v>452</v>
      </c>
      <c r="J22" s="91" t="s">
        <v>449</v>
      </c>
      <c r="K22" s="91" t="s">
        <v>450</v>
      </c>
      <c r="L22" s="91">
        <v>1</v>
      </c>
      <c r="M22" s="104">
        <v>50</v>
      </c>
      <c r="N22" s="91">
        <v>2.33</v>
      </c>
      <c r="O22" s="94" t="s">
        <v>224</v>
      </c>
      <c r="P22" s="95" t="s">
        <v>380</v>
      </c>
      <c r="Q22" s="89">
        <f t="shared" si="0"/>
        <v>66.5</v>
      </c>
      <c r="R22" s="89">
        <f t="shared" si="2"/>
        <v>200</v>
      </c>
      <c r="S22" s="89">
        <f t="shared" si="3"/>
        <v>162</v>
      </c>
      <c r="T22" s="89">
        <f t="shared" si="4"/>
        <v>50</v>
      </c>
      <c r="U22" s="96">
        <f t="shared" si="5"/>
        <v>9.8716683119447188E-2</v>
      </c>
      <c r="V22" s="89">
        <f t="shared" si="8"/>
        <v>573</v>
      </c>
      <c r="W22" s="105" t="s">
        <v>453</v>
      </c>
      <c r="Z22" s="83" t="s">
        <v>444</v>
      </c>
      <c r="AA22" s="84" t="s">
        <v>454</v>
      </c>
    </row>
    <row r="23" spans="1:27" ht="13.5" thickBot="1">
      <c r="A23" s="111">
        <v>21</v>
      </c>
      <c r="B23" s="112">
        <v>43495</v>
      </c>
      <c r="C23" s="113">
        <f t="shared" si="6"/>
        <v>573</v>
      </c>
      <c r="D23" s="113"/>
      <c r="E23" s="113"/>
      <c r="F23" s="113">
        <f t="shared" si="1"/>
        <v>573</v>
      </c>
      <c r="G23" s="113"/>
      <c r="H23" s="114">
        <f t="shared" si="7"/>
        <v>21.576530612244881</v>
      </c>
      <c r="I23" s="115" t="s">
        <v>377</v>
      </c>
      <c r="J23" s="115" t="s">
        <v>455</v>
      </c>
      <c r="K23" s="115" t="s">
        <v>456</v>
      </c>
      <c r="L23" s="115">
        <v>1</v>
      </c>
      <c r="M23" s="116">
        <v>50</v>
      </c>
      <c r="N23" s="115">
        <v>6.01</v>
      </c>
      <c r="O23" s="117" t="s">
        <v>224</v>
      </c>
      <c r="P23" s="118" t="s">
        <v>380</v>
      </c>
      <c r="Q23" s="113">
        <f t="shared" si="0"/>
        <v>250.5</v>
      </c>
      <c r="R23" s="113">
        <f t="shared" si="2"/>
        <v>250</v>
      </c>
      <c r="S23" s="113">
        <f t="shared" si="3"/>
        <v>412.5</v>
      </c>
      <c r="T23" s="113">
        <f t="shared" si="4"/>
        <v>300.5</v>
      </c>
      <c r="U23" s="119">
        <f t="shared" si="5"/>
        <v>0.5244328097731239</v>
      </c>
      <c r="V23" s="113">
        <f t="shared" si="8"/>
        <v>823.5</v>
      </c>
      <c r="W23" s="120"/>
      <c r="Z23" s="83" t="s">
        <v>444</v>
      </c>
      <c r="AA23" s="84" t="s">
        <v>457</v>
      </c>
    </row>
    <row r="24" spans="1:27">
      <c r="A24" s="69">
        <v>22</v>
      </c>
      <c r="B24" s="70">
        <v>43497</v>
      </c>
      <c r="C24" s="79">
        <f t="shared" si="6"/>
        <v>823.5</v>
      </c>
      <c r="D24" s="71"/>
      <c r="E24" s="71"/>
      <c r="F24" s="71">
        <f t="shared" si="1"/>
        <v>823.5</v>
      </c>
      <c r="G24" s="71"/>
      <c r="H24" s="72">
        <f t="shared" si="7"/>
        <v>443.96173469387753</v>
      </c>
      <c r="I24" s="74" t="s">
        <v>377</v>
      </c>
      <c r="J24" s="74" t="s">
        <v>458</v>
      </c>
      <c r="K24" s="74" t="s">
        <v>459</v>
      </c>
      <c r="L24" s="74">
        <v>1</v>
      </c>
      <c r="M24" s="121">
        <v>50</v>
      </c>
      <c r="N24" s="74">
        <v>2.68</v>
      </c>
      <c r="O24" s="77" t="s">
        <v>224</v>
      </c>
      <c r="P24" s="78" t="s">
        <v>380</v>
      </c>
      <c r="Q24" s="79">
        <f t="shared" si="0"/>
        <v>84</v>
      </c>
      <c r="R24" s="79">
        <f t="shared" si="2"/>
        <v>50</v>
      </c>
      <c r="S24" s="79">
        <f t="shared" si="3"/>
        <v>84</v>
      </c>
      <c r="T24" s="79">
        <f t="shared" si="4"/>
        <v>84</v>
      </c>
      <c r="U24" s="80">
        <f t="shared" si="5"/>
        <v>0.10200364298724955</v>
      </c>
      <c r="V24" s="79">
        <f t="shared" si="8"/>
        <v>907.5</v>
      </c>
      <c r="W24" s="122"/>
      <c r="Z24" s="106" t="s">
        <v>460</v>
      </c>
      <c r="AA24" s="107" t="s">
        <v>461</v>
      </c>
    </row>
    <row r="25" spans="1:27">
      <c r="A25" s="87">
        <v>23</v>
      </c>
      <c r="B25" s="88">
        <v>43497</v>
      </c>
      <c r="C25" s="89">
        <f t="shared" si="6"/>
        <v>907.5</v>
      </c>
      <c r="D25" s="89"/>
      <c r="E25" s="89"/>
      <c r="F25" s="89">
        <f t="shared" si="1"/>
        <v>907.5</v>
      </c>
      <c r="G25" s="89"/>
      <c r="H25" s="90">
        <f t="shared" si="7"/>
        <v>393.96173469387753</v>
      </c>
      <c r="I25" s="91" t="s">
        <v>377</v>
      </c>
      <c r="J25" s="91" t="s">
        <v>462</v>
      </c>
      <c r="K25" s="91" t="s">
        <v>463</v>
      </c>
      <c r="L25" s="91">
        <v>1</v>
      </c>
      <c r="M25" s="104">
        <v>50</v>
      </c>
      <c r="N25" s="91">
        <v>2.52</v>
      </c>
      <c r="O25" s="94" t="s">
        <v>224</v>
      </c>
      <c r="P25" s="95" t="s">
        <v>380</v>
      </c>
      <c r="Q25" s="89">
        <f t="shared" si="0"/>
        <v>76</v>
      </c>
      <c r="R25" s="89">
        <f t="shared" si="2"/>
        <v>100</v>
      </c>
      <c r="S25" s="89">
        <f t="shared" si="3"/>
        <v>160</v>
      </c>
      <c r="T25" s="89">
        <f t="shared" si="4"/>
        <v>160</v>
      </c>
      <c r="U25" s="96">
        <f t="shared" si="5"/>
        <v>0.17630853994490359</v>
      </c>
      <c r="V25" s="89">
        <f t="shared" si="8"/>
        <v>983.5</v>
      </c>
      <c r="W25" s="105"/>
      <c r="Z25" s="99" t="s">
        <v>460</v>
      </c>
      <c r="AA25" s="100" t="s">
        <v>464</v>
      </c>
    </row>
    <row r="26" spans="1:27">
      <c r="A26" s="87">
        <v>24</v>
      </c>
      <c r="B26" s="88">
        <v>43497</v>
      </c>
      <c r="C26" s="89">
        <f t="shared" si="6"/>
        <v>983.5</v>
      </c>
      <c r="D26" s="89"/>
      <c r="E26" s="89"/>
      <c r="F26" s="89">
        <f t="shared" si="1"/>
        <v>983.5</v>
      </c>
      <c r="G26" s="89"/>
      <c r="H26" s="90">
        <f t="shared" si="7"/>
        <v>343.96173469387753</v>
      </c>
      <c r="I26" s="91" t="s">
        <v>377</v>
      </c>
      <c r="J26" s="91" t="s">
        <v>465</v>
      </c>
      <c r="K26" s="91" t="s">
        <v>466</v>
      </c>
      <c r="L26" s="91">
        <v>1</v>
      </c>
      <c r="M26" s="104">
        <v>50</v>
      </c>
      <c r="N26" s="91">
        <v>2.35</v>
      </c>
      <c r="O26" s="94" t="s">
        <v>224</v>
      </c>
      <c r="P26" s="95" t="s">
        <v>380</v>
      </c>
      <c r="Q26" s="89">
        <f t="shared" si="0"/>
        <v>67.5</v>
      </c>
      <c r="R26" s="89">
        <f t="shared" si="2"/>
        <v>150</v>
      </c>
      <c r="S26" s="89">
        <f t="shared" si="3"/>
        <v>227.5</v>
      </c>
      <c r="T26" s="89">
        <f t="shared" si="4"/>
        <v>227.5</v>
      </c>
      <c r="U26" s="96">
        <f t="shared" si="5"/>
        <v>0.23131672597864769</v>
      </c>
      <c r="V26" s="89">
        <f t="shared" si="8"/>
        <v>1051</v>
      </c>
      <c r="W26" s="105"/>
      <c r="Z26" s="99" t="s">
        <v>467</v>
      </c>
      <c r="AA26" s="100" t="s">
        <v>468</v>
      </c>
    </row>
    <row r="27" spans="1:27">
      <c r="A27" s="87">
        <v>25</v>
      </c>
      <c r="B27" s="88">
        <v>43497</v>
      </c>
      <c r="C27" s="89">
        <f t="shared" si="6"/>
        <v>1051</v>
      </c>
      <c r="D27" s="89"/>
      <c r="E27" s="89"/>
      <c r="F27" s="89">
        <f t="shared" si="1"/>
        <v>1051</v>
      </c>
      <c r="G27" s="89"/>
      <c r="H27" s="90">
        <f t="shared" si="7"/>
        <v>293.96173469387753</v>
      </c>
      <c r="I27" s="91" t="s">
        <v>377</v>
      </c>
      <c r="J27" s="91" t="s">
        <v>462</v>
      </c>
      <c r="K27" s="91" t="s">
        <v>469</v>
      </c>
      <c r="L27" s="91">
        <v>1</v>
      </c>
      <c r="M27" s="104">
        <v>50</v>
      </c>
      <c r="N27" s="91">
        <v>2.0699999999999998</v>
      </c>
      <c r="O27" s="94" t="s">
        <v>224</v>
      </c>
      <c r="P27" s="95" t="s">
        <v>385</v>
      </c>
      <c r="Q27" s="89">
        <f t="shared" si="0"/>
        <v>-50</v>
      </c>
      <c r="R27" s="89">
        <f t="shared" si="2"/>
        <v>200</v>
      </c>
      <c r="S27" s="89">
        <f t="shared" si="3"/>
        <v>177.5</v>
      </c>
      <c r="T27" s="89">
        <f t="shared" si="4"/>
        <v>177.5</v>
      </c>
      <c r="U27" s="96">
        <f t="shared" si="5"/>
        <v>0.16888677450047573</v>
      </c>
      <c r="V27" s="89">
        <f t="shared" si="8"/>
        <v>1001</v>
      </c>
      <c r="W27" s="105"/>
      <c r="Z27" s="99" t="s">
        <v>467</v>
      </c>
      <c r="AA27" s="100" t="s">
        <v>470</v>
      </c>
    </row>
    <row r="28" spans="1:27">
      <c r="A28" s="87">
        <v>26</v>
      </c>
      <c r="B28" s="88">
        <v>43497</v>
      </c>
      <c r="C28" s="89">
        <f t="shared" si="6"/>
        <v>1001</v>
      </c>
      <c r="D28" s="89"/>
      <c r="E28" s="89"/>
      <c r="F28" s="89">
        <f t="shared" si="1"/>
        <v>1001</v>
      </c>
      <c r="G28" s="89"/>
      <c r="H28" s="90">
        <f t="shared" si="7"/>
        <v>243.96173469387753</v>
      </c>
      <c r="I28" s="91" t="s">
        <v>377</v>
      </c>
      <c r="J28" s="91" t="s">
        <v>442</v>
      </c>
      <c r="K28" s="91" t="s">
        <v>471</v>
      </c>
      <c r="L28" s="91">
        <v>1</v>
      </c>
      <c r="M28" s="104">
        <v>50</v>
      </c>
      <c r="N28" s="91">
        <v>2.3199999999999998</v>
      </c>
      <c r="O28" s="94" t="s">
        <v>224</v>
      </c>
      <c r="P28" s="95" t="s">
        <v>380</v>
      </c>
      <c r="Q28" s="89">
        <f t="shared" si="0"/>
        <v>65.999999999999986</v>
      </c>
      <c r="R28" s="89">
        <f t="shared" si="2"/>
        <v>250</v>
      </c>
      <c r="S28" s="89">
        <f t="shared" si="3"/>
        <v>243.5</v>
      </c>
      <c r="T28" s="89">
        <f t="shared" si="4"/>
        <v>243.5</v>
      </c>
      <c r="U28" s="96">
        <f t="shared" si="5"/>
        <v>0.24325674325674326</v>
      </c>
      <c r="V28" s="89">
        <f t="shared" si="8"/>
        <v>1067</v>
      </c>
      <c r="W28" s="105" t="s">
        <v>472</v>
      </c>
      <c r="Z28" s="99" t="s">
        <v>473</v>
      </c>
      <c r="AA28" s="100" t="s">
        <v>474</v>
      </c>
    </row>
    <row r="29" spans="1:27">
      <c r="A29" s="87">
        <v>27</v>
      </c>
      <c r="B29" s="88">
        <v>43497</v>
      </c>
      <c r="C29" s="89">
        <f t="shared" si="6"/>
        <v>1067</v>
      </c>
      <c r="D29" s="89"/>
      <c r="E29" s="89"/>
      <c r="F29" s="89">
        <f t="shared" si="1"/>
        <v>1067</v>
      </c>
      <c r="G29" s="89"/>
      <c r="H29" s="90">
        <f t="shared" si="7"/>
        <v>193.96173469387753</v>
      </c>
      <c r="I29" s="91" t="s">
        <v>377</v>
      </c>
      <c r="J29" s="91" t="s">
        <v>475</v>
      </c>
      <c r="K29" s="91" t="s">
        <v>476</v>
      </c>
      <c r="L29" s="91">
        <v>1</v>
      </c>
      <c r="M29" s="104">
        <v>50</v>
      </c>
      <c r="N29" s="94">
        <v>2.2000000000000002</v>
      </c>
      <c r="O29" s="94" t="s">
        <v>224</v>
      </c>
      <c r="P29" s="95" t="s">
        <v>385</v>
      </c>
      <c r="Q29" s="89">
        <f t="shared" si="0"/>
        <v>-50</v>
      </c>
      <c r="R29" s="89">
        <f t="shared" si="2"/>
        <v>300</v>
      </c>
      <c r="S29" s="103">
        <f t="shared" si="3"/>
        <v>193.5</v>
      </c>
      <c r="T29" s="89">
        <f t="shared" si="4"/>
        <v>193.5</v>
      </c>
      <c r="U29" s="96">
        <f t="shared" si="5"/>
        <v>0.18134957825679476</v>
      </c>
      <c r="V29" s="89">
        <f t="shared" si="8"/>
        <v>1017</v>
      </c>
      <c r="W29" s="105" t="s">
        <v>477</v>
      </c>
      <c r="Z29" s="99" t="s">
        <v>473</v>
      </c>
      <c r="AA29" s="100" t="s">
        <v>478</v>
      </c>
    </row>
    <row r="30" spans="1:27">
      <c r="A30" s="87">
        <v>28</v>
      </c>
      <c r="B30" s="102">
        <v>43498</v>
      </c>
      <c r="C30" s="89">
        <f t="shared" si="6"/>
        <v>1017</v>
      </c>
      <c r="D30" s="103"/>
      <c r="E30" s="103"/>
      <c r="F30" s="103">
        <f t="shared" si="1"/>
        <v>1017</v>
      </c>
      <c r="G30" s="103"/>
      <c r="H30" s="90">
        <f t="shared" si="7"/>
        <v>548.28061224489795</v>
      </c>
      <c r="I30" s="91" t="s">
        <v>377</v>
      </c>
      <c r="J30" s="91" t="s">
        <v>479</v>
      </c>
      <c r="K30" s="91" t="s">
        <v>480</v>
      </c>
      <c r="L30" s="91">
        <v>1</v>
      </c>
      <c r="M30" s="104">
        <v>50</v>
      </c>
      <c r="N30" s="91">
        <v>3.9</v>
      </c>
      <c r="O30" s="94" t="s">
        <v>224</v>
      </c>
      <c r="P30" s="95" t="s">
        <v>380</v>
      </c>
      <c r="Q30" s="89">
        <f t="shared" si="0"/>
        <v>145</v>
      </c>
      <c r="R30" s="89">
        <f t="shared" si="2"/>
        <v>50</v>
      </c>
      <c r="S30" s="89">
        <f t="shared" si="3"/>
        <v>145</v>
      </c>
      <c r="T30" s="89">
        <f t="shared" si="4"/>
        <v>338.5</v>
      </c>
      <c r="U30" s="96">
        <f t="shared" si="5"/>
        <v>0.33284169124877089</v>
      </c>
      <c r="V30" s="89">
        <f t="shared" si="8"/>
        <v>1162</v>
      </c>
      <c r="W30" s="105"/>
    </row>
    <row r="31" spans="1:27">
      <c r="A31" s="87">
        <v>29</v>
      </c>
      <c r="B31" s="88">
        <v>43498</v>
      </c>
      <c r="C31" s="89">
        <f t="shared" si="6"/>
        <v>1162</v>
      </c>
      <c r="D31" s="89"/>
      <c r="E31" s="89"/>
      <c r="F31" s="89">
        <f t="shared" si="1"/>
        <v>1162</v>
      </c>
      <c r="G31" s="89"/>
      <c r="H31" s="90">
        <f t="shared" si="7"/>
        <v>498.28061224489795</v>
      </c>
      <c r="I31" s="91" t="s">
        <v>377</v>
      </c>
      <c r="J31" s="91" t="s">
        <v>479</v>
      </c>
      <c r="K31" s="91" t="s">
        <v>481</v>
      </c>
      <c r="L31" s="91">
        <v>1</v>
      </c>
      <c r="M31" s="104">
        <v>50</v>
      </c>
      <c r="N31" s="91">
        <v>3.4</v>
      </c>
      <c r="O31" s="94" t="s">
        <v>224</v>
      </c>
      <c r="P31" s="95" t="s">
        <v>385</v>
      </c>
      <c r="Q31" s="89">
        <f t="shared" si="0"/>
        <v>-50</v>
      </c>
      <c r="R31" s="89">
        <f t="shared" si="2"/>
        <v>100</v>
      </c>
      <c r="S31" s="89">
        <f t="shared" si="3"/>
        <v>95</v>
      </c>
      <c r="T31" s="89">
        <f t="shared" si="4"/>
        <v>288.5</v>
      </c>
      <c r="U31" s="96">
        <f t="shared" si="5"/>
        <v>0.24827882960413081</v>
      </c>
      <c r="V31" s="89">
        <f t="shared" si="8"/>
        <v>1112</v>
      </c>
      <c r="W31" s="105"/>
    </row>
    <row r="32" spans="1:27">
      <c r="A32" s="87">
        <v>30</v>
      </c>
      <c r="B32" s="88">
        <v>43498</v>
      </c>
      <c r="C32" s="89">
        <f t="shared" si="6"/>
        <v>1112</v>
      </c>
      <c r="D32" s="89"/>
      <c r="E32" s="89"/>
      <c r="F32" s="89">
        <f t="shared" si="1"/>
        <v>1112</v>
      </c>
      <c r="G32" s="89"/>
      <c r="H32" s="90">
        <f t="shared" si="7"/>
        <v>448.28061224489795</v>
      </c>
      <c r="I32" s="91" t="s">
        <v>377</v>
      </c>
      <c r="J32" s="91" t="s">
        <v>482</v>
      </c>
      <c r="K32" s="91" t="s">
        <v>483</v>
      </c>
      <c r="L32" s="91">
        <v>1</v>
      </c>
      <c r="M32" s="104">
        <v>50</v>
      </c>
      <c r="N32" s="91">
        <v>3.35</v>
      </c>
      <c r="O32" s="94" t="s">
        <v>224</v>
      </c>
      <c r="P32" s="95" t="s">
        <v>385</v>
      </c>
      <c r="Q32" s="89">
        <f t="shared" si="0"/>
        <v>-50</v>
      </c>
      <c r="R32" s="89">
        <f t="shared" si="2"/>
        <v>150</v>
      </c>
      <c r="S32" s="89">
        <f t="shared" si="3"/>
        <v>45</v>
      </c>
      <c r="T32" s="89">
        <f t="shared" si="4"/>
        <v>238.5</v>
      </c>
      <c r="U32" s="96">
        <f t="shared" si="5"/>
        <v>0.21447841726618705</v>
      </c>
      <c r="V32" s="89">
        <f t="shared" si="8"/>
        <v>1062</v>
      </c>
      <c r="W32" s="105"/>
    </row>
    <row r="33" spans="1:23">
      <c r="A33" s="87">
        <v>31</v>
      </c>
      <c r="B33" s="88">
        <v>43498</v>
      </c>
      <c r="C33" s="89">
        <f t="shared" si="6"/>
        <v>1062</v>
      </c>
      <c r="D33" s="89"/>
      <c r="E33" s="89"/>
      <c r="F33" s="89">
        <f t="shared" si="1"/>
        <v>1062</v>
      </c>
      <c r="G33" s="89"/>
      <c r="H33" s="90">
        <f t="shared" si="7"/>
        <v>398.28061224489795</v>
      </c>
      <c r="I33" s="91" t="s">
        <v>377</v>
      </c>
      <c r="J33" s="91" t="s">
        <v>442</v>
      </c>
      <c r="K33" s="91" t="s">
        <v>484</v>
      </c>
      <c r="L33" s="91">
        <v>1</v>
      </c>
      <c r="M33" s="104">
        <v>50</v>
      </c>
      <c r="N33" s="91">
        <v>3.05</v>
      </c>
      <c r="O33" s="94" t="s">
        <v>224</v>
      </c>
      <c r="P33" s="95" t="s">
        <v>385</v>
      </c>
      <c r="Q33" s="89">
        <f t="shared" si="0"/>
        <v>-50</v>
      </c>
      <c r="R33" s="89">
        <f t="shared" si="2"/>
        <v>200</v>
      </c>
      <c r="S33" s="89">
        <f t="shared" si="3"/>
        <v>-5</v>
      </c>
      <c r="T33" s="89">
        <f t="shared" si="4"/>
        <v>188.5</v>
      </c>
      <c r="U33" s="96">
        <f t="shared" si="5"/>
        <v>0.17749529190207156</v>
      </c>
      <c r="V33" s="89">
        <f t="shared" si="8"/>
        <v>1012</v>
      </c>
      <c r="W33" s="105"/>
    </row>
    <row r="34" spans="1:23">
      <c r="A34" s="87">
        <v>32</v>
      </c>
      <c r="B34" s="88">
        <v>43498</v>
      </c>
      <c r="C34" s="89">
        <f t="shared" si="6"/>
        <v>1012</v>
      </c>
      <c r="D34" s="89"/>
      <c r="E34" s="89"/>
      <c r="F34" s="89">
        <f t="shared" si="1"/>
        <v>1012</v>
      </c>
      <c r="G34" s="89"/>
      <c r="H34" s="90">
        <f t="shared" si="7"/>
        <v>348.28061224489795</v>
      </c>
      <c r="I34" s="91" t="s">
        <v>377</v>
      </c>
      <c r="J34" s="91" t="s">
        <v>465</v>
      </c>
      <c r="K34" s="91" t="s">
        <v>485</v>
      </c>
      <c r="L34" s="91">
        <v>1</v>
      </c>
      <c r="M34" s="104">
        <v>50</v>
      </c>
      <c r="N34" s="91">
        <v>2.67</v>
      </c>
      <c r="O34" s="94" t="s">
        <v>224</v>
      </c>
      <c r="P34" s="95" t="s">
        <v>385</v>
      </c>
      <c r="Q34" s="89">
        <f t="shared" si="0"/>
        <v>-50</v>
      </c>
      <c r="R34" s="89">
        <f t="shared" si="2"/>
        <v>250</v>
      </c>
      <c r="S34" s="89">
        <f t="shared" si="3"/>
        <v>-55</v>
      </c>
      <c r="T34" s="89">
        <f t="shared" si="4"/>
        <v>138.5</v>
      </c>
      <c r="U34" s="96">
        <f t="shared" si="5"/>
        <v>0.13685770750988141</v>
      </c>
      <c r="V34" s="89">
        <f t="shared" si="8"/>
        <v>962</v>
      </c>
      <c r="W34" s="105"/>
    </row>
    <row r="35" spans="1:23">
      <c r="A35" s="87">
        <v>33</v>
      </c>
      <c r="B35" s="88">
        <v>43498</v>
      </c>
      <c r="C35" s="89">
        <f t="shared" si="6"/>
        <v>962</v>
      </c>
      <c r="D35" s="89"/>
      <c r="E35" s="89"/>
      <c r="F35" s="89">
        <f t="shared" si="1"/>
        <v>962</v>
      </c>
      <c r="G35" s="89"/>
      <c r="H35" s="90">
        <f t="shared" si="7"/>
        <v>298.28061224489795</v>
      </c>
      <c r="I35" s="91" t="s">
        <v>377</v>
      </c>
      <c r="J35" s="91" t="s">
        <v>486</v>
      </c>
      <c r="K35" s="91" t="s">
        <v>487</v>
      </c>
      <c r="L35" s="91">
        <v>1</v>
      </c>
      <c r="M35" s="104">
        <v>50</v>
      </c>
      <c r="N35" s="91">
        <v>2.54</v>
      </c>
      <c r="O35" s="94" t="s">
        <v>224</v>
      </c>
      <c r="P35" s="95" t="s">
        <v>385</v>
      </c>
      <c r="Q35" s="89">
        <f t="shared" si="0"/>
        <v>-50</v>
      </c>
      <c r="R35" s="89">
        <f t="shared" si="2"/>
        <v>300</v>
      </c>
      <c r="S35" s="89">
        <f t="shared" si="3"/>
        <v>-105</v>
      </c>
      <c r="T35" s="89">
        <f t="shared" si="4"/>
        <v>88.5</v>
      </c>
      <c r="U35" s="96">
        <f t="shared" si="5"/>
        <v>9.1995841995842001E-2</v>
      </c>
      <c r="V35" s="89">
        <f t="shared" si="8"/>
        <v>912</v>
      </c>
      <c r="W35" s="105"/>
    </row>
    <row r="36" spans="1:23">
      <c r="A36" s="87">
        <v>34</v>
      </c>
      <c r="B36" s="88">
        <v>43498</v>
      </c>
      <c r="C36" s="89">
        <f t="shared" si="6"/>
        <v>912</v>
      </c>
      <c r="D36" s="89"/>
      <c r="E36" s="89"/>
      <c r="F36" s="89">
        <f t="shared" si="1"/>
        <v>912</v>
      </c>
      <c r="G36" s="89"/>
      <c r="H36" s="90">
        <f t="shared" si="7"/>
        <v>248.28061224489795</v>
      </c>
      <c r="I36" s="91" t="s">
        <v>377</v>
      </c>
      <c r="J36" s="91" t="s">
        <v>488</v>
      </c>
      <c r="K36" s="91" t="s">
        <v>489</v>
      </c>
      <c r="L36" s="91">
        <v>1</v>
      </c>
      <c r="M36" s="104">
        <v>50</v>
      </c>
      <c r="N36" s="91">
        <v>2.5</v>
      </c>
      <c r="O36" s="94" t="s">
        <v>224</v>
      </c>
      <c r="P36" s="95" t="s">
        <v>385</v>
      </c>
      <c r="Q36" s="89">
        <f t="shared" si="0"/>
        <v>-50</v>
      </c>
      <c r="R36" s="89">
        <f t="shared" si="2"/>
        <v>350</v>
      </c>
      <c r="S36" s="89">
        <f t="shared" si="3"/>
        <v>-155</v>
      </c>
      <c r="T36" s="89">
        <f t="shared" si="4"/>
        <v>38.5</v>
      </c>
      <c r="U36" s="96">
        <f t="shared" si="5"/>
        <v>4.2214912280701754E-2</v>
      </c>
      <c r="V36" s="89">
        <f t="shared" si="8"/>
        <v>862</v>
      </c>
      <c r="W36" s="105"/>
    </row>
    <row r="37" spans="1:23">
      <c r="A37" s="87">
        <v>35</v>
      </c>
      <c r="B37" s="88">
        <v>43498</v>
      </c>
      <c r="C37" s="89">
        <f t="shared" si="6"/>
        <v>862</v>
      </c>
      <c r="D37" s="89"/>
      <c r="E37" s="89"/>
      <c r="F37" s="89">
        <f t="shared" si="1"/>
        <v>862</v>
      </c>
      <c r="G37" s="89"/>
      <c r="H37" s="90">
        <f t="shared" si="7"/>
        <v>198.28061224489795</v>
      </c>
      <c r="I37" s="91" t="s">
        <v>377</v>
      </c>
      <c r="J37" s="91" t="s">
        <v>490</v>
      </c>
      <c r="K37" s="91" t="s">
        <v>491</v>
      </c>
      <c r="L37" s="91">
        <v>1</v>
      </c>
      <c r="M37" s="104">
        <v>50</v>
      </c>
      <c r="N37" s="91">
        <v>2.4</v>
      </c>
      <c r="O37" s="94" t="s">
        <v>224</v>
      </c>
      <c r="P37" s="95" t="s">
        <v>385</v>
      </c>
      <c r="Q37" s="89">
        <f t="shared" si="0"/>
        <v>-50</v>
      </c>
      <c r="R37" s="89">
        <f t="shared" si="2"/>
        <v>400</v>
      </c>
      <c r="S37" s="89">
        <f t="shared" si="3"/>
        <v>-205</v>
      </c>
      <c r="T37" s="89">
        <f t="shared" si="4"/>
        <v>-11.5</v>
      </c>
      <c r="U37" s="96">
        <f t="shared" si="5"/>
        <v>-1.334106728538283E-2</v>
      </c>
      <c r="V37" s="89">
        <f t="shared" si="8"/>
        <v>812</v>
      </c>
      <c r="W37" s="105"/>
    </row>
    <row r="38" spans="1:23">
      <c r="A38" s="87">
        <v>36</v>
      </c>
      <c r="B38" s="88">
        <v>43498</v>
      </c>
      <c r="C38" s="89">
        <f t="shared" si="6"/>
        <v>812</v>
      </c>
      <c r="D38" s="89"/>
      <c r="E38" s="89"/>
      <c r="F38" s="89">
        <f t="shared" si="1"/>
        <v>812</v>
      </c>
      <c r="G38" s="89"/>
      <c r="H38" s="90">
        <f t="shared" si="7"/>
        <v>148.28061224489795</v>
      </c>
      <c r="I38" s="91" t="s">
        <v>377</v>
      </c>
      <c r="J38" s="91" t="s">
        <v>492</v>
      </c>
      <c r="K38" s="91" t="s">
        <v>493</v>
      </c>
      <c r="L38" s="91">
        <v>1</v>
      </c>
      <c r="M38" s="104">
        <v>50</v>
      </c>
      <c r="N38" s="91">
        <v>2.2999999999999998</v>
      </c>
      <c r="O38" s="94" t="s">
        <v>224</v>
      </c>
      <c r="P38" s="95" t="s">
        <v>385</v>
      </c>
      <c r="Q38" s="89">
        <f t="shared" si="0"/>
        <v>-50</v>
      </c>
      <c r="R38" s="89">
        <f t="shared" si="2"/>
        <v>450</v>
      </c>
      <c r="S38" s="103">
        <f t="shared" si="3"/>
        <v>-255</v>
      </c>
      <c r="T38" s="89">
        <f t="shared" si="4"/>
        <v>-61.5</v>
      </c>
      <c r="U38" s="96">
        <f t="shared" si="5"/>
        <v>-7.573891625615764E-2</v>
      </c>
      <c r="V38" s="89">
        <f t="shared" si="8"/>
        <v>762</v>
      </c>
      <c r="W38" s="105"/>
    </row>
    <row r="39" spans="1:23">
      <c r="A39" s="87">
        <v>37</v>
      </c>
      <c r="B39" s="102">
        <v>43468</v>
      </c>
      <c r="C39" s="89">
        <f t="shared" si="6"/>
        <v>762</v>
      </c>
      <c r="D39" s="103"/>
      <c r="E39" s="103"/>
      <c r="F39" s="103">
        <f t="shared" si="1"/>
        <v>762</v>
      </c>
      <c r="G39" s="103"/>
      <c r="H39" s="90">
        <f t="shared" si="7"/>
        <v>410.80612244897958</v>
      </c>
      <c r="I39" s="91" t="s">
        <v>377</v>
      </c>
      <c r="J39" s="91" t="s">
        <v>488</v>
      </c>
      <c r="K39" s="91" t="s">
        <v>494</v>
      </c>
      <c r="L39" s="91">
        <v>1</v>
      </c>
      <c r="M39" s="104">
        <v>50</v>
      </c>
      <c r="N39" s="91">
        <v>3</v>
      </c>
      <c r="O39" s="94" t="s">
        <v>224</v>
      </c>
      <c r="P39" s="95" t="s">
        <v>380</v>
      </c>
      <c r="Q39" s="89">
        <f t="shared" si="0"/>
        <v>100</v>
      </c>
      <c r="R39" s="89">
        <f t="shared" si="2"/>
        <v>50</v>
      </c>
      <c r="S39" s="89">
        <f t="shared" si="3"/>
        <v>100</v>
      </c>
      <c r="T39" s="89">
        <f t="shared" si="4"/>
        <v>100</v>
      </c>
      <c r="U39" s="96">
        <f t="shared" si="5"/>
        <v>0.13123359580052493</v>
      </c>
      <c r="V39" s="89">
        <f t="shared" si="8"/>
        <v>862</v>
      </c>
      <c r="W39" s="123" t="s">
        <v>495</v>
      </c>
    </row>
    <row r="40" spans="1:23">
      <c r="A40" s="87">
        <v>38</v>
      </c>
      <c r="B40" s="88">
        <v>43468</v>
      </c>
      <c r="C40" s="89">
        <f t="shared" si="6"/>
        <v>862</v>
      </c>
      <c r="D40" s="89"/>
      <c r="E40" s="89">
        <v>150</v>
      </c>
      <c r="F40" s="89">
        <f t="shared" si="1"/>
        <v>712</v>
      </c>
      <c r="G40" s="89"/>
      <c r="H40" s="90">
        <f t="shared" si="7"/>
        <v>360.80612244897958</v>
      </c>
      <c r="I40" s="91" t="s">
        <v>377</v>
      </c>
      <c r="J40" s="91" t="s">
        <v>496</v>
      </c>
      <c r="K40" s="91" t="s">
        <v>497</v>
      </c>
      <c r="L40" s="91">
        <v>1</v>
      </c>
      <c r="M40" s="104">
        <v>50</v>
      </c>
      <c r="N40" s="91">
        <v>3.15</v>
      </c>
      <c r="O40" s="94" t="s">
        <v>224</v>
      </c>
      <c r="P40" s="95" t="s">
        <v>385</v>
      </c>
      <c r="Q40" s="89">
        <f t="shared" si="0"/>
        <v>-50</v>
      </c>
      <c r="R40" s="89">
        <f t="shared" si="2"/>
        <v>100</v>
      </c>
      <c r="S40" s="89">
        <f t="shared" si="3"/>
        <v>50</v>
      </c>
      <c r="T40" s="89">
        <f t="shared" si="4"/>
        <v>50</v>
      </c>
      <c r="U40" s="96">
        <f t="shared" si="5"/>
        <v>7.02247191011236E-2</v>
      </c>
      <c r="V40" s="89">
        <f t="shared" si="8"/>
        <v>662</v>
      </c>
      <c r="W40" s="105"/>
    </row>
    <row r="41" spans="1:23">
      <c r="A41" s="87">
        <v>39</v>
      </c>
      <c r="B41" s="88">
        <v>43468</v>
      </c>
      <c r="C41" s="89">
        <f t="shared" si="6"/>
        <v>662</v>
      </c>
      <c r="D41" s="89"/>
      <c r="E41" s="89"/>
      <c r="F41" s="89">
        <f t="shared" si="1"/>
        <v>662</v>
      </c>
      <c r="G41" s="89"/>
      <c r="H41" s="90">
        <f t="shared" si="7"/>
        <v>310.80612244897958</v>
      </c>
      <c r="I41" s="91" t="s">
        <v>377</v>
      </c>
      <c r="J41" s="91" t="s">
        <v>482</v>
      </c>
      <c r="K41" s="91" t="s">
        <v>498</v>
      </c>
      <c r="L41" s="91">
        <v>1</v>
      </c>
      <c r="M41" s="104">
        <v>50</v>
      </c>
      <c r="N41" s="91">
        <v>2.48</v>
      </c>
      <c r="O41" s="94" t="s">
        <v>224</v>
      </c>
      <c r="P41" s="95" t="s">
        <v>385</v>
      </c>
      <c r="Q41" s="89">
        <f t="shared" si="0"/>
        <v>-50</v>
      </c>
      <c r="R41" s="89">
        <f t="shared" si="2"/>
        <v>150</v>
      </c>
      <c r="S41" s="89">
        <f t="shared" si="3"/>
        <v>0</v>
      </c>
      <c r="T41" s="89">
        <f t="shared" si="4"/>
        <v>0</v>
      </c>
      <c r="U41" s="96">
        <f t="shared" si="5"/>
        <v>0</v>
      </c>
      <c r="V41" s="89">
        <f t="shared" si="8"/>
        <v>612</v>
      </c>
      <c r="W41" s="105"/>
    </row>
    <row r="42" spans="1:23">
      <c r="A42" s="87">
        <v>40</v>
      </c>
      <c r="B42" s="88">
        <v>43468</v>
      </c>
      <c r="C42" s="89">
        <f t="shared" si="6"/>
        <v>612</v>
      </c>
      <c r="D42" s="89"/>
      <c r="E42" s="89"/>
      <c r="F42" s="89">
        <f t="shared" si="1"/>
        <v>612</v>
      </c>
      <c r="G42" s="89"/>
      <c r="H42" s="90">
        <f t="shared" si="7"/>
        <v>260.80612244897958</v>
      </c>
      <c r="I42" s="91" t="s">
        <v>377</v>
      </c>
      <c r="J42" s="91" t="s">
        <v>496</v>
      </c>
      <c r="K42" s="91" t="s">
        <v>499</v>
      </c>
      <c r="L42" s="91">
        <v>1</v>
      </c>
      <c r="M42" s="104">
        <v>50</v>
      </c>
      <c r="N42" s="91">
        <v>2.33</v>
      </c>
      <c r="O42" s="94" t="s">
        <v>224</v>
      </c>
      <c r="P42" s="95" t="s">
        <v>385</v>
      </c>
      <c r="Q42" s="89">
        <f t="shared" si="0"/>
        <v>-50</v>
      </c>
      <c r="R42" s="89">
        <f t="shared" si="2"/>
        <v>200</v>
      </c>
      <c r="S42" s="89">
        <f t="shared" si="3"/>
        <v>-50</v>
      </c>
      <c r="T42" s="89">
        <f t="shared" si="4"/>
        <v>-50</v>
      </c>
      <c r="U42" s="96">
        <f t="shared" si="5"/>
        <v>-8.1699346405228759E-2</v>
      </c>
      <c r="V42" s="89">
        <f t="shared" si="8"/>
        <v>562</v>
      </c>
      <c r="W42" s="105"/>
    </row>
    <row r="43" spans="1:23">
      <c r="A43" s="87">
        <v>41</v>
      </c>
      <c r="B43" s="88">
        <v>43468</v>
      </c>
      <c r="C43" s="89">
        <f t="shared" si="6"/>
        <v>562</v>
      </c>
      <c r="D43" s="89"/>
      <c r="E43" s="89"/>
      <c r="F43" s="89">
        <f t="shared" si="1"/>
        <v>562</v>
      </c>
      <c r="G43" s="89"/>
      <c r="H43" s="90">
        <f t="shared" si="7"/>
        <v>210.80612244897958</v>
      </c>
      <c r="I43" s="91" t="s">
        <v>377</v>
      </c>
      <c r="J43" s="91" t="s">
        <v>462</v>
      </c>
      <c r="K43" s="91" t="s">
        <v>500</v>
      </c>
      <c r="L43" s="91">
        <v>1</v>
      </c>
      <c r="M43" s="104">
        <v>50</v>
      </c>
      <c r="N43" s="91">
        <v>2.1</v>
      </c>
      <c r="O43" s="94" t="s">
        <v>224</v>
      </c>
      <c r="P43" s="95" t="s">
        <v>380</v>
      </c>
      <c r="Q43" s="89">
        <f t="shared" si="0"/>
        <v>55</v>
      </c>
      <c r="R43" s="89">
        <f t="shared" si="2"/>
        <v>250</v>
      </c>
      <c r="S43" s="89">
        <f t="shared" si="3"/>
        <v>5</v>
      </c>
      <c r="T43" s="89">
        <f t="shared" si="4"/>
        <v>5</v>
      </c>
      <c r="U43" s="96">
        <f t="shared" si="5"/>
        <v>8.8967971530249119E-3</v>
      </c>
      <c r="V43" s="89">
        <f t="shared" si="8"/>
        <v>617</v>
      </c>
      <c r="W43" s="105"/>
    </row>
    <row r="44" spans="1:23">
      <c r="A44" s="87">
        <v>42</v>
      </c>
      <c r="B44" s="88">
        <v>43468</v>
      </c>
      <c r="C44" s="89">
        <f t="shared" si="6"/>
        <v>617</v>
      </c>
      <c r="D44" s="89"/>
      <c r="E44" s="89"/>
      <c r="F44" s="89">
        <f t="shared" si="1"/>
        <v>617</v>
      </c>
      <c r="G44" s="89"/>
      <c r="H44" s="90">
        <f t="shared" si="7"/>
        <v>160.80612244897958</v>
      </c>
      <c r="I44" s="91" t="s">
        <v>377</v>
      </c>
      <c r="J44" s="91" t="s">
        <v>490</v>
      </c>
      <c r="K44" s="91" t="s">
        <v>501</v>
      </c>
      <c r="L44" s="91">
        <v>1</v>
      </c>
      <c r="M44" s="104">
        <v>50</v>
      </c>
      <c r="N44" s="91">
        <v>2.1</v>
      </c>
      <c r="O44" s="94" t="s">
        <v>224</v>
      </c>
      <c r="P44" s="95" t="s">
        <v>380</v>
      </c>
      <c r="Q44" s="89">
        <f t="shared" si="0"/>
        <v>55</v>
      </c>
      <c r="R44" s="89">
        <f t="shared" si="2"/>
        <v>300</v>
      </c>
      <c r="S44" s="89">
        <f t="shared" si="3"/>
        <v>60</v>
      </c>
      <c r="T44" s="89">
        <f t="shared" si="4"/>
        <v>60</v>
      </c>
      <c r="U44" s="96">
        <f t="shared" si="5"/>
        <v>9.7244732576985418E-2</v>
      </c>
      <c r="V44" s="89">
        <f t="shared" si="8"/>
        <v>672</v>
      </c>
      <c r="W44" s="105"/>
    </row>
    <row r="45" spans="1:23">
      <c r="A45" s="87">
        <v>43</v>
      </c>
      <c r="B45" s="88">
        <v>43468</v>
      </c>
      <c r="C45" s="89">
        <f t="shared" si="6"/>
        <v>672</v>
      </c>
      <c r="D45" s="89"/>
      <c r="E45" s="89"/>
      <c r="F45" s="89">
        <f t="shared" si="1"/>
        <v>672</v>
      </c>
      <c r="G45" s="89"/>
      <c r="H45" s="90">
        <f t="shared" si="7"/>
        <v>110.80612244897958</v>
      </c>
      <c r="I45" s="91" t="s">
        <v>377</v>
      </c>
      <c r="J45" s="91" t="s">
        <v>458</v>
      </c>
      <c r="K45" s="91" t="s">
        <v>502</v>
      </c>
      <c r="L45" s="91">
        <v>1</v>
      </c>
      <c r="M45" s="104">
        <v>50</v>
      </c>
      <c r="N45" s="91">
        <v>2.06</v>
      </c>
      <c r="O45" s="94" t="s">
        <v>224</v>
      </c>
      <c r="P45" s="95" t="s">
        <v>380</v>
      </c>
      <c r="Q45" s="89">
        <f t="shared" si="0"/>
        <v>53</v>
      </c>
      <c r="R45" s="89">
        <f t="shared" si="2"/>
        <v>350</v>
      </c>
      <c r="S45" s="89">
        <f t="shared" si="3"/>
        <v>113</v>
      </c>
      <c r="T45" s="89">
        <f t="shared" si="4"/>
        <v>113</v>
      </c>
      <c r="U45" s="96">
        <f t="shared" si="5"/>
        <v>0.16815476190476192</v>
      </c>
      <c r="V45" s="89">
        <f t="shared" si="8"/>
        <v>725</v>
      </c>
      <c r="W45" s="105"/>
    </row>
    <row r="46" spans="1:23">
      <c r="A46" s="87">
        <v>44</v>
      </c>
      <c r="B46" s="88">
        <v>43468</v>
      </c>
      <c r="C46" s="89">
        <f t="shared" si="6"/>
        <v>725</v>
      </c>
      <c r="D46" s="89"/>
      <c r="E46" s="89"/>
      <c r="F46" s="89">
        <f t="shared" si="1"/>
        <v>725</v>
      </c>
      <c r="G46" s="89"/>
      <c r="H46" s="90">
        <f t="shared" si="7"/>
        <v>60.806122448979579</v>
      </c>
      <c r="I46" s="91" t="s">
        <v>377</v>
      </c>
      <c r="J46" s="91" t="s">
        <v>482</v>
      </c>
      <c r="K46" s="91" t="s">
        <v>503</v>
      </c>
      <c r="L46" s="91">
        <v>1</v>
      </c>
      <c r="M46" s="104">
        <v>50</v>
      </c>
      <c r="N46" s="91">
        <v>1.88</v>
      </c>
      <c r="O46" s="94" t="s">
        <v>224</v>
      </c>
      <c r="P46" s="95" t="s">
        <v>385</v>
      </c>
      <c r="Q46" s="89">
        <f t="shared" si="0"/>
        <v>-50</v>
      </c>
      <c r="R46" s="89">
        <f t="shared" si="2"/>
        <v>400</v>
      </c>
      <c r="S46" s="103">
        <f t="shared" si="3"/>
        <v>63</v>
      </c>
      <c r="T46" s="89">
        <f t="shared" si="4"/>
        <v>63</v>
      </c>
      <c r="U46" s="96">
        <f t="shared" si="5"/>
        <v>8.6896551724137933E-2</v>
      </c>
      <c r="V46" s="89">
        <f t="shared" si="8"/>
        <v>675</v>
      </c>
      <c r="W46" s="105"/>
    </row>
    <row r="47" spans="1:23">
      <c r="A47" s="87">
        <v>45</v>
      </c>
      <c r="B47" s="102">
        <v>43500</v>
      </c>
      <c r="C47" s="89">
        <f t="shared" si="6"/>
        <v>675</v>
      </c>
      <c r="D47" s="103"/>
      <c r="E47" s="103"/>
      <c r="F47" s="103">
        <f t="shared" si="1"/>
        <v>675</v>
      </c>
      <c r="G47" s="103"/>
      <c r="H47" s="90">
        <f t="shared" si="7"/>
        <v>363.90306122448976</v>
      </c>
      <c r="I47" s="91" t="s">
        <v>377</v>
      </c>
      <c r="J47" s="91" t="s">
        <v>442</v>
      </c>
      <c r="K47" s="91" t="s">
        <v>504</v>
      </c>
      <c r="L47" s="91">
        <v>1</v>
      </c>
      <c r="M47" s="104">
        <v>50</v>
      </c>
      <c r="N47" s="91">
        <v>3</v>
      </c>
      <c r="O47" s="94" t="s">
        <v>224</v>
      </c>
      <c r="P47" s="95" t="s">
        <v>380</v>
      </c>
      <c r="Q47" s="89">
        <f t="shared" si="0"/>
        <v>100</v>
      </c>
      <c r="R47" s="89">
        <f t="shared" si="2"/>
        <v>50</v>
      </c>
      <c r="S47" s="89">
        <f t="shared" si="3"/>
        <v>100</v>
      </c>
      <c r="T47" s="89">
        <f t="shared" si="4"/>
        <v>100</v>
      </c>
      <c r="U47" s="96">
        <f t="shared" si="5"/>
        <v>0.14814814814814814</v>
      </c>
      <c r="V47" s="89">
        <f t="shared" si="8"/>
        <v>775</v>
      </c>
      <c r="W47" s="124">
        <f>+V47-775</f>
        <v>0</v>
      </c>
    </row>
    <row r="48" spans="1:23">
      <c r="A48" s="87">
        <v>46</v>
      </c>
      <c r="B48" s="88">
        <v>43500</v>
      </c>
      <c r="C48" s="89">
        <f t="shared" si="6"/>
        <v>775</v>
      </c>
      <c r="D48" s="89"/>
      <c r="E48" s="89"/>
      <c r="F48" s="89">
        <f t="shared" si="1"/>
        <v>775</v>
      </c>
      <c r="G48" s="89"/>
      <c r="H48" s="90">
        <f t="shared" si="7"/>
        <v>313.90306122448976</v>
      </c>
      <c r="I48" s="91" t="s">
        <v>377</v>
      </c>
      <c r="J48" s="91" t="s">
        <v>488</v>
      </c>
      <c r="K48" s="91" t="s">
        <v>505</v>
      </c>
      <c r="L48" s="91">
        <v>1</v>
      </c>
      <c r="M48" s="104">
        <v>50</v>
      </c>
      <c r="N48" s="91">
        <v>2.35</v>
      </c>
      <c r="O48" s="94" t="s">
        <v>224</v>
      </c>
      <c r="P48" s="95" t="s">
        <v>385</v>
      </c>
      <c r="Q48" s="89">
        <f t="shared" si="0"/>
        <v>-50</v>
      </c>
      <c r="R48" s="89">
        <f t="shared" si="2"/>
        <v>100</v>
      </c>
      <c r="S48" s="89">
        <f t="shared" si="3"/>
        <v>50</v>
      </c>
      <c r="T48" s="89">
        <f t="shared" si="4"/>
        <v>50</v>
      </c>
      <c r="U48" s="96">
        <f t="shared" si="5"/>
        <v>6.4516129032258063E-2</v>
      </c>
      <c r="V48" s="89">
        <f t="shared" si="8"/>
        <v>725</v>
      </c>
      <c r="W48" s="105"/>
    </row>
    <row r="49" spans="1:23">
      <c r="A49" s="87">
        <v>47</v>
      </c>
      <c r="B49" s="88">
        <v>43500</v>
      </c>
      <c r="C49" s="89">
        <f t="shared" si="6"/>
        <v>725</v>
      </c>
      <c r="D49" s="89"/>
      <c r="E49" s="89"/>
      <c r="F49" s="89">
        <f t="shared" si="1"/>
        <v>725</v>
      </c>
      <c r="G49" s="89"/>
      <c r="H49" s="90">
        <f t="shared" si="7"/>
        <v>263.90306122448976</v>
      </c>
      <c r="I49" s="91" t="s">
        <v>377</v>
      </c>
      <c r="J49" s="91" t="s">
        <v>506</v>
      </c>
      <c r="K49" s="91" t="s">
        <v>507</v>
      </c>
      <c r="L49" s="91">
        <v>1</v>
      </c>
      <c r="M49" s="104">
        <v>50</v>
      </c>
      <c r="N49" s="91">
        <v>2.3199999999999998</v>
      </c>
      <c r="O49" s="94" t="s">
        <v>224</v>
      </c>
      <c r="P49" s="95" t="s">
        <v>385</v>
      </c>
      <c r="Q49" s="89">
        <f t="shared" si="0"/>
        <v>-50</v>
      </c>
      <c r="R49" s="89">
        <f t="shared" si="2"/>
        <v>150</v>
      </c>
      <c r="S49" s="89">
        <f t="shared" si="3"/>
        <v>0</v>
      </c>
      <c r="T49" s="89">
        <f t="shared" si="4"/>
        <v>0</v>
      </c>
      <c r="U49" s="96">
        <f t="shared" si="5"/>
        <v>0</v>
      </c>
      <c r="V49" s="89">
        <f t="shared" si="8"/>
        <v>675</v>
      </c>
      <c r="W49" s="105"/>
    </row>
    <row r="50" spans="1:23">
      <c r="A50" s="87">
        <v>48</v>
      </c>
      <c r="B50" s="88">
        <v>43500</v>
      </c>
      <c r="C50" s="89">
        <f t="shared" si="6"/>
        <v>675</v>
      </c>
      <c r="D50" s="89"/>
      <c r="E50" s="89"/>
      <c r="F50" s="89">
        <f t="shared" si="1"/>
        <v>675</v>
      </c>
      <c r="G50" s="89"/>
      <c r="H50" s="90">
        <f t="shared" si="7"/>
        <v>213.90306122448976</v>
      </c>
      <c r="I50" s="91" t="s">
        <v>377</v>
      </c>
      <c r="J50" s="91" t="s">
        <v>508</v>
      </c>
      <c r="K50" s="91" t="s">
        <v>509</v>
      </c>
      <c r="L50" s="91">
        <v>1</v>
      </c>
      <c r="M50" s="104">
        <v>50</v>
      </c>
      <c r="N50" s="91">
        <v>1.97</v>
      </c>
      <c r="O50" s="94" t="s">
        <v>224</v>
      </c>
      <c r="P50" s="95" t="s">
        <v>380</v>
      </c>
      <c r="Q50" s="89">
        <f t="shared" si="0"/>
        <v>48.5</v>
      </c>
      <c r="R50" s="89">
        <f t="shared" si="2"/>
        <v>200</v>
      </c>
      <c r="S50" s="103">
        <f t="shared" si="3"/>
        <v>48.5</v>
      </c>
      <c r="T50" s="89">
        <f t="shared" si="4"/>
        <v>48.5</v>
      </c>
      <c r="U50" s="96">
        <f t="shared" si="5"/>
        <v>7.1851851851851847E-2</v>
      </c>
      <c r="V50" s="89">
        <f t="shared" si="8"/>
        <v>723.5</v>
      </c>
      <c r="W50" s="105"/>
    </row>
    <row r="51" spans="1:23">
      <c r="A51" s="87">
        <v>49</v>
      </c>
      <c r="B51" s="102">
        <v>43501</v>
      </c>
      <c r="C51" s="89">
        <f t="shared" si="6"/>
        <v>723.5</v>
      </c>
      <c r="D51" s="103"/>
      <c r="E51" s="103"/>
      <c r="F51" s="103">
        <f t="shared" si="1"/>
        <v>723.5</v>
      </c>
      <c r="G51" s="103"/>
      <c r="H51" s="90">
        <f>IF(B51=B50,H50-M50,F51*$AB$3)</f>
        <v>390.05017006802723</v>
      </c>
      <c r="I51" s="91" t="s">
        <v>377</v>
      </c>
      <c r="J51" s="91" t="s">
        <v>510</v>
      </c>
      <c r="K51" s="91" t="s">
        <v>511</v>
      </c>
      <c r="L51" s="91">
        <v>1</v>
      </c>
      <c r="M51" s="104">
        <v>50</v>
      </c>
      <c r="N51" s="91">
        <v>2.0699999999999998</v>
      </c>
      <c r="O51" s="94" t="s">
        <v>224</v>
      </c>
      <c r="P51" s="95" t="s">
        <v>380</v>
      </c>
      <c r="Q51" s="89">
        <f>42.23-50</f>
        <v>-7.7700000000000031</v>
      </c>
      <c r="R51" s="89">
        <f t="shared" si="2"/>
        <v>50</v>
      </c>
      <c r="S51" s="89">
        <f t="shared" si="3"/>
        <v>-7.7700000000000031</v>
      </c>
      <c r="T51" s="89">
        <f t="shared" si="4"/>
        <v>40.729999999999997</v>
      </c>
      <c r="U51" s="96">
        <f t="shared" si="5"/>
        <v>5.6295784381478919E-2</v>
      </c>
      <c r="V51" s="89">
        <f t="shared" si="8"/>
        <v>715.73</v>
      </c>
      <c r="W51" s="105" t="s">
        <v>512</v>
      </c>
    </row>
    <row r="52" spans="1:23">
      <c r="A52" s="87">
        <v>50</v>
      </c>
      <c r="B52" s="88">
        <v>43501</v>
      </c>
      <c r="C52" s="89">
        <f t="shared" si="6"/>
        <v>715.73</v>
      </c>
      <c r="D52" s="89"/>
      <c r="E52" s="89"/>
      <c r="F52" s="89">
        <f t="shared" si="1"/>
        <v>715.73</v>
      </c>
      <c r="G52" s="89"/>
      <c r="H52" s="90">
        <f t="shared" si="7"/>
        <v>340.05017006802723</v>
      </c>
      <c r="I52" s="91" t="s">
        <v>377</v>
      </c>
      <c r="J52" s="91" t="s">
        <v>513</v>
      </c>
      <c r="K52" s="91" t="s">
        <v>514</v>
      </c>
      <c r="L52" s="91">
        <v>1</v>
      </c>
      <c r="M52" s="104">
        <v>50</v>
      </c>
      <c r="N52" s="91">
        <v>2.0299999999999998</v>
      </c>
      <c r="O52" s="94" t="s">
        <v>224</v>
      </c>
      <c r="P52" s="95" t="s">
        <v>380</v>
      </c>
      <c r="Q52" s="89">
        <f t="shared" ref="Q52:Q115" si="9">IF(P52="Win",(M52*N52)-M52,IF(P52="Refund",0,IF(P52="Loss",-M52)))</f>
        <v>51.499999999999986</v>
      </c>
      <c r="R52" s="89">
        <f t="shared" si="2"/>
        <v>100</v>
      </c>
      <c r="S52" s="89">
        <f t="shared" si="3"/>
        <v>43.729999999999983</v>
      </c>
      <c r="T52" s="89">
        <f t="shared" si="4"/>
        <v>92.22999999999999</v>
      </c>
      <c r="U52" s="96">
        <f t="shared" si="5"/>
        <v>0.12886144216394449</v>
      </c>
      <c r="V52" s="89">
        <f t="shared" si="8"/>
        <v>767.23</v>
      </c>
      <c r="W52" s="105"/>
    </row>
    <row r="53" spans="1:23">
      <c r="A53" s="87">
        <v>51</v>
      </c>
      <c r="B53" s="88">
        <v>43501</v>
      </c>
      <c r="C53" s="89">
        <f t="shared" si="6"/>
        <v>767.23</v>
      </c>
      <c r="D53" s="89"/>
      <c r="E53" s="89"/>
      <c r="F53" s="89">
        <f t="shared" si="1"/>
        <v>767.23</v>
      </c>
      <c r="G53" s="89"/>
      <c r="H53" s="90">
        <f t="shared" si="7"/>
        <v>290.05017006802723</v>
      </c>
      <c r="I53" s="91" t="s">
        <v>377</v>
      </c>
      <c r="J53" s="91" t="s">
        <v>515</v>
      </c>
      <c r="K53" s="91" t="s">
        <v>516</v>
      </c>
      <c r="L53" s="91">
        <v>1</v>
      </c>
      <c r="M53" s="104">
        <v>50</v>
      </c>
      <c r="N53" s="91">
        <v>2.02</v>
      </c>
      <c r="O53" s="94" t="s">
        <v>224</v>
      </c>
      <c r="P53" s="95" t="s">
        <v>380</v>
      </c>
      <c r="Q53" s="89">
        <f t="shared" si="9"/>
        <v>51</v>
      </c>
      <c r="R53" s="89">
        <f t="shared" si="2"/>
        <v>150</v>
      </c>
      <c r="S53" s="103">
        <f t="shared" si="3"/>
        <v>94.72999999999999</v>
      </c>
      <c r="T53" s="89">
        <f t="shared" si="4"/>
        <v>143.22999999999999</v>
      </c>
      <c r="U53" s="96">
        <f t="shared" si="5"/>
        <v>0.18668456655761634</v>
      </c>
      <c r="V53" s="89">
        <f t="shared" si="8"/>
        <v>818.23</v>
      </c>
      <c r="W53" s="124"/>
    </row>
    <row r="54" spans="1:23">
      <c r="A54" s="87">
        <v>52</v>
      </c>
      <c r="B54" s="102">
        <v>43502</v>
      </c>
      <c r="C54" s="89">
        <f t="shared" si="6"/>
        <v>818.23</v>
      </c>
      <c r="D54" s="103"/>
      <c r="E54" s="103"/>
      <c r="F54" s="103">
        <f t="shared" si="1"/>
        <v>818.23</v>
      </c>
      <c r="G54" s="103"/>
      <c r="H54" s="90">
        <f t="shared" si="7"/>
        <v>441.12059523809523</v>
      </c>
      <c r="I54" s="91" t="s">
        <v>377</v>
      </c>
      <c r="J54" s="91" t="s">
        <v>517</v>
      </c>
      <c r="K54" s="91" t="s">
        <v>518</v>
      </c>
      <c r="L54" s="91">
        <v>1</v>
      </c>
      <c r="M54" s="104">
        <v>50</v>
      </c>
      <c r="N54" s="91">
        <v>3.05</v>
      </c>
      <c r="O54" s="94" t="s">
        <v>224</v>
      </c>
      <c r="P54" s="95" t="s">
        <v>385</v>
      </c>
      <c r="Q54" s="89">
        <f t="shared" si="9"/>
        <v>-50</v>
      </c>
      <c r="R54" s="89">
        <f t="shared" si="2"/>
        <v>50</v>
      </c>
      <c r="S54" s="89">
        <f t="shared" si="3"/>
        <v>-50</v>
      </c>
      <c r="T54" s="89">
        <f t="shared" si="4"/>
        <v>93.22999999999999</v>
      </c>
      <c r="U54" s="96">
        <f t="shared" si="5"/>
        <v>0.11394106791488944</v>
      </c>
      <c r="V54" s="89">
        <f t="shared" si="8"/>
        <v>768.23</v>
      </c>
      <c r="W54" s="105"/>
    </row>
    <row r="55" spans="1:23">
      <c r="A55" s="87">
        <v>53</v>
      </c>
      <c r="B55" s="88">
        <v>43502</v>
      </c>
      <c r="C55" s="89">
        <f t="shared" si="6"/>
        <v>768.23</v>
      </c>
      <c r="D55" s="89"/>
      <c r="E55" s="89"/>
      <c r="F55" s="89">
        <f t="shared" si="1"/>
        <v>768.23</v>
      </c>
      <c r="G55" s="89"/>
      <c r="H55" s="90">
        <f t="shared" si="7"/>
        <v>391.12059523809523</v>
      </c>
      <c r="I55" s="91" t="s">
        <v>377</v>
      </c>
      <c r="J55" s="91" t="s">
        <v>519</v>
      </c>
      <c r="K55" s="91" t="s">
        <v>520</v>
      </c>
      <c r="L55" s="91">
        <v>1</v>
      </c>
      <c r="M55" s="104">
        <v>50</v>
      </c>
      <c r="N55" s="91">
        <v>2.58</v>
      </c>
      <c r="O55" s="94" t="s">
        <v>224</v>
      </c>
      <c r="P55" s="95" t="s">
        <v>385</v>
      </c>
      <c r="Q55" s="89">
        <f t="shared" si="9"/>
        <v>-50</v>
      </c>
      <c r="R55" s="89">
        <f t="shared" si="2"/>
        <v>100</v>
      </c>
      <c r="S55" s="89">
        <f t="shared" si="3"/>
        <v>-100</v>
      </c>
      <c r="T55" s="89">
        <f t="shared" si="4"/>
        <v>43.22999999999999</v>
      </c>
      <c r="U55" s="96">
        <f t="shared" si="5"/>
        <v>5.6272210145399147E-2</v>
      </c>
      <c r="V55" s="89">
        <f t="shared" si="8"/>
        <v>718.23</v>
      </c>
      <c r="W55" s="105"/>
    </row>
    <row r="56" spans="1:23">
      <c r="A56" s="87">
        <v>54</v>
      </c>
      <c r="B56" s="88">
        <v>43502</v>
      </c>
      <c r="C56" s="89">
        <f t="shared" si="6"/>
        <v>718.23</v>
      </c>
      <c r="D56" s="89"/>
      <c r="E56" s="89"/>
      <c r="F56" s="89">
        <f t="shared" si="1"/>
        <v>718.23</v>
      </c>
      <c r="G56" s="89"/>
      <c r="H56" s="90">
        <f t="shared" si="7"/>
        <v>341.12059523809523</v>
      </c>
      <c r="I56" s="91" t="s">
        <v>377</v>
      </c>
      <c r="J56" s="91" t="s">
        <v>521</v>
      </c>
      <c r="K56" s="91" t="s">
        <v>522</v>
      </c>
      <c r="L56" s="91">
        <v>1</v>
      </c>
      <c r="M56" s="104">
        <v>50</v>
      </c>
      <c r="N56" s="91">
        <v>2.46</v>
      </c>
      <c r="O56" s="94" t="s">
        <v>224</v>
      </c>
      <c r="P56" s="95" t="s">
        <v>385</v>
      </c>
      <c r="Q56" s="89">
        <f t="shared" si="9"/>
        <v>-50</v>
      </c>
      <c r="R56" s="89">
        <f t="shared" si="2"/>
        <v>150</v>
      </c>
      <c r="S56" s="89">
        <f t="shared" si="3"/>
        <v>-150</v>
      </c>
      <c r="T56" s="89">
        <f t="shared" si="4"/>
        <v>-6.7700000000000102</v>
      </c>
      <c r="U56" s="96">
        <f t="shared" si="5"/>
        <v>-9.4259499046266664E-3</v>
      </c>
      <c r="V56" s="89">
        <f t="shared" si="8"/>
        <v>668.23</v>
      </c>
      <c r="W56" s="105"/>
    </row>
    <row r="57" spans="1:23">
      <c r="A57" s="87">
        <v>55</v>
      </c>
      <c r="B57" s="88">
        <v>43502</v>
      </c>
      <c r="C57" s="89">
        <f t="shared" si="6"/>
        <v>668.23</v>
      </c>
      <c r="D57" s="89"/>
      <c r="E57" s="89"/>
      <c r="F57" s="89">
        <f t="shared" si="1"/>
        <v>668.23</v>
      </c>
      <c r="G57" s="89"/>
      <c r="H57" s="90">
        <f t="shared" si="7"/>
        <v>291.12059523809523</v>
      </c>
      <c r="I57" s="91" t="s">
        <v>377</v>
      </c>
      <c r="J57" s="91" t="s">
        <v>523</v>
      </c>
      <c r="K57" s="91" t="s">
        <v>524</v>
      </c>
      <c r="L57" s="91">
        <v>1</v>
      </c>
      <c r="M57" s="104">
        <v>50</v>
      </c>
      <c r="N57" s="91">
        <v>2.33</v>
      </c>
      <c r="O57" s="94" t="s">
        <v>224</v>
      </c>
      <c r="P57" s="95" t="s">
        <v>380</v>
      </c>
      <c r="Q57" s="89">
        <f t="shared" si="9"/>
        <v>66.5</v>
      </c>
      <c r="R57" s="89">
        <f t="shared" si="2"/>
        <v>200</v>
      </c>
      <c r="S57" s="89">
        <f t="shared" si="3"/>
        <v>-83.5</v>
      </c>
      <c r="T57" s="89">
        <f t="shared" si="4"/>
        <v>59.72999999999999</v>
      </c>
      <c r="U57" s="96">
        <f t="shared" si="5"/>
        <v>8.938539125750114E-2</v>
      </c>
      <c r="V57" s="89">
        <f t="shared" si="8"/>
        <v>734.73</v>
      </c>
      <c r="W57" s="105"/>
    </row>
    <row r="58" spans="1:23">
      <c r="A58" s="87">
        <v>56</v>
      </c>
      <c r="B58" s="88">
        <v>43502</v>
      </c>
      <c r="C58" s="89">
        <f t="shared" si="6"/>
        <v>734.73</v>
      </c>
      <c r="D58" s="89"/>
      <c r="E58" s="89"/>
      <c r="F58" s="89">
        <f t="shared" si="1"/>
        <v>734.73</v>
      </c>
      <c r="G58" s="89"/>
      <c r="H58" s="90">
        <f t="shared" si="7"/>
        <v>241.12059523809523</v>
      </c>
      <c r="I58" s="91" t="s">
        <v>377</v>
      </c>
      <c r="J58" s="91" t="s">
        <v>490</v>
      </c>
      <c r="K58" s="91" t="s">
        <v>525</v>
      </c>
      <c r="L58" s="91">
        <v>1</v>
      </c>
      <c r="M58" s="104">
        <v>50</v>
      </c>
      <c r="N58" s="91">
        <v>2.1</v>
      </c>
      <c r="O58" s="94" t="s">
        <v>224</v>
      </c>
      <c r="P58" s="95" t="s">
        <v>380</v>
      </c>
      <c r="Q58" s="89">
        <f t="shared" si="9"/>
        <v>55</v>
      </c>
      <c r="R58" s="89">
        <f t="shared" si="2"/>
        <v>250</v>
      </c>
      <c r="S58" s="103">
        <f t="shared" si="3"/>
        <v>-28.5</v>
      </c>
      <c r="T58" s="89">
        <f t="shared" si="4"/>
        <v>114.72999999999999</v>
      </c>
      <c r="U58" s="96">
        <f t="shared" si="5"/>
        <v>0.15615260027493091</v>
      </c>
      <c r="V58" s="89">
        <f t="shared" si="8"/>
        <v>789.73</v>
      </c>
      <c r="W58" s="124"/>
    </row>
    <row r="59" spans="1:23">
      <c r="A59" s="87">
        <v>57</v>
      </c>
      <c r="B59" s="102">
        <v>43504</v>
      </c>
      <c r="C59" s="103">
        <f t="shared" si="6"/>
        <v>789.73</v>
      </c>
      <c r="D59" s="103">
        <v>1534</v>
      </c>
      <c r="E59" s="103"/>
      <c r="F59" s="103">
        <f t="shared" si="1"/>
        <v>2323.73</v>
      </c>
      <c r="G59" s="103"/>
      <c r="H59" s="90">
        <f t="shared" si="7"/>
        <v>1252.759200680272</v>
      </c>
      <c r="I59" s="91" t="s">
        <v>377</v>
      </c>
      <c r="J59" s="125" t="s">
        <v>526</v>
      </c>
      <c r="K59" s="91" t="s">
        <v>527</v>
      </c>
      <c r="L59" s="91">
        <v>1</v>
      </c>
      <c r="M59" s="104">
        <v>340</v>
      </c>
      <c r="N59" s="91">
        <v>3.85</v>
      </c>
      <c r="O59" s="94" t="s">
        <v>224</v>
      </c>
      <c r="P59" s="95" t="s">
        <v>385</v>
      </c>
      <c r="Q59" s="89">
        <f t="shared" si="9"/>
        <v>-340</v>
      </c>
      <c r="R59" s="89">
        <f t="shared" si="2"/>
        <v>340</v>
      </c>
      <c r="S59" s="89">
        <f t="shared" si="3"/>
        <v>-340</v>
      </c>
      <c r="T59" s="89">
        <f t="shared" si="4"/>
        <v>-225.27</v>
      </c>
      <c r="U59" s="96">
        <f t="shared" si="5"/>
        <v>-9.694327654245545E-2</v>
      </c>
      <c r="V59" s="89">
        <f t="shared" si="8"/>
        <v>1983.73</v>
      </c>
      <c r="W59" s="105"/>
    </row>
    <row r="60" spans="1:23">
      <c r="A60" s="87">
        <v>58</v>
      </c>
      <c r="B60" s="88">
        <v>43504</v>
      </c>
      <c r="C60" s="89">
        <f t="shared" si="6"/>
        <v>1983.73</v>
      </c>
      <c r="D60" s="89"/>
      <c r="E60" s="89"/>
      <c r="F60" s="89">
        <f t="shared" si="1"/>
        <v>1983.73</v>
      </c>
      <c r="G60" s="89"/>
      <c r="H60" s="90">
        <f t="shared" si="7"/>
        <v>912.75920068027199</v>
      </c>
      <c r="I60" s="91" t="s">
        <v>377</v>
      </c>
      <c r="J60" s="91" t="s">
        <v>482</v>
      </c>
      <c r="K60" s="91" t="s">
        <v>528</v>
      </c>
      <c r="L60" s="91">
        <v>1</v>
      </c>
      <c r="M60" s="104">
        <v>340</v>
      </c>
      <c r="N60" s="91">
        <v>3.2</v>
      </c>
      <c r="O60" s="94" t="s">
        <v>224</v>
      </c>
      <c r="P60" s="95" t="s">
        <v>385</v>
      </c>
      <c r="Q60" s="89">
        <f t="shared" si="9"/>
        <v>-340</v>
      </c>
      <c r="R60" s="89">
        <f t="shared" si="2"/>
        <v>680</v>
      </c>
      <c r="S60" s="89">
        <f t="shared" si="3"/>
        <v>-680</v>
      </c>
      <c r="T60" s="89">
        <f t="shared" si="4"/>
        <v>-565.27</v>
      </c>
      <c r="U60" s="96">
        <f t="shared" si="5"/>
        <v>-0.28495309341493047</v>
      </c>
      <c r="V60" s="89">
        <f t="shared" si="8"/>
        <v>1643.73</v>
      </c>
      <c r="W60" s="105"/>
    </row>
    <row r="61" spans="1:23">
      <c r="A61" s="87">
        <v>59</v>
      </c>
      <c r="B61" s="88">
        <v>43504</v>
      </c>
      <c r="C61" s="89">
        <f t="shared" si="6"/>
        <v>1643.73</v>
      </c>
      <c r="D61" s="89"/>
      <c r="E61" s="89"/>
      <c r="F61" s="89">
        <f t="shared" si="1"/>
        <v>1643.73</v>
      </c>
      <c r="G61" s="89"/>
      <c r="H61" s="90">
        <f t="shared" si="7"/>
        <v>572.75920068027199</v>
      </c>
      <c r="I61" s="91" t="s">
        <v>377</v>
      </c>
      <c r="J61" s="91" t="s">
        <v>442</v>
      </c>
      <c r="K61" s="91" t="s">
        <v>529</v>
      </c>
      <c r="L61" s="91">
        <v>1</v>
      </c>
      <c r="M61" s="104">
        <v>340</v>
      </c>
      <c r="N61" s="91">
        <v>3.15</v>
      </c>
      <c r="O61" s="94" t="s">
        <v>224</v>
      </c>
      <c r="P61" s="95" t="s">
        <v>385</v>
      </c>
      <c r="Q61" s="89">
        <f t="shared" si="9"/>
        <v>-340</v>
      </c>
      <c r="R61" s="89">
        <f t="shared" si="2"/>
        <v>1020</v>
      </c>
      <c r="S61" s="89">
        <f t="shared" si="3"/>
        <v>-1020</v>
      </c>
      <c r="T61" s="89">
        <f t="shared" si="4"/>
        <v>-905.27</v>
      </c>
      <c r="U61" s="96">
        <f t="shared" si="5"/>
        <v>-0.550741301795307</v>
      </c>
      <c r="V61" s="89">
        <f t="shared" si="8"/>
        <v>1303.73</v>
      </c>
      <c r="W61" s="105"/>
    </row>
    <row r="62" spans="1:23">
      <c r="A62" s="87">
        <v>60</v>
      </c>
      <c r="B62" s="88">
        <v>43504</v>
      </c>
      <c r="C62" s="89">
        <f t="shared" si="6"/>
        <v>1303.73</v>
      </c>
      <c r="D62" s="89"/>
      <c r="E62" s="89"/>
      <c r="F62" s="89">
        <f t="shared" si="1"/>
        <v>1303.73</v>
      </c>
      <c r="G62" s="89"/>
      <c r="H62" s="90">
        <f t="shared" si="7"/>
        <v>232.75920068027199</v>
      </c>
      <c r="I62" s="91" t="s">
        <v>377</v>
      </c>
      <c r="J62" s="91" t="s">
        <v>442</v>
      </c>
      <c r="K62" s="91" t="s">
        <v>530</v>
      </c>
      <c r="L62" s="91">
        <v>1</v>
      </c>
      <c r="M62" s="104">
        <v>340</v>
      </c>
      <c r="N62" s="91">
        <v>2.2200000000000002</v>
      </c>
      <c r="O62" s="94" t="s">
        <v>224</v>
      </c>
      <c r="P62" s="95" t="s">
        <v>385</v>
      </c>
      <c r="Q62" s="89">
        <f t="shared" si="9"/>
        <v>-340</v>
      </c>
      <c r="R62" s="89">
        <f t="shared" si="2"/>
        <v>1360</v>
      </c>
      <c r="S62" s="103">
        <f t="shared" si="3"/>
        <v>-1360</v>
      </c>
      <c r="T62" s="89">
        <f t="shared" si="4"/>
        <v>-1245.27</v>
      </c>
      <c r="U62" s="96">
        <f t="shared" si="5"/>
        <v>-0.95515942718200852</v>
      </c>
      <c r="V62" s="89">
        <f t="shared" si="8"/>
        <v>963.73</v>
      </c>
      <c r="W62" s="105"/>
    </row>
    <row r="63" spans="1:23">
      <c r="A63" s="87">
        <v>61</v>
      </c>
      <c r="B63" s="102">
        <v>43505</v>
      </c>
      <c r="C63" s="103">
        <f t="shared" si="6"/>
        <v>963.73</v>
      </c>
      <c r="D63" s="103"/>
      <c r="E63" s="103"/>
      <c r="F63" s="103">
        <f t="shared" si="1"/>
        <v>963.73</v>
      </c>
      <c r="G63" s="103"/>
      <c r="H63" s="90">
        <f t="shared" si="7"/>
        <v>519.56192176870752</v>
      </c>
      <c r="I63" s="91" t="s">
        <v>377</v>
      </c>
      <c r="J63" s="91" t="s">
        <v>531</v>
      </c>
      <c r="K63" s="91" t="s">
        <v>532</v>
      </c>
      <c r="L63" s="91">
        <v>1</v>
      </c>
      <c r="M63" s="104">
        <v>52</v>
      </c>
      <c r="N63" s="95">
        <v>5.5</v>
      </c>
      <c r="O63" s="94" t="s">
        <v>224</v>
      </c>
      <c r="P63" s="95" t="s">
        <v>380</v>
      </c>
      <c r="Q63" s="89">
        <f t="shared" si="9"/>
        <v>234</v>
      </c>
      <c r="R63" s="89">
        <f t="shared" si="2"/>
        <v>52</v>
      </c>
      <c r="S63" s="89">
        <f t="shared" si="3"/>
        <v>234</v>
      </c>
      <c r="T63" s="89">
        <f t="shared" si="4"/>
        <v>-1011.27</v>
      </c>
      <c r="U63" s="96">
        <f t="shared" si="5"/>
        <v>-1.0493291689581106</v>
      </c>
      <c r="V63" s="89">
        <f t="shared" si="8"/>
        <v>1197.73</v>
      </c>
      <c r="W63" s="105"/>
    </row>
    <row r="64" spans="1:23">
      <c r="A64" s="87">
        <v>62</v>
      </c>
      <c r="B64" s="88">
        <v>43505</v>
      </c>
      <c r="C64" s="89">
        <f t="shared" si="6"/>
        <v>1197.73</v>
      </c>
      <c r="D64" s="89"/>
      <c r="E64" s="89"/>
      <c r="F64" s="89">
        <f t="shared" si="1"/>
        <v>1197.73</v>
      </c>
      <c r="G64" s="89"/>
      <c r="H64" s="90">
        <f t="shared" si="7"/>
        <v>467.56192176870752</v>
      </c>
      <c r="I64" s="91" t="s">
        <v>377</v>
      </c>
      <c r="J64" s="91" t="s">
        <v>479</v>
      </c>
      <c r="K64" s="91" t="s">
        <v>533</v>
      </c>
      <c r="L64" s="91">
        <v>1</v>
      </c>
      <c r="M64" s="104">
        <v>52</v>
      </c>
      <c r="N64" s="95">
        <v>2.77</v>
      </c>
      <c r="O64" s="94" t="s">
        <v>224</v>
      </c>
      <c r="P64" s="95" t="s">
        <v>385</v>
      </c>
      <c r="Q64" s="89">
        <f t="shared" si="9"/>
        <v>-52</v>
      </c>
      <c r="R64" s="89">
        <f t="shared" si="2"/>
        <v>104</v>
      </c>
      <c r="S64" s="89">
        <f t="shared" si="3"/>
        <v>182</v>
      </c>
      <c r="T64" s="89">
        <f t="shared" si="4"/>
        <v>-1063.27</v>
      </c>
      <c r="U64" s="96">
        <f t="shared" si="5"/>
        <v>-0.88773763703004849</v>
      </c>
      <c r="V64" s="89">
        <f t="shared" si="8"/>
        <v>1145.73</v>
      </c>
      <c r="W64" s="105"/>
    </row>
    <row r="65" spans="1:23">
      <c r="A65" s="87">
        <v>63</v>
      </c>
      <c r="B65" s="88">
        <v>43505</v>
      </c>
      <c r="C65" s="89">
        <f t="shared" si="6"/>
        <v>1145.73</v>
      </c>
      <c r="D65" s="89"/>
      <c r="E65" s="89"/>
      <c r="F65" s="89">
        <f t="shared" si="1"/>
        <v>1145.73</v>
      </c>
      <c r="G65" s="89"/>
      <c r="H65" s="90">
        <f t="shared" si="7"/>
        <v>415.56192176870752</v>
      </c>
      <c r="I65" s="91" t="s">
        <v>377</v>
      </c>
      <c r="J65" s="91" t="s">
        <v>492</v>
      </c>
      <c r="K65" s="91" t="s">
        <v>534</v>
      </c>
      <c r="L65" s="91">
        <v>1</v>
      </c>
      <c r="M65" s="104">
        <v>52</v>
      </c>
      <c r="N65" s="95">
        <v>2.77</v>
      </c>
      <c r="O65" s="94" t="s">
        <v>224</v>
      </c>
      <c r="P65" s="95" t="s">
        <v>385</v>
      </c>
      <c r="Q65" s="89">
        <f t="shared" si="9"/>
        <v>-52</v>
      </c>
      <c r="R65" s="89">
        <f t="shared" si="2"/>
        <v>156</v>
      </c>
      <c r="S65" s="89">
        <f t="shared" si="3"/>
        <v>130</v>
      </c>
      <c r="T65" s="89">
        <f t="shared" si="4"/>
        <v>-1115.27</v>
      </c>
      <c r="U65" s="96">
        <f t="shared" si="5"/>
        <v>-0.97341432972864461</v>
      </c>
      <c r="V65" s="89">
        <f t="shared" si="8"/>
        <v>1093.73</v>
      </c>
      <c r="W65" s="105"/>
    </row>
    <row r="66" spans="1:23">
      <c r="A66" s="87">
        <v>64</v>
      </c>
      <c r="B66" s="88">
        <v>43505</v>
      </c>
      <c r="C66" s="89">
        <f t="shared" si="6"/>
        <v>1093.73</v>
      </c>
      <c r="D66" s="89"/>
      <c r="E66" s="89"/>
      <c r="F66" s="89">
        <f t="shared" si="1"/>
        <v>1093.73</v>
      </c>
      <c r="G66" s="89"/>
      <c r="H66" s="90">
        <f t="shared" si="7"/>
        <v>363.56192176870752</v>
      </c>
      <c r="I66" s="91" t="s">
        <v>377</v>
      </c>
      <c r="J66" s="91" t="s">
        <v>389</v>
      </c>
      <c r="K66" s="91" t="s">
        <v>535</v>
      </c>
      <c r="L66" s="91">
        <v>1</v>
      </c>
      <c r="M66" s="104">
        <v>52</v>
      </c>
      <c r="N66" s="95">
        <v>2.56</v>
      </c>
      <c r="O66" s="94" t="s">
        <v>224</v>
      </c>
      <c r="P66" s="95" t="s">
        <v>385</v>
      </c>
      <c r="Q66" s="89">
        <f t="shared" si="9"/>
        <v>-52</v>
      </c>
      <c r="R66" s="89">
        <f t="shared" si="2"/>
        <v>208</v>
      </c>
      <c r="S66" s="89">
        <f t="shared" si="3"/>
        <v>78</v>
      </c>
      <c r="T66" s="89">
        <f t="shared" si="4"/>
        <v>-1167.27</v>
      </c>
      <c r="U66" s="96">
        <f t="shared" si="5"/>
        <v>-1.0672378009197883</v>
      </c>
      <c r="V66" s="89">
        <f t="shared" si="8"/>
        <v>1041.73</v>
      </c>
      <c r="W66" s="105"/>
    </row>
    <row r="67" spans="1:23">
      <c r="A67" s="87">
        <v>65</v>
      </c>
      <c r="B67" s="88">
        <v>43505</v>
      </c>
      <c r="C67" s="89">
        <f t="shared" si="6"/>
        <v>1041.73</v>
      </c>
      <c r="D67" s="89"/>
      <c r="E67" s="89"/>
      <c r="F67" s="89">
        <f t="shared" si="1"/>
        <v>1041.73</v>
      </c>
      <c r="G67" s="89"/>
      <c r="H67" s="90">
        <f t="shared" si="7"/>
        <v>311.56192176870752</v>
      </c>
      <c r="I67" s="91" t="s">
        <v>377</v>
      </c>
      <c r="J67" s="91" t="s">
        <v>536</v>
      </c>
      <c r="K67" s="91" t="s">
        <v>537</v>
      </c>
      <c r="L67" s="91">
        <v>1</v>
      </c>
      <c r="M67" s="104">
        <v>52</v>
      </c>
      <c r="N67" s="95">
        <v>2.5299999999999998</v>
      </c>
      <c r="O67" s="94" t="s">
        <v>224</v>
      </c>
      <c r="P67" s="95" t="s">
        <v>380</v>
      </c>
      <c r="Q67" s="89">
        <f t="shared" si="9"/>
        <v>79.56</v>
      </c>
      <c r="R67" s="89">
        <f t="shared" si="2"/>
        <v>260</v>
      </c>
      <c r="S67" s="89">
        <f t="shared" si="3"/>
        <v>157.56</v>
      </c>
      <c r="T67" s="89">
        <f t="shared" si="4"/>
        <v>-1087.71</v>
      </c>
      <c r="U67" s="96">
        <f t="shared" si="5"/>
        <v>-1.0441381164025227</v>
      </c>
      <c r="V67" s="89">
        <f t="shared" si="8"/>
        <v>1121.29</v>
      </c>
      <c r="W67" s="105"/>
    </row>
    <row r="68" spans="1:23">
      <c r="A68" s="87">
        <v>66</v>
      </c>
      <c r="B68" s="88">
        <v>43505</v>
      </c>
      <c r="C68" s="89">
        <f t="shared" si="6"/>
        <v>1121.29</v>
      </c>
      <c r="D68" s="89"/>
      <c r="E68" s="89"/>
      <c r="F68" s="89">
        <f t="shared" ref="F68:F131" si="10">+C68+D68-E68</f>
        <v>1121.29</v>
      </c>
      <c r="G68" s="89"/>
      <c r="H68" s="90">
        <f t="shared" si="7"/>
        <v>259.56192176870752</v>
      </c>
      <c r="I68" s="91" t="s">
        <v>377</v>
      </c>
      <c r="J68" s="91" t="s">
        <v>486</v>
      </c>
      <c r="K68" s="91" t="s">
        <v>538</v>
      </c>
      <c r="L68" s="91">
        <v>1</v>
      </c>
      <c r="M68" s="104">
        <v>52</v>
      </c>
      <c r="N68" s="95">
        <v>2.36</v>
      </c>
      <c r="O68" s="94" t="s">
        <v>224</v>
      </c>
      <c r="P68" s="95" t="s">
        <v>380</v>
      </c>
      <c r="Q68" s="89">
        <f t="shared" si="9"/>
        <v>70.72</v>
      </c>
      <c r="R68" s="89">
        <f t="shared" ref="R68:R131" si="11">IF(B68=B67,M68+R67,M68)</f>
        <v>312</v>
      </c>
      <c r="S68" s="89">
        <f t="shared" ref="S68:S131" si="12">IF(B68=B67,+Q68+S67,Q68)</f>
        <v>228.28</v>
      </c>
      <c r="T68" s="89">
        <f t="shared" ref="T68:T131" si="13">IF(MONTH(B68)=MONTH(B67),T67+Q68,Q68)</f>
        <v>-1016.99</v>
      </c>
      <c r="U68" s="96">
        <f t="shared" ref="U68:U131" si="14">T68/F68</f>
        <v>-0.90698213664618432</v>
      </c>
      <c r="V68" s="89">
        <f t="shared" si="8"/>
        <v>1192.01</v>
      </c>
      <c r="W68" s="105"/>
    </row>
    <row r="69" spans="1:23">
      <c r="A69" s="87">
        <v>67</v>
      </c>
      <c r="B69" s="88">
        <v>43505</v>
      </c>
      <c r="C69" s="89">
        <f t="shared" ref="C69:C132" si="15">+V68</f>
        <v>1192.01</v>
      </c>
      <c r="D69" s="89"/>
      <c r="E69" s="89"/>
      <c r="F69" s="89">
        <f t="shared" si="10"/>
        <v>1192.01</v>
      </c>
      <c r="G69" s="89"/>
      <c r="H69" s="90">
        <f t="shared" ref="H69:H104" si="16">IF(B69=B68,H68-M68,F69*$AB$3)</f>
        <v>207.56192176870752</v>
      </c>
      <c r="I69" s="91" t="s">
        <v>377</v>
      </c>
      <c r="J69" s="91" t="s">
        <v>490</v>
      </c>
      <c r="K69" s="91" t="s">
        <v>539</v>
      </c>
      <c r="L69" s="91">
        <v>1</v>
      </c>
      <c r="M69" s="104">
        <v>52</v>
      </c>
      <c r="N69" s="95">
        <v>2.44</v>
      </c>
      <c r="O69" s="94" t="s">
        <v>224</v>
      </c>
      <c r="P69" s="95" t="s">
        <v>385</v>
      </c>
      <c r="Q69" s="89">
        <f t="shared" si="9"/>
        <v>-52</v>
      </c>
      <c r="R69" s="89">
        <f t="shared" si="11"/>
        <v>364</v>
      </c>
      <c r="S69" s="89">
        <f t="shared" si="12"/>
        <v>176.28</v>
      </c>
      <c r="T69" s="89">
        <f t="shared" si="13"/>
        <v>-1068.99</v>
      </c>
      <c r="U69" s="96">
        <f t="shared" si="14"/>
        <v>-0.89679616781738414</v>
      </c>
      <c r="V69" s="89">
        <f t="shared" ref="V69:V132" si="17">+F69+Q69</f>
        <v>1140.01</v>
      </c>
      <c r="W69" s="105"/>
    </row>
    <row r="70" spans="1:23">
      <c r="A70" s="87">
        <v>68</v>
      </c>
      <c r="B70" s="88">
        <v>43505</v>
      </c>
      <c r="C70" s="89">
        <f t="shared" si="15"/>
        <v>1140.01</v>
      </c>
      <c r="D70" s="89"/>
      <c r="E70" s="89"/>
      <c r="F70" s="89">
        <f t="shared" si="10"/>
        <v>1140.01</v>
      </c>
      <c r="G70" s="89"/>
      <c r="H70" s="90">
        <f t="shared" si="16"/>
        <v>155.56192176870752</v>
      </c>
      <c r="I70" s="91" t="s">
        <v>377</v>
      </c>
      <c r="J70" s="91" t="s">
        <v>479</v>
      </c>
      <c r="K70" s="91" t="s">
        <v>540</v>
      </c>
      <c r="L70" s="91">
        <v>1</v>
      </c>
      <c r="M70" s="104">
        <v>52</v>
      </c>
      <c r="N70" s="95">
        <v>2.2200000000000002</v>
      </c>
      <c r="O70" s="94" t="s">
        <v>224</v>
      </c>
      <c r="P70" s="95" t="s">
        <v>385</v>
      </c>
      <c r="Q70" s="89">
        <f t="shared" si="9"/>
        <v>-52</v>
      </c>
      <c r="R70" s="89">
        <f t="shared" si="11"/>
        <v>416</v>
      </c>
      <c r="S70" s="89">
        <f t="shared" si="12"/>
        <v>124.28</v>
      </c>
      <c r="T70" s="89">
        <f t="shared" si="13"/>
        <v>-1120.99</v>
      </c>
      <c r="U70" s="96">
        <f t="shared" si="14"/>
        <v>-0.98331593582512433</v>
      </c>
      <c r="V70" s="89">
        <f t="shared" si="17"/>
        <v>1088.01</v>
      </c>
      <c r="W70" s="105"/>
    </row>
    <row r="71" spans="1:23">
      <c r="A71" s="87">
        <v>69</v>
      </c>
      <c r="B71" s="88">
        <v>43505</v>
      </c>
      <c r="C71" s="89">
        <f t="shared" si="15"/>
        <v>1088.01</v>
      </c>
      <c r="D71" s="89"/>
      <c r="E71" s="89"/>
      <c r="F71" s="89">
        <f t="shared" si="10"/>
        <v>1088.01</v>
      </c>
      <c r="G71" s="89"/>
      <c r="H71" s="90">
        <f t="shared" si="16"/>
        <v>103.56192176870752</v>
      </c>
      <c r="I71" s="91" t="s">
        <v>377</v>
      </c>
      <c r="J71" s="91" t="s">
        <v>482</v>
      </c>
      <c r="K71" s="91" t="s">
        <v>541</v>
      </c>
      <c r="L71" s="91">
        <v>1</v>
      </c>
      <c r="M71" s="104">
        <v>52</v>
      </c>
      <c r="N71" s="95">
        <v>2.1800000000000002</v>
      </c>
      <c r="O71" s="94" t="s">
        <v>224</v>
      </c>
      <c r="P71" s="95" t="s">
        <v>385</v>
      </c>
      <c r="Q71" s="89">
        <f t="shared" si="9"/>
        <v>-52</v>
      </c>
      <c r="R71" s="89">
        <f t="shared" si="11"/>
        <v>468</v>
      </c>
      <c r="S71" s="89">
        <f t="shared" si="12"/>
        <v>72.28</v>
      </c>
      <c r="T71" s="89">
        <f t="shared" si="13"/>
        <v>-1172.99</v>
      </c>
      <c r="U71" s="96">
        <f t="shared" si="14"/>
        <v>-1.0781058997619508</v>
      </c>
      <c r="V71" s="89">
        <f t="shared" si="17"/>
        <v>1036.01</v>
      </c>
      <c r="W71" s="105"/>
    </row>
    <row r="72" spans="1:23">
      <c r="A72" s="87">
        <v>70</v>
      </c>
      <c r="B72" s="88">
        <v>43505</v>
      </c>
      <c r="C72" s="89">
        <f t="shared" si="15"/>
        <v>1036.01</v>
      </c>
      <c r="D72" s="89"/>
      <c r="E72" s="89"/>
      <c r="F72" s="89">
        <f t="shared" si="10"/>
        <v>1036.01</v>
      </c>
      <c r="G72" s="89"/>
      <c r="H72" s="90">
        <f t="shared" si="16"/>
        <v>51.561921768707521</v>
      </c>
      <c r="I72" s="91" t="s">
        <v>377</v>
      </c>
      <c r="J72" s="91" t="s">
        <v>465</v>
      </c>
      <c r="K72" s="91" t="s">
        <v>542</v>
      </c>
      <c r="L72" s="91">
        <v>1</v>
      </c>
      <c r="M72" s="104">
        <v>52</v>
      </c>
      <c r="N72" s="95">
        <v>2.1800000000000002</v>
      </c>
      <c r="O72" s="94" t="s">
        <v>224</v>
      </c>
      <c r="P72" s="95" t="s">
        <v>385</v>
      </c>
      <c r="Q72" s="89">
        <f t="shared" si="9"/>
        <v>-52</v>
      </c>
      <c r="R72" s="89">
        <f t="shared" si="11"/>
        <v>520</v>
      </c>
      <c r="S72" s="89">
        <f t="shared" si="12"/>
        <v>20.28</v>
      </c>
      <c r="T72" s="89">
        <f t="shared" si="13"/>
        <v>-1224.99</v>
      </c>
      <c r="U72" s="96">
        <f t="shared" si="14"/>
        <v>-1.1824113666856497</v>
      </c>
      <c r="V72" s="89">
        <f t="shared" si="17"/>
        <v>984.01</v>
      </c>
      <c r="W72" s="105"/>
    </row>
    <row r="73" spans="1:23">
      <c r="A73" s="87">
        <v>71</v>
      </c>
      <c r="B73" s="88">
        <v>43505</v>
      </c>
      <c r="C73" s="89">
        <f t="shared" si="15"/>
        <v>984.01</v>
      </c>
      <c r="D73" s="89"/>
      <c r="E73" s="89"/>
      <c r="F73" s="89">
        <f t="shared" si="10"/>
        <v>984.01</v>
      </c>
      <c r="G73" s="89"/>
      <c r="H73" s="90">
        <f t="shared" si="16"/>
        <v>-0.43807823129247936</v>
      </c>
      <c r="I73" s="91" t="s">
        <v>377</v>
      </c>
      <c r="J73" s="91" t="s">
        <v>486</v>
      </c>
      <c r="K73" s="91" t="s">
        <v>543</v>
      </c>
      <c r="L73" s="91">
        <v>1</v>
      </c>
      <c r="M73" s="104">
        <v>52</v>
      </c>
      <c r="N73" s="95">
        <v>2.1</v>
      </c>
      <c r="O73" s="94" t="s">
        <v>224</v>
      </c>
      <c r="P73" s="95" t="s">
        <v>385</v>
      </c>
      <c r="Q73" s="89">
        <f t="shared" si="9"/>
        <v>-52</v>
      </c>
      <c r="R73" s="89">
        <f t="shared" si="11"/>
        <v>572</v>
      </c>
      <c r="S73" s="103">
        <f t="shared" si="12"/>
        <v>-31.72</v>
      </c>
      <c r="T73" s="89">
        <f t="shared" si="13"/>
        <v>-1276.99</v>
      </c>
      <c r="U73" s="96">
        <f t="shared" si="14"/>
        <v>-1.2977408766171075</v>
      </c>
      <c r="V73" s="89">
        <f t="shared" si="17"/>
        <v>932.01</v>
      </c>
      <c r="W73" s="105"/>
    </row>
    <row r="74" spans="1:23">
      <c r="A74" s="87">
        <v>72</v>
      </c>
      <c r="B74" s="102">
        <v>43506</v>
      </c>
      <c r="C74" s="103">
        <f t="shared" si="15"/>
        <v>932.01</v>
      </c>
      <c r="D74" s="103"/>
      <c r="E74" s="103"/>
      <c r="F74" s="103">
        <f t="shared" si="10"/>
        <v>932.01</v>
      </c>
      <c r="G74" s="103"/>
      <c r="H74" s="90">
        <f t="shared" si="16"/>
        <v>502.46117346938775</v>
      </c>
      <c r="I74" s="91" t="s">
        <v>377</v>
      </c>
      <c r="J74" s="91" t="s">
        <v>521</v>
      </c>
      <c r="K74" s="91" t="s">
        <v>544</v>
      </c>
      <c r="L74" s="91">
        <v>1</v>
      </c>
      <c r="M74" s="104">
        <v>50</v>
      </c>
      <c r="N74" s="95">
        <v>4</v>
      </c>
      <c r="O74" s="94" t="s">
        <v>224</v>
      </c>
      <c r="P74" s="95" t="s">
        <v>385</v>
      </c>
      <c r="Q74" s="89">
        <f t="shared" si="9"/>
        <v>-50</v>
      </c>
      <c r="R74" s="89">
        <f t="shared" si="11"/>
        <v>50</v>
      </c>
      <c r="S74" s="89">
        <f t="shared" si="12"/>
        <v>-50</v>
      </c>
      <c r="T74" s="89">
        <f t="shared" si="13"/>
        <v>-1326.99</v>
      </c>
      <c r="U74" s="96">
        <f t="shared" si="14"/>
        <v>-1.4237937361187112</v>
      </c>
      <c r="V74" s="89">
        <f t="shared" si="17"/>
        <v>882.01</v>
      </c>
      <c r="W74" s="105"/>
    </row>
    <row r="75" spans="1:23">
      <c r="A75" s="87">
        <v>73</v>
      </c>
      <c r="B75" s="88">
        <v>43506</v>
      </c>
      <c r="C75" s="89">
        <f t="shared" si="15"/>
        <v>882.01</v>
      </c>
      <c r="D75" s="89"/>
      <c r="E75" s="89"/>
      <c r="F75" s="89">
        <f t="shared" si="10"/>
        <v>882.01</v>
      </c>
      <c r="G75" s="89"/>
      <c r="H75" s="90">
        <f t="shared" si="16"/>
        <v>452.46117346938775</v>
      </c>
      <c r="I75" s="91" t="s">
        <v>377</v>
      </c>
      <c r="J75" s="91" t="s">
        <v>526</v>
      </c>
      <c r="K75" s="91" t="s">
        <v>545</v>
      </c>
      <c r="L75" s="91">
        <v>1</v>
      </c>
      <c r="M75" s="104">
        <v>50</v>
      </c>
      <c r="N75" s="95">
        <v>3.4</v>
      </c>
      <c r="O75" s="94" t="s">
        <v>224</v>
      </c>
      <c r="P75" s="95" t="s">
        <v>385</v>
      </c>
      <c r="Q75" s="89">
        <f t="shared" si="9"/>
        <v>-50</v>
      </c>
      <c r="R75" s="89">
        <f t="shared" si="11"/>
        <v>100</v>
      </c>
      <c r="S75" s="89">
        <f t="shared" si="12"/>
        <v>-100</v>
      </c>
      <c r="T75" s="89">
        <f t="shared" si="13"/>
        <v>-1376.99</v>
      </c>
      <c r="U75" s="96">
        <f t="shared" si="14"/>
        <v>-1.561195451298738</v>
      </c>
      <c r="V75" s="89">
        <f t="shared" si="17"/>
        <v>832.01</v>
      </c>
      <c r="W75" s="105"/>
    </row>
    <row r="76" spans="1:23">
      <c r="A76" s="87">
        <v>74</v>
      </c>
      <c r="B76" s="88">
        <v>43506</v>
      </c>
      <c r="C76" s="89">
        <f t="shared" si="15"/>
        <v>832.01</v>
      </c>
      <c r="D76" s="89"/>
      <c r="E76" s="89"/>
      <c r="F76" s="89">
        <f t="shared" si="10"/>
        <v>832.01</v>
      </c>
      <c r="G76" s="89"/>
      <c r="H76" s="90">
        <f t="shared" si="16"/>
        <v>402.46117346938775</v>
      </c>
      <c r="I76" s="91" t="s">
        <v>377</v>
      </c>
      <c r="J76" s="91" t="s">
        <v>521</v>
      </c>
      <c r="K76" s="91" t="s">
        <v>546</v>
      </c>
      <c r="L76" s="91">
        <v>1</v>
      </c>
      <c r="M76" s="104">
        <v>50</v>
      </c>
      <c r="N76" s="95">
        <v>2.92</v>
      </c>
      <c r="O76" s="94" t="s">
        <v>224</v>
      </c>
      <c r="P76" s="95" t="s">
        <v>380</v>
      </c>
      <c r="Q76" s="89">
        <f t="shared" si="9"/>
        <v>96</v>
      </c>
      <c r="R76" s="89">
        <f t="shared" si="11"/>
        <v>150</v>
      </c>
      <c r="S76" s="89">
        <f t="shared" si="12"/>
        <v>-4</v>
      </c>
      <c r="T76" s="89">
        <f t="shared" si="13"/>
        <v>-1280.99</v>
      </c>
      <c r="U76" s="96">
        <f t="shared" si="14"/>
        <v>-1.5396329371041213</v>
      </c>
      <c r="V76" s="89">
        <f t="shared" si="17"/>
        <v>928.01</v>
      </c>
      <c r="W76" s="105"/>
    </row>
    <row r="77" spans="1:23">
      <c r="A77" s="87">
        <v>75</v>
      </c>
      <c r="B77" s="88">
        <v>43506</v>
      </c>
      <c r="C77" s="89">
        <f t="shared" si="15"/>
        <v>928.01</v>
      </c>
      <c r="D77" s="89"/>
      <c r="E77" s="89"/>
      <c r="F77" s="89">
        <f t="shared" si="10"/>
        <v>928.01</v>
      </c>
      <c r="G77" s="89"/>
      <c r="H77" s="90">
        <f t="shared" si="16"/>
        <v>352.46117346938775</v>
      </c>
      <c r="I77" s="91" t="s">
        <v>377</v>
      </c>
      <c r="J77" s="91" t="s">
        <v>526</v>
      </c>
      <c r="K77" s="91" t="s">
        <v>547</v>
      </c>
      <c r="L77" s="91">
        <v>1</v>
      </c>
      <c r="M77" s="104">
        <v>50</v>
      </c>
      <c r="N77" s="95">
        <v>2.76</v>
      </c>
      <c r="O77" s="94" t="s">
        <v>224</v>
      </c>
      <c r="P77" s="95" t="s">
        <v>385</v>
      </c>
      <c r="Q77" s="89">
        <f t="shared" si="9"/>
        <v>-50</v>
      </c>
      <c r="R77" s="89">
        <f t="shared" si="11"/>
        <v>200</v>
      </c>
      <c r="S77" s="89">
        <f t="shared" si="12"/>
        <v>-54</v>
      </c>
      <c r="T77" s="89">
        <f t="shared" si="13"/>
        <v>-1330.99</v>
      </c>
      <c r="U77" s="96">
        <f t="shared" si="14"/>
        <v>-1.4342410103339405</v>
      </c>
      <c r="V77" s="89">
        <f t="shared" si="17"/>
        <v>878.01</v>
      </c>
      <c r="W77" s="105"/>
    </row>
    <row r="78" spans="1:23">
      <c r="A78" s="87">
        <v>76</v>
      </c>
      <c r="B78" s="88">
        <v>43506</v>
      </c>
      <c r="C78" s="89">
        <f t="shared" si="15"/>
        <v>878.01</v>
      </c>
      <c r="D78" s="89"/>
      <c r="E78" s="89"/>
      <c r="F78" s="89">
        <f t="shared" si="10"/>
        <v>878.01</v>
      </c>
      <c r="G78" s="89"/>
      <c r="H78" s="90">
        <f t="shared" si="16"/>
        <v>302.46117346938775</v>
      </c>
      <c r="I78" s="91" t="s">
        <v>377</v>
      </c>
      <c r="J78" s="91" t="s">
        <v>490</v>
      </c>
      <c r="K78" s="91" t="s">
        <v>548</v>
      </c>
      <c r="L78" s="91">
        <v>1</v>
      </c>
      <c r="M78" s="104">
        <v>50</v>
      </c>
      <c r="N78" s="95">
        <v>2.6</v>
      </c>
      <c r="O78" s="94" t="s">
        <v>224</v>
      </c>
      <c r="P78" s="95" t="s">
        <v>380</v>
      </c>
      <c r="Q78" s="89">
        <f t="shared" si="9"/>
        <v>80</v>
      </c>
      <c r="R78" s="89">
        <f t="shared" si="11"/>
        <v>250</v>
      </c>
      <c r="S78" s="89">
        <f t="shared" si="12"/>
        <v>26</v>
      </c>
      <c r="T78" s="89">
        <f t="shared" si="13"/>
        <v>-1250.99</v>
      </c>
      <c r="U78" s="96">
        <f t="shared" si="14"/>
        <v>-1.4248015398457876</v>
      </c>
      <c r="V78" s="89">
        <f t="shared" si="17"/>
        <v>958.01</v>
      </c>
      <c r="W78" s="105"/>
    </row>
    <row r="79" spans="1:23">
      <c r="A79" s="87">
        <v>77</v>
      </c>
      <c r="B79" s="88">
        <v>43506</v>
      </c>
      <c r="C79" s="89">
        <f t="shared" si="15"/>
        <v>958.01</v>
      </c>
      <c r="D79" s="89"/>
      <c r="E79" s="89"/>
      <c r="F79" s="89">
        <f t="shared" si="10"/>
        <v>958.01</v>
      </c>
      <c r="G79" s="89"/>
      <c r="H79" s="90">
        <f t="shared" si="16"/>
        <v>252.46117346938775</v>
      </c>
      <c r="I79" s="91" t="s">
        <v>377</v>
      </c>
      <c r="J79" s="91" t="s">
        <v>508</v>
      </c>
      <c r="K79" s="91" t="s">
        <v>549</v>
      </c>
      <c r="L79" s="91">
        <v>1</v>
      </c>
      <c r="M79" s="104">
        <v>50</v>
      </c>
      <c r="N79" s="95">
        <v>2.57</v>
      </c>
      <c r="O79" s="94" t="s">
        <v>224</v>
      </c>
      <c r="P79" s="95" t="s">
        <v>385</v>
      </c>
      <c r="Q79" s="89">
        <f t="shared" si="9"/>
        <v>-50</v>
      </c>
      <c r="R79" s="89">
        <f t="shared" si="11"/>
        <v>300</v>
      </c>
      <c r="S79" s="89">
        <f t="shared" si="12"/>
        <v>-24</v>
      </c>
      <c r="T79" s="89">
        <f t="shared" si="13"/>
        <v>-1300.99</v>
      </c>
      <c r="U79" s="96">
        <f t="shared" si="14"/>
        <v>-1.358012964374067</v>
      </c>
      <c r="V79" s="89">
        <f t="shared" si="17"/>
        <v>908.01</v>
      </c>
      <c r="W79" s="105"/>
    </row>
    <row r="80" spans="1:23">
      <c r="A80" s="87">
        <v>78</v>
      </c>
      <c r="B80" s="88">
        <v>43506</v>
      </c>
      <c r="C80" s="89">
        <f t="shared" si="15"/>
        <v>908.01</v>
      </c>
      <c r="D80" s="89"/>
      <c r="E80" s="89"/>
      <c r="F80" s="89">
        <f t="shared" si="10"/>
        <v>908.01</v>
      </c>
      <c r="G80" s="89"/>
      <c r="H80" s="90">
        <f t="shared" si="16"/>
        <v>202.46117346938775</v>
      </c>
      <c r="I80" s="91" t="s">
        <v>377</v>
      </c>
      <c r="J80" s="91" t="s">
        <v>526</v>
      </c>
      <c r="K80" s="91" t="s">
        <v>550</v>
      </c>
      <c r="L80" s="91">
        <v>1</v>
      </c>
      <c r="M80" s="104">
        <v>50</v>
      </c>
      <c r="N80" s="95">
        <v>2.35</v>
      </c>
      <c r="O80" s="94" t="s">
        <v>224</v>
      </c>
      <c r="P80" s="95" t="s">
        <v>385</v>
      </c>
      <c r="Q80" s="89">
        <f t="shared" si="9"/>
        <v>-50</v>
      </c>
      <c r="R80" s="89">
        <f t="shared" si="11"/>
        <v>350</v>
      </c>
      <c r="S80" s="89">
        <f t="shared" si="12"/>
        <v>-74</v>
      </c>
      <c r="T80" s="89">
        <f t="shared" si="13"/>
        <v>-1350.99</v>
      </c>
      <c r="U80" s="96">
        <f t="shared" si="14"/>
        <v>-1.4878580632371889</v>
      </c>
      <c r="V80" s="89">
        <f t="shared" si="17"/>
        <v>858.01</v>
      </c>
      <c r="W80" s="105"/>
    </row>
    <row r="81" spans="1:23">
      <c r="A81" s="87">
        <v>79</v>
      </c>
      <c r="B81" s="88">
        <v>43506</v>
      </c>
      <c r="C81" s="89">
        <f t="shared" si="15"/>
        <v>858.01</v>
      </c>
      <c r="D81" s="89"/>
      <c r="E81" s="89"/>
      <c r="F81" s="89">
        <f t="shared" si="10"/>
        <v>858.01</v>
      </c>
      <c r="G81" s="89"/>
      <c r="H81" s="90">
        <f t="shared" si="16"/>
        <v>152.46117346938775</v>
      </c>
      <c r="I81" s="91" t="s">
        <v>377</v>
      </c>
      <c r="J81" s="91" t="s">
        <v>506</v>
      </c>
      <c r="K81" s="91" t="s">
        <v>551</v>
      </c>
      <c r="L81" s="91">
        <v>1</v>
      </c>
      <c r="M81" s="104">
        <v>50</v>
      </c>
      <c r="N81" s="95">
        <v>2.2799999999999998</v>
      </c>
      <c r="O81" s="94" t="s">
        <v>224</v>
      </c>
      <c r="P81" s="95" t="s">
        <v>380</v>
      </c>
      <c r="Q81" s="89">
        <f t="shared" si="9"/>
        <v>63.999999999999986</v>
      </c>
      <c r="R81" s="89">
        <f t="shared" si="11"/>
        <v>400</v>
      </c>
      <c r="S81" s="89">
        <f t="shared" si="12"/>
        <v>-10.000000000000014</v>
      </c>
      <c r="T81" s="89">
        <f t="shared" si="13"/>
        <v>-1286.99</v>
      </c>
      <c r="U81" s="96">
        <f t="shared" si="14"/>
        <v>-1.4999708628104569</v>
      </c>
      <c r="V81" s="89">
        <f t="shared" si="17"/>
        <v>922.01</v>
      </c>
      <c r="W81" s="105"/>
    </row>
    <row r="82" spans="1:23">
      <c r="A82" s="87">
        <v>80</v>
      </c>
      <c r="B82" s="88">
        <v>43506</v>
      </c>
      <c r="C82" s="89">
        <f t="shared" si="15"/>
        <v>922.01</v>
      </c>
      <c r="D82" s="89"/>
      <c r="E82" s="89"/>
      <c r="F82" s="89">
        <f t="shared" si="10"/>
        <v>922.01</v>
      </c>
      <c r="G82" s="89"/>
      <c r="H82" s="90">
        <f t="shared" si="16"/>
        <v>102.46117346938775</v>
      </c>
      <c r="I82" s="91" t="s">
        <v>377</v>
      </c>
      <c r="J82" s="91" t="s">
        <v>552</v>
      </c>
      <c r="K82" s="91" t="s">
        <v>553</v>
      </c>
      <c r="L82" s="91">
        <v>1</v>
      </c>
      <c r="M82" s="104">
        <v>50</v>
      </c>
      <c r="N82" s="95">
        <v>2.2999999999999998</v>
      </c>
      <c r="O82" s="94" t="s">
        <v>224</v>
      </c>
      <c r="P82" s="95" t="s">
        <v>385</v>
      </c>
      <c r="Q82" s="89">
        <f t="shared" si="9"/>
        <v>-50</v>
      </c>
      <c r="R82" s="89">
        <f t="shared" si="11"/>
        <v>450</v>
      </c>
      <c r="S82" s="89">
        <f t="shared" si="12"/>
        <v>-60.000000000000014</v>
      </c>
      <c r="T82" s="89">
        <f t="shared" si="13"/>
        <v>-1336.99</v>
      </c>
      <c r="U82" s="96">
        <f t="shared" si="14"/>
        <v>-1.4500818863135976</v>
      </c>
      <c r="V82" s="89">
        <f t="shared" si="17"/>
        <v>872.01</v>
      </c>
      <c r="W82" s="105"/>
    </row>
    <row r="83" spans="1:23">
      <c r="A83" s="87">
        <v>81</v>
      </c>
      <c r="B83" s="88">
        <v>43506</v>
      </c>
      <c r="C83" s="89">
        <f t="shared" si="15"/>
        <v>872.01</v>
      </c>
      <c r="D83" s="89"/>
      <c r="E83" s="89"/>
      <c r="F83" s="89">
        <f t="shared" si="10"/>
        <v>872.01</v>
      </c>
      <c r="G83" s="89"/>
      <c r="H83" s="90">
        <f t="shared" si="16"/>
        <v>52.461173469387745</v>
      </c>
      <c r="I83" s="91" t="s">
        <v>377</v>
      </c>
      <c r="J83" s="91" t="s">
        <v>479</v>
      </c>
      <c r="K83" s="91" t="s">
        <v>554</v>
      </c>
      <c r="L83" s="91">
        <v>1</v>
      </c>
      <c r="M83" s="104">
        <v>50</v>
      </c>
      <c r="N83" s="95">
        <v>2.1800000000000002</v>
      </c>
      <c r="O83" s="94" t="s">
        <v>224</v>
      </c>
      <c r="P83" s="95" t="s">
        <v>385</v>
      </c>
      <c r="Q83" s="89">
        <f t="shared" si="9"/>
        <v>-50</v>
      </c>
      <c r="R83" s="89">
        <f t="shared" si="11"/>
        <v>500</v>
      </c>
      <c r="S83" s="89">
        <f t="shared" si="12"/>
        <v>-110.00000000000001</v>
      </c>
      <c r="T83" s="89">
        <f t="shared" si="13"/>
        <v>-1386.99</v>
      </c>
      <c r="U83" s="96">
        <f t="shared" si="14"/>
        <v>-1.5905666219424091</v>
      </c>
      <c r="V83" s="89">
        <f t="shared" si="17"/>
        <v>822.01</v>
      </c>
      <c r="W83" s="105"/>
    </row>
    <row r="84" spans="1:23">
      <c r="A84" s="87">
        <v>82</v>
      </c>
      <c r="B84" s="88">
        <v>43506</v>
      </c>
      <c r="C84" s="89">
        <f t="shared" si="15"/>
        <v>822.01</v>
      </c>
      <c r="D84" s="89"/>
      <c r="E84" s="89"/>
      <c r="F84" s="89">
        <f t="shared" si="10"/>
        <v>822.01</v>
      </c>
      <c r="G84" s="89"/>
      <c r="H84" s="90">
        <f t="shared" si="16"/>
        <v>2.4611734693877452</v>
      </c>
      <c r="I84" s="91" t="s">
        <v>377</v>
      </c>
      <c r="J84" s="91" t="s">
        <v>482</v>
      </c>
      <c r="K84" s="91" t="s">
        <v>555</v>
      </c>
      <c r="L84" s="91">
        <v>1</v>
      </c>
      <c r="M84" s="104">
        <v>50</v>
      </c>
      <c r="N84" s="95">
        <v>2.1800000000000002</v>
      </c>
      <c r="O84" s="94" t="s">
        <v>224</v>
      </c>
      <c r="P84" s="95" t="s">
        <v>380</v>
      </c>
      <c r="Q84" s="89">
        <f t="shared" si="9"/>
        <v>59.000000000000014</v>
      </c>
      <c r="R84" s="89">
        <f t="shared" si="11"/>
        <v>550</v>
      </c>
      <c r="S84" s="103">
        <f t="shared" si="12"/>
        <v>-51</v>
      </c>
      <c r="T84" s="89">
        <f t="shared" si="13"/>
        <v>-1327.99</v>
      </c>
      <c r="U84" s="96">
        <f t="shared" si="14"/>
        <v>-1.6155399569348305</v>
      </c>
      <c r="V84" s="89">
        <f t="shared" si="17"/>
        <v>881.01</v>
      </c>
      <c r="W84" s="105"/>
    </row>
    <row r="85" spans="1:23">
      <c r="A85" s="87">
        <v>83</v>
      </c>
      <c r="B85" s="102">
        <v>43508</v>
      </c>
      <c r="C85" s="103">
        <f t="shared" si="15"/>
        <v>881.01</v>
      </c>
      <c r="D85" s="103"/>
      <c r="E85" s="103"/>
      <c r="F85" s="103">
        <f t="shared" si="10"/>
        <v>881.01</v>
      </c>
      <c r="G85" s="103"/>
      <c r="H85" s="90">
        <f t="shared" si="16"/>
        <v>474.96627551020407</v>
      </c>
      <c r="I85" s="91" t="s">
        <v>377</v>
      </c>
      <c r="J85" s="91" t="s">
        <v>556</v>
      </c>
      <c r="K85" s="91" t="s">
        <v>557</v>
      </c>
      <c r="L85" s="91">
        <v>1</v>
      </c>
      <c r="M85" s="104">
        <v>248</v>
      </c>
      <c r="N85" s="95">
        <v>2.2999999999999998</v>
      </c>
      <c r="O85" s="94" t="s">
        <v>224</v>
      </c>
      <c r="P85" s="126" t="s">
        <v>385</v>
      </c>
      <c r="Q85" s="89">
        <f t="shared" si="9"/>
        <v>-248</v>
      </c>
      <c r="R85" s="89">
        <f t="shared" si="11"/>
        <v>248</v>
      </c>
      <c r="S85" s="89">
        <f t="shared" si="12"/>
        <v>-248</v>
      </c>
      <c r="T85" s="89">
        <f t="shared" si="13"/>
        <v>-1575.99</v>
      </c>
      <c r="U85" s="96">
        <f t="shared" si="14"/>
        <v>-1.7888446215139442</v>
      </c>
      <c r="V85" s="89">
        <f t="shared" si="17"/>
        <v>633.01</v>
      </c>
      <c r="W85" s="105"/>
    </row>
    <row r="86" spans="1:23">
      <c r="A86" s="87">
        <v>84</v>
      </c>
      <c r="B86" s="88">
        <v>43508</v>
      </c>
      <c r="C86" s="89">
        <f t="shared" si="15"/>
        <v>633.01</v>
      </c>
      <c r="D86" s="89"/>
      <c r="E86" s="89"/>
      <c r="F86" s="89">
        <f t="shared" si="10"/>
        <v>633.01</v>
      </c>
      <c r="G86" s="89"/>
      <c r="H86" s="90">
        <f t="shared" si="16"/>
        <v>226.96627551020407</v>
      </c>
      <c r="I86" s="91" t="s">
        <v>377</v>
      </c>
      <c r="J86" s="91" t="s">
        <v>556</v>
      </c>
      <c r="K86" s="91" t="s">
        <v>558</v>
      </c>
      <c r="L86" s="91">
        <v>1</v>
      </c>
      <c r="M86" s="104">
        <v>248</v>
      </c>
      <c r="N86" s="95">
        <v>2.1</v>
      </c>
      <c r="O86" s="94" t="s">
        <v>224</v>
      </c>
      <c r="P86" s="126" t="s">
        <v>380</v>
      </c>
      <c r="Q86" s="89">
        <f t="shared" si="9"/>
        <v>272.80000000000007</v>
      </c>
      <c r="R86" s="89">
        <f t="shared" si="11"/>
        <v>496</v>
      </c>
      <c r="S86" s="103">
        <f t="shared" si="12"/>
        <v>24.800000000000068</v>
      </c>
      <c r="T86" s="89">
        <f t="shared" si="13"/>
        <v>-1303.19</v>
      </c>
      <c r="U86" s="96">
        <f t="shared" si="14"/>
        <v>-2.0587194515094551</v>
      </c>
      <c r="V86" s="89">
        <f t="shared" si="17"/>
        <v>905.81000000000006</v>
      </c>
      <c r="W86" s="105"/>
    </row>
    <row r="87" spans="1:23">
      <c r="A87" s="87">
        <v>85</v>
      </c>
      <c r="B87" s="102">
        <v>43509</v>
      </c>
      <c r="C87" s="103">
        <f t="shared" si="15"/>
        <v>905.81000000000006</v>
      </c>
      <c r="D87" s="103"/>
      <c r="E87" s="103"/>
      <c r="F87" s="103">
        <f t="shared" si="10"/>
        <v>905.81000000000006</v>
      </c>
      <c r="G87" s="103"/>
      <c r="H87" s="90">
        <f t="shared" si="16"/>
        <v>488.33634353741496</v>
      </c>
      <c r="I87" s="91" t="s">
        <v>377</v>
      </c>
      <c r="J87" s="91" t="s">
        <v>519</v>
      </c>
      <c r="K87" s="91" t="s">
        <v>559</v>
      </c>
      <c r="L87" s="91">
        <v>1</v>
      </c>
      <c r="M87" s="104">
        <v>254</v>
      </c>
      <c r="N87" s="95">
        <v>3.05</v>
      </c>
      <c r="O87" s="94" t="s">
        <v>224</v>
      </c>
      <c r="P87" s="95" t="s">
        <v>385</v>
      </c>
      <c r="Q87" s="89">
        <f t="shared" si="9"/>
        <v>-254</v>
      </c>
      <c r="R87" s="89">
        <f t="shared" si="11"/>
        <v>254</v>
      </c>
      <c r="S87" s="89">
        <f t="shared" si="12"/>
        <v>-254</v>
      </c>
      <c r="T87" s="89">
        <f t="shared" si="13"/>
        <v>-1557.19</v>
      </c>
      <c r="U87" s="96">
        <f t="shared" si="14"/>
        <v>-1.7191132798268951</v>
      </c>
      <c r="V87" s="89">
        <f t="shared" si="17"/>
        <v>651.81000000000006</v>
      </c>
      <c r="W87" s="105"/>
    </row>
    <row r="88" spans="1:23">
      <c r="A88" s="87">
        <v>86</v>
      </c>
      <c r="B88" s="88">
        <v>43509</v>
      </c>
      <c r="C88" s="89">
        <f t="shared" si="15"/>
        <v>651.81000000000006</v>
      </c>
      <c r="D88" s="89"/>
      <c r="E88" s="89"/>
      <c r="F88" s="89">
        <f t="shared" si="10"/>
        <v>651.81000000000006</v>
      </c>
      <c r="G88" s="89"/>
      <c r="H88" s="90">
        <f t="shared" si="16"/>
        <v>234.33634353741496</v>
      </c>
      <c r="I88" s="91" t="s">
        <v>377</v>
      </c>
      <c r="J88" s="91" t="s">
        <v>556</v>
      </c>
      <c r="K88" s="91" t="s">
        <v>560</v>
      </c>
      <c r="L88" s="91">
        <v>1</v>
      </c>
      <c r="M88" s="104">
        <v>254</v>
      </c>
      <c r="N88" s="95">
        <v>2.16</v>
      </c>
      <c r="O88" s="94" t="s">
        <v>224</v>
      </c>
      <c r="P88" s="95" t="s">
        <v>380</v>
      </c>
      <c r="Q88" s="89">
        <f t="shared" si="9"/>
        <v>294.64</v>
      </c>
      <c r="R88" s="89">
        <f t="shared" si="11"/>
        <v>508</v>
      </c>
      <c r="S88" s="103">
        <f t="shared" si="12"/>
        <v>40.639999999999986</v>
      </c>
      <c r="T88" s="89">
        <f t="shared" si="13"/>
        <v>-1262.5500000000002</v>
      </c>
      <c r="U88" s="96">
        <f t="shared" si="14"/>
        <v>-1.9369908408892162</v>
      </c>
      <c r="V88" s="89">
        <f t="shared" si="17"/>
        <v>946.45</v>
      </c>
      <c r="W88" s="105"/>
    </row>
    <row r="89" spans="1:23">
      <c r="A89" s="87">
        <v>87</v>
      </c>
      <c r="B89" s="102">
        <v>43510</v>
      </c>
      <c r="C89" s="103">
        <f t="shared" si="15"/>
        <v>946.45</v>
      </c>
      <c r="D89" s="103"/>
      <c r="E89" s="103"/>
      <c r="F89" s="103">
        <f t="shared" si="10"/>
        <v>946.45</v>
      </c>
      <c r="G89" s="103"/>
      <c r="H89" s="90">
        <f t="shared" si="16"/>
        <v>510.24600340136055</v>
      </c>
      <c r="I89" s="91" t="s">
        <v>377</v>
      </c>
      <c r="J89" s="91" t="s">
        <v>442</v>
      </c>
      <c r="K89" s="91" t="s">
        <v>561</v>
      </c>
      <c r="L89" s="91">
        <v>1</v>
      </c>
      <c r="M89" s="104">
        <v>66</v>
      </c>
      <c r="N89" s="95">
        <v>3.9</v>
      </c>
      <c r="O89" s="94" t="s">
        <v>224</v>
      </c>
      <c r="P89" s="95" t="s">
        <v>385</v>
      </c>
      <c r="Q89" s="89">
        <f t="shared" si="9"/>
        <v>-66</v>
      </c>
      <c r="R89" s="89">
        <f t="shared" si="11"/>
        <v>66</v>
      </c>
      <c r="S89" s="89">
        <f t="shared" si="12"/>
        <v>-66</v>
      </c>
      <c r="T89" s="89">
        <f t="shared" si="13"/>
        <v>-1328.5500000000002</v>
      </c>
      <c r="U89" s="96">
        <f t="shared" si="14"/>
        <v>-1.4037191610755984</v>
      </c>
      <c r="V89" s="89">
        <f t="shared" si="17"/>
        <v>880.45</v>
      </c>
      <c r="W89" s="105"/>
    </row>
    <row r="90" spans="1:23">
      <c r="A90" s="87">
        <v>88</v>
      </c>
      <c r="B90" s="88">
        <v>43510</v>
      </c>
      <c r="C90" s="89">
        <f t="shared" si="15"/>
        <v>880.45</v>
      </c>
      <c r="D90" s="89"/>
      <c r="E90" s="89"/>
      <c r="F90" s="89">
        <f t="shared" si="10"/>
        <v>880.45</v>
      </c>
      <c r="G90" s="89"/>
      <c r="H90" s="90">
        <f t="shared" si="16"/>
        <v>444.24600340136055</v>
      </c>
      <c r="I90" s="91" t="s">
        <v>377</v>
      </c>
      <c r="J90" s="91" t="s">
        <v>562</v>
      </c>
      <c r="K90" s="91" t="s">
        <v>563</v>
      </c>
      <c r="L90" s="91">
        <v>1</v>
      </c>
      <c r="M90" s="104">
        <v>66</v>
      </c>
      <c r="N90" s="95">
        <v>2.6</v>
      </c>
      <c r="O90" s="94" t="s">
        <v>224</v>
      </c>
      <c r="P90" s="95" t="s">
        <v>385</v>
      </c>
      <c r="Q90" s="89">
        <f t="shared" si="9"/>
        <v>-66</v>
      </c>
      <c r="R90" s="89">
        <f t="shared" si="11"/>
        <v>132</v>
      </c>
      <c r="S90" s="89">
        <f t="shared" si="12"/>
        <v>-132</v>
      </c>
      <c r="T90" s="89">
        <f t="shared" si="13"/>
        <v>-1394.5500000000002</v>
      </c>
      <c r="U90" s="96">
        <f t="shared" si="14"/>
        <v>-1.583905957180987</v>
      </c>
      <c r="V90" s="89">
        <f t="shared" si="17"/>
        <v>814.45</v>
      </c>
      <c r="W90" s="105"/>
    </row>
    <row r="91" spans="1:23">
      <c r="A91" s="87">
        <v>89</v>
      </c>
      <c r="B91" s="88">
        <v>43510</v>
      </c>
      <c r="C91" s="89">
        <f t="shared" si="15"/>
        <v>814.45</v>
      </c>
      <c r="D91" s="89"/>
      <c r="E91" s="89"/>
      <c r="F91" s="89">
        <f t="shared" si="10"/>
        <v>814.45</v>
      </c>
      <c r="G91" s="89"/>
      <c r="H91" s="90">
        <f t="shared" si="16"/>
        <v>378.24600340136055</v>
      </c>
      <c r="I91" s="91" t="s">
        <v>377</v>
      </c>
      <c r="J91" s="91" t="s">
        <v>562</v>
      </c>
      <c r="K91" s="91" t="s">
        <v>564</v>
      </c>
      <c r="L91" s="91">
        <v>1</v>
      </c>
      <c r="M91" s="104">
        <v>66</v>
      </c>
      <c r="N91" s="95">
        <v>2.35</v>
      </c>
      <c r="O91" s="94" t="s">
        <v>224</v>
      </c>
      <c r="P91" s="95" t="s">
        <v>385</v>
      </c>
      <c r="Q91" s="89">
        <f t="shared" si="9"/>
        <v>-66</v>
      </c>
      <c r="R91" s="89">
        <f t="shared" si="11"/>
        <v>198</v>
      </c>
      <c r="S91" s="89">
        <f t="shared" si="12"/>
        <v>-198</v>
      </c>
      <c r="T91" s="89">
        <f t="shared" si="13"/>
        <v>-1460.5500000000002</v>
      </c>
      <c r="U91" s="96">
        <f t="shared" si="14"/>
        <v>-1.793296089385475</v>
      </c>
      <c r="V91" s="89">
        <f t="shared" si="17"/>
        <v>748.45</v>
      </c>
      <c r="W91" s="105"/>
    </row>
    <row r="92" spans="1:23">
      <c r="A92" s="87">
        <v>90</v>
      </c>
      <c r="B92" s="88">
        <v>43510</v>
      </c>
      <c r="C92" s="89">
        <f t="shared" si="15"/>
        <v>748.45</v>
      </c>
      <c r="D92" s="89"/>
      <c r="E92" s="89"/>
      <c r="F92" s="89">
        <f t="shared" si="10"/>
        <v>748.45</v>
      </c>
      <c r="G92" s="89"/>
      <c r="H92" s="90">
        <f t="shared" si="16"/>
        <v>312.24600340136055</v>
      </c>
      <c r="I92" s="91" t="s">
        <v>377</v>
      </c>
      <c r="J92" s="91" t="s">
        <v>562</v>
      </c>
      <c r="K92" s="91" t="s">
        <v>565</v>
      </c>
      <c r="L92" s="91">
        <v>1</v>
      </c>
      <c r="M92" s="104">
        <v>66</v>
      </c>
      <c r="N92" s="95">
        <v>2.35</v>
      </c>
      <c r="O92" s="94" t="s">
        <v>224</v>
      </c>
      <c r="P92" s="95" t="s">
        <v>385</v>
      </c>
      <c r="Q92" s="89">
        <f t="shared" si="9"/>
        <v>-66</v>
      </c>
      <c r="R92" s="89">
        <f t="shared" si="11"/>
        <v>264</v>
      </c>
      <c r="S92" s="89">
        <f t="shared" si="12"/>
        <v>-264</v>
      </c>
      <c r="T92" s="89">
        <f t="shared" si="13"/>
        <v>-1526.5500000000002</v>
      </c>
      <c r="U92" s="96">
        <f t="shared" si="14"/>
        <v>-2.039615204756497</v>
      </c>
      <c r="V92" s="89">
        <f t="shared" si="17"/>
        <v>682.45</v>
      </c>
      <c r="W92" s="105"/>
    </row>
    <row r="93" spans="1:23">
      <c r="A93" s="87">
        <v>91</v>
      </c>
      <c r="B93" s="88">
        <v>43510</v>
      </c>
      <c r="C93" s="89">
        <f t="shared" si="15"/>
        <v>682.45</v>
      </c>
      <c r="D93" s="89"/>
      <c r="E93" s="89"/>
      <c r="F93" s="89">
        <f t="shared" si="10"/>
        <v>682.45</v>
      </c>
      <c r="G93" s="89"/>
      <c r="H93" s="90">
        <f t="shared" si="16"/>
        <v>246.24600340136055</v>
      </c>
      <c r="I93" s="91" t="s">
        <v>377</v>
      </c>
      <c r="J93" s="91" t="s">
        <v>523</v>
      </c>
      <c r="K93" s="91" t="s">
        <v>566</v>
      </c>
      <c r="L93" s="91">
        <v>1</v>
      </c>
      <c r="M93" s="104">
        <v>66</v>
      </c>
      <c r="N93" s="95">
        <v>2.2799999999999998</v>
      </c>
      <c r="O93" s="94" t="s">
        <v>224</v>
      </c>
      <c r="P93" s="95" t="s">
        <v>385</v>
      </c>
      <c r="Q93" s="89">
        <f t="shared" si="9"/>
        <v>-66</v>
      </c>
      <c r="R93" s="89">
        <f t="shared" si="11"/>
        <v>330</v>
      </c>
      <c r="S93" s="89">
        <f t="shared" si="12"/>
        <v>-330</v>
      </c>
      <c r="T93" s="89">
        <f t="shared" si="13"/>
        <v>-1592.5500000000002</v>
      </c>
      <c r="U93" s="96">
        <f t="shared" si="14"/>
        <v>-2.3335775514689723</v>
      </c>
      <c r="V93" s="89">
        <f t="shared" si="17"/>
        <v>616.45000000000005</v>
      </c>
      <c r="W93" s="105"/>
    </row>
    <row r="94" spans="1:23">
      <c r="A94" s="87">
        <v>92</v>
      </c>
      <c r="B94" s="88">
        <v>43510</v>
      </c>
      <c r="C94" s="89">
        <f t="shared" si="15"/>
        <v>616.45000000000005</v>
      </c>
      <c r="D94" s="89"/>
      <c r="E94" s="89"/>
      <c r="F94" s="89">
        <f t="shared" si="10"/>
        <v>616.45000000000005</v>
      </c>
      <c r="G94" s="89"/>
      <c r="H94" s="90">
        <f t="shared" si="16"/>
        <v>180.24600340136055</v>
      </c>
      <c r="I94" s="91" t="s">
        <v>377</v>
      </c>
      <c r="J94" s="91" t="s">
        <v>562</v>
      </c>
      <c r="K94" s="91" t="s">
        <v>567</v>
      </c>
      <c r="L94" s="91">
        <v>1</v>
      </c>
      <c r="M94" s="104">
        <v>66</v>
      </c>
      <c r="N94" s="95">
        <v>2.25</v>
      </c>
      <c r="O94" s="94" t="s">
        <v>224</v>
      </c>
      <c r="P94" s="95" t="s">
        <v>385</v>
      </c>
      <c r="Q94" s="89">
        <f t="shared" si="9"/>
        <v>-66</v>
      </c>
      <c r="R94" s="89">
        <f t="shared" si="11"/>
        <v>396</v>
      </c>
      <c r="S94" s="89">
        <f t="shared" si="12"/>
        <v>-396</v>
      </c>
      <c r="T94" s="89">
        <f t="shared" si="13"/>
        <v>-1658.5500000000002</v>
      </c>
      <c r="U94" s="96">
        <f t="shared" si="14"/>
        <v>-2.6904858463784573</v>
      </c>
      <c r="V94" s="89">
        <f t="shared" si="17"/>
        <v>550.45000000000005</v>
      </c>
      <c r="W94" s="105"/>
    </row>
    <row r="95" spans="1:23">
      <c r="A95" s="87">
        <v>93</v>
      </c>
      <c r="B95" s="88">
        <v>43510</v>
      </c>
      <c r="C95" s="89">
        <f t="shared" si="15"/>
        <v>550.45000000000005</v>
      </c>
      <c r="D95" s="89"/>
      <c r="E95" s="89"/>
      <c r="F95" s="89">
        <f t="shared" si="10"/>
        <v>550.45000000000005</v>
      </c>
      <c r="G95" s="89"/>
      <c r="H95" s="90">
        <f t="shared" si="16"/>
        <v>114.24600340136055</v>
      </c>
      <c r="I95" s="91" t="s">
        <v>377</v>
      </c>
      <c r="J95" s="91" t="s">
        <v>562</v>
      </c>
      <c r="K95" s="91" t="s">
        <v>568</v>
      </c>
      <c r="L95" s="91">
        <v>1</v>
      </c>
      <c r="M95" s="104">
        <v>66</v>
      </c>
      <c r="N95" s="95">
        <v>2.2000000000000002</v>
      </c>
      <c r="O95" s="94" t="s">
        <v>224</v>
      </c>
      <c r="P95" s="95" t="s">
        <v>385</v>
      </c>
      <c r="Q95" s="89">
        <f t="shared" si="9"/>
        <v>-66</v>
      </c>
      <c r="R95" s="89">
        <f t="shared" si="11"/>
        <v>462</v>
      </c>
      <c r="S95" s="89">
        <f t="shared" si="12"/>
        <v>-462</v>
      </c>
      <c r="T95" s="89">
        <f t="shared" si="13"/>
        <v>-1724.5500000000002</v>
      </c>
      <c r="U95" s="96">
        <f t="shared" si="14"/>
        <v>-3.1329821055500044</v>
      </c>
      <c r="V95" s="89">
        <f t="shared" si="17"/>
        <v>484.45000000000005</v>
      </c>
      <c r="W95" s="105"/>
    </row>
    <row r="96" spans="1:23">
      <c r="A96" s="87">
        <v>94</v>
      </c>
      <c r="B96" s="88">
        <v>43510</v>
      </c>
      <c r="C96" s="89">
        <f t="shared" si="15"/>
        <v>484.45000000000005</v>
      </c>
      <c r="D96" s="89"/>
      <c r="E96" s="89"/>
      <c r="F96" s="89">
        <f t="shared" si="10"/>
        <v>484.45000000000005</v>
      </c>
      <c r="G96" s="89"/>
      <c r="H96" s="90">
        <f t="shared" si="16"/>
        <v>48.246003401360554</v>
      </c>
      <c r="I96" s="91" t="s">
        <v>377</v>
      </c>
      <c r="J96" s="91" t="s">
        <v>562</v>
      </c>
      <c r="K96" s="91" t="s">
        <v>569</v>
      </c>
      <c r="L96" s="91">
        <v>1</v>
      </c>
      <c r="M96" s="104">
        <v>66</v>
      </c>
      <c r="N96" s="95">
        <v>1.95</v>
      </c>
      <c r="O96" s="94" t="s">
        <v>224</v>
      </c>
      <c r="P96" s="95" t="s">
        <v>385</v>
      </c>
      <c r="Q96" s="89">
        <f t="shared" si="9"/>
        <v>-66</v>
      </c>
      <c r="R96" s="89">
        <f t="shared" si="11"/>
        <v>528</v>
      </c>
      <c r="S96" s="103">
        <f t="shared" si="12"/>
        <v>-528</v>
      </c>
      <c r="T96" s="89">
        <f t="shared" si="13"/>
        <v>-1790.5500000000002</v>
      </c>
      <c r="U96" s="96">
        <f t="shared" si="14"/>
        <v>-3.6960470636804623</v>
      </c>
      <c r="V96" s="89">
        <f t="shared" si="17"/>
        <v>418.45000000000005</v>
      </c>
      <c r="W96" s="105"/>
    </row>
    <row r="97" spans="1:23">
      <c r="A97" s="87">
        <v>95</v>
      </c>
      <c r="B97" s="102">
        <v>43511</v>
      </c>
      <c r="C97" s="103">
        <f t="shared" si="15"/>
        <v>418.45000000000005</v>
      </c>
      <c r="D97" s="103"/>
      <c r="E97" s="103"/>
      <c r="F97" s="103">
        <f t="shared" si="10"/>
        <v>418.45000000000005</v>
      </c>
      <c r="G97" s="103"/>
      <c r="H97" s="90">
        <f t="shared" si="16"/>
        <v>225.59294217687076</v>
      </c>
      <c r="I97" s="91" t="s">
        <v>377</v>
      </c>
      <c r="J97" s="91" t="s">
        <v>506</v>
      </c>
      <c r="K97" s="91" t="s">
        <v>570</v>
      </c>
      <c r="L97" s="91">
        <v>1</v>
      </c>
      <c r="M97" s="104">
        <v>57</v>
      </c>
      <c r="N97" s="95">
        <v>3.55</v>
      </c>
      <c r="O97" s="94" t="s">
        <v>224</v>
      </c>
      <c r="P97" s="95" t="s">
        <v>385</v>
      </c>
      <c r="Q97" s="89">
        <f t="shared" si="9"/>
        <v>-57</v>
      </c>
      <c r="R97" s="89">
        <f t="shared" si="11"/>
        <v>57</v>
      </c>
      <c r="S97" s="89">
        <f t="shared" si="12"/>
        <v>-57</v>
      </c>
      <c r="T97" s="89">
        <f t="shared" si="13"/>
        <v>-1847.5500000000002</v>
      </c>
      <c r="U97" s="96">
        <f t="shared" si="14"/>
        <v>-4.4152228462181862</v>
      </c>
      <c r="V97" s="89">
        <f t="shared" si="17"/>
        <v>361.45000000000005</v>
      </c>
      <c r="W97" s="105"/>
    </row>
    <row r="98" spans="1:23">
      <c r="A98" s="87">
        <v>96</v>
      </c>
      <c r="B98" s="88">
        <v>43511</v>
      </c>
      <c r="C98" s="89">
        <f t="shared" si="15"/>
        <v>361.45000000000005</v>
      </c>
      <c r="D98" s="89"/>
      <c r="E98" s="89"/>
      <c r="F98" s="89">
        <f t="shared" si="10"/>
        <v>361.45000000000005</v>
      </c>
      <c r="G98" s="89"/>
      <c r="H98" s="90">
        <f t="shared" si="16"/>
        <v>168.59294217687076</v>
      </c>
      <c r="I98" s="91" t="s">
        <v>377</v>
      </c>
      <c r="J98" s="91" t="s">
        <v>462</v>
      </c>
      <c r="K98" s="91" t="s">
        <v>571</v>
      </c>
      <c r="L98" s="91">
        <v>1</v>
      </c>
      <c r="M98" s="104">
        <v>57</v>
      </c>
      <c r="N98" s="95">
        <v>2.1800000000000002</v>
      </c>
      <c r="O98" s="94" t="s">
        <v>224</v>
      </c>
      <c r="P98" s="95" t="s">
        <v>385</v>
      </c>
      <c r="Q98" s="89">
        <f t="shared" si="9"/>
        <v>-57</v>
      </c>
      <c r="R98" s="89">
        <f t="shared" si="11"/>
        <v>114</v>
      </c>
      <c r="S98" s="89">
        <f t="shared" si="12"/>
        <v>-114</v>
      </c>
      <c r="T98" s="89">
        <f t="shared" si="13"/>
        <v>-1904.5500000000002</v>
      </c>
      <c r="U98" s="96">
        <f t="shared" si="14"/>
        <v>-5.2691935260755294</v>
      </c>
      <c r="V98" s="89">
        <f t="shared" si="17"/>
        <v>304.45000000000005</v>
      </c>
      <c r="W98" s="105"/>
    </row>
    <row r="99" spans="1:23">
      <c r="A99" s="87">
        <v>97</v>
      </c>
      <c r="B99" s="88">
        <v>43511</v>
      </c>
      <c r="C99" s="89">
        <f t="shared" si="15"/>
        <v>304.45000000000005</v>
      </c>
      <c r="D99" s="89"/>
      <c r="E99" s="89"/>
      <c r="F99" s="89">
        <f t="shared" si="10"/>
        <v>304.45000000000005</v>
      </c>
      <c r="G99" s="89"/>
      <c r="H99" s="90">
        <f t="shared" si="16"/>
        <v>111.59294217687076</v>
      </c>
      <c r="I99" s="91" t="s">
        <v>377</v>
      </c>
      <c r="J99" s="91" t="s">
        <v>482</v>
      </c>
      <c r="K99" s="91" t="s">
        <v>572</v>
      </c>
      <c r="L99" s="91">
        <v>1</v>
      </c>
      <c r="M99" s="104">
        <v>57</v>
      </c>
      <c r="N99" s="95">
        <v>2.08</v>
      </c>
      <c r="O99" s="94" t="s">
        <v>224</v>
      </c>
      <c r="P99" s="95" t="s">
        <v>385</v>
      </c>
      <c r="Q99" s="89">
        <f t="shared" si="9"/>
        <v>-57</v>
      </c>
      <c r="R99" s="89">
        <f t="shared" si="11"/>
        <v>171</v>
      </c>
      <c r="S99" s="89">
        <f t="shared" si="12"/>
        <v>-171</v>
      </c>
      <c r="T99" s="89">
        <f t="shared" si="13"/>
        <v>-1961.5500000000002</v>
      </c>
      <c r="U99" s="96">
        <f t="shared" si="14"/>
        <v>-6.4429298735424529</v>
      </c>
      <c r="V99" s="89">
        <f t="shared" si="17"/>
        <v>247.45000000000005</v>
      </c>
      <c r="W99" s="105"/>
    </row>
    <row r="100" spans="1:23">
      <c r="A100" s="87">
        <v>98</v>
      </c>
      <c r="B100" s="88">
        <v>43511</v>
      </c>
      <c r="C100" s="89">
        <f t="shared" si="15"/>
        <v>247.45000000000005</v>
      </c>
      <c r="D100" s="89"/>
      <c r="E100" s="89"/>
      <c r="F100" s="89">
        <f t="shared" si="10"/>
        <v>247.45000000000005</v>
      </c>
      <c r="G100" s="89"/>
      <c r="H100" s="90">
        <f t="shared" si="16"/>
        <v>54.592942176870764</v>
      </c>
      <c r="I100" s="91" t="s">
        <v>377</v>
      </c>
      <c r="J100" s="91" t="s">
        <v>488</v>
      </c>
      <c r="K100" s="91" t="s">
        <v>573</v>
      </c>
      <c r="L100" s="91">
        <v>1</v>
      </c>
      <c r="M100" s="104">
        <v>57</v>
      </c>
      <c r="N100" s="95">
        <v>2.04</v>
      </c>
      <c r="O100" s="94" t="s">
        <v>224</v>
      </c>
      <c r="P100" s="95" t="s">
        <v>385</v>
      </c>
      <c r="Q100" s="89">
        <f t="shared" si="9"/>
        <v>-57</v>
      </c>
      <c r="R100" s="89">
        <f t="shared" si="11"/>
        <v>228</v>
      </c>
      <c r="S100" s="103">
        <f t="shared" si="12"/>
        <v>-228</v>
      </c>
      <c r="T100" s="89">
        <f t="shared" si="13"/>
        <v>-2018.5500000000002</v>
      </c>
      <c r="U100" s="96">
        <f t="shared" si="14"/>
        <v>-8.1574055364720142</v>
      </c>
      <c r="V100" s="89">
        <f t="shared" si="17"/>
        <v>190.45000000000005</v>
      </c>
      <c r="W100" s="105"/>
    </row>
    <row r="101" spans="1:23">
      <c r="A101" s="87">
        <v>99</v>
      </c>
      <c r="B101" s="102">
        <v>43512</v>
      </c>
      <c r="C101" s="103">
        <f t="shared" si="15"/>
        <v>190.45000000000005</v>
      </c>
      <c r="D101" s="103">
        <v>60</v>
      </c>
      <c r="E101" s="103"/>
      <c r="F101" s="103">
        <f t="shared" si="10"/>
        <v>250.45000000000005</v>
      </c>
      <c r="G101" s="103"/>
      <c r="H101" s="90">
        <f t="shared" si="16"/>
        <v>135.02151360544221</v>
      </c>
      <c r="I101" s="91" t="s">
        <v>377</v>
      </c>
      <c r="J101" s="91" t="s">
        <v>508</v>
      </c>
      <c r="K101" s="91" t="s">
        <v>574</v>
      </c>
      <c r="L101" s="91">
        <v>1</v>
      </c>
      <c r="M101" s="104">
        <v>50</v>
      </c>
      <c r="N101" s="95">
        <v>3.3</v>
      </c>
      <c r="O101" s="94" t="s">
        <v>224</v>
      </c>
      <c r="P101" s="95" t="s">
        <v>385</v>
      </c>
      <c r="Q101" s="89">
        <f t="shared" si="9"/>
        <v>-50</v>
      </c>
      <c r="R101" s="89">
        <f t="shared" si="11"/>
        <v>50</v>
      </c>
      <c r="S101" s="89">
        <f t="shared" si="12"/>
        <v>-50</v>
      </c>
      <c r="T101" s="89">
        <f t="shared" si="13"/>
        <v>-2068.5500000000002</v>
      </c>
      <c r="U101" s="96">
        <f t="shared" si="14"/>
        <v>-8.2593332002395687</v>
      </c>
      <c r="V101" s="89">
        <f t="shared" si="17"/>
        <v>200.45000000000005</v>
      </c>
      <c r="W101" s="105"/>
    </row>
    <row r="102" spans="1:23">
      <c r="A102" s="87">
        <v>100</v>
      </c>
      <c r="B102" s="88">
        <v>43512</v>
      </c>
      <c r="C102" s="89">
        <f t="shared" si="15"/>
        <v>200.45000000000005</v>
      </c>
      <c r="D102" s="89"/>
      <c r="E102" s="89"/>
      <c r="F102" s="89">
        <f t="shared" si="10"/>
        <v>200.45000000000005</v>
      </c>
      <c r="G102" s="89"/>
      <c r="H102" s="90">
        <f t="shared" si="16"/>
        <v>85.021513605442209</v>
      </c>
      <c r="I102" s="91" t="s">
        <v>377</v>
      </c>
      <c r="J102" s="91" t="s">
        <v>531</v>
      </c>
      <c r="K102" s="91" t="s">
        <v>575</v>
      </c>
      <c r="L102" s="91">
        <v>1</v>
      </c>
      <c r="M102" s="104">
        <v>50</v>
      </c>
      <c r="N102" s="95">
        <v>3.2</v>
      </c>
      <c r="O102" s="94" t="s">
        <v>224</v>
      </c>
      <c r="P102" s="95" t="s">
        <v>385</v>
      </c>
      <c r="Q102" s="89">
        <f t="shared" si="9"/>
        <v>-50</v>
      </c>
      <c r="R102" s="89">
        <f t="shared" si="11"/>
        <v>100</v>
      </c>
      <c r="S102" s="103">
        <f t="shared" si="12"/>
        <v>-100</v>
      </c>
      <c r="T102" s="89">
        <f t="shared" si="13"/>
        <v>-2118.5500000000002</v>
      </c>
      <c r="U102" s="96">
        <f t="shared" si="14"/>
        <v>-10.568969817909702</v>
      </c>
      <c r="V102" s="89">
        <f t="shared" si="17"/>
        <v>150.45000000000005</v>
      </c>
      <c r="W102" s="105"/>
    </row>
    <row r="103" spans="1:23">
      <c r="A103" s="87">
        <v>101</v>
      </c>
      <c r="B103" s="88">
        <v>43512</v>
      </c>
      <c r="C103" s="103">
        <f t="shared" si="15"/>
        <v>150.45000000000005</v>
      </c>
      <c r="D103" s="103"/>
      <c r="E103" s="103"/>
      <c r="F103" s="89">
        <f t="shared" si="10"/>
        <v>150.45000000000005</v>
      </c>
      <c r="G103" s="89"/>
      <c r="H103" s="90">
        <f t="shared" si="16"/>
        <v>35.021513605442209</v>
      </c>
      <c r="I103" s="91" t="s">
        <v>377</v>
      </c>
      <c r="J103" s="91" t="s">
        <v>517</v>
      </c>
      <c r="K103" s="91" t="s">
        <v>576</v>
      </c>
      <c r="L103" s="91">
        <v>1</v>
      </c>
      <c r="M103" s="104">
        <v>90</v>
      </c>
      <c r="N103" s="95">
        <v>28</v>
      </c>
      <c r="O103" s="94" t="s">
        <v>224</v>
      </c>
      <c r="P103" s="95" t="s">
        <v>385</v>
      </c>
      <c r="Q103" s="89">
        <f t="shared" si="9"/>
        <v>-90</v>
      </c>
      <c r="R103" s="89">
        <f t="shared" si="11"/>
        <v>190</v>
      </c>
      <c r="S103" s="89">
        <f t="shared" si="12"/>
        <v>-190</v>
      </c>
      <c r="T103" s="89">
        <f t="shared" si="13"/>
        <v>-2208.5500000000002</v>
      </c>
      <c r="U103" s="96">
        <f t="shared" si="14"/>
        <v>-14.679627783316713</v>
      </c>
      <c r="V103" s="89">
        <f t="shared" si="17"/>
        <v>60.450000000000045</v>
      </c>
      <c r="W103" s="105"/>
    </row>
    <row r="104" spans="1:23" ht="13.5" thickBot="1">
      <c r="A104" s="111">
        <v>102</v>
      </c>
      <c r="B104" s="112">
        <v>43512</v>
      </c>
      <c r="C104" s="113">
        <f t="shared" si="15"/>
        <v>60.450000000000045</v>
      </c>
      <c r="D104" s="113"/>
      <c r="E104" s="113"/>
      <c r="F104" s="113">
        <f t="shared" si="10"/>
        <v>60.450000000000045</v>
      </c>
      <c r="G104" s="113"/>
      <c r="H104" s="114">
        <f t="shared" si="16"/>
        <v>-54.978486394557791</v>
      </c>
      <c r="I104" s="115" t="s">
        <v>377</v>
      </c>
      <c r="J104" s="115" t="s">
        <v>517</v>
      </c>
      <c r="K104" s="115" t="s">
        <v>576</v>
      </c>
      <c r="L104" s="115" t="s">
        <v>391</v>
      </c>
      <c r="M104" s="116">
        <v>60</v>
      </c>
      <c r="N104" s="118">
        <v>12.5</v>
      </c>
      <c r="O104" s="117" t="s">
        <v>224</v>
      </c>
      <c r="P104" s="118" t="s">
        <v>385</v>
      </c>
      <c r="Q104" s="113">
        <f t="shared" si="9"/>
        <v>-60</v>
      </c>
      <c r="R104" s="113">
        <f t="shared" si="11"/>
        <v>250</v>
      </c>
      <c r="S104" s="127">
        <f t="shared" si="12"/>
        <v>-250</v>
      </c>
      <c r="T104" s="113">
        <f t="shared" si="13"/>
        <v>-2268.5500000000002</v>
      </c>
      <c r="U104" s="119">
        <f t="shared" si="14"/>
        <v>-37.527708850289471</v>
      </c>
      <c r="V104" s="113">
        <f t="shared" si="17"/>
        <v>0.45000000000004547</v>
      </c>
      <c r="W104" s="120"/>
    </row>
    <row r="105" spans="1:23">
      <c r="A105" s="91">
        <v>103</v>
      </c>
      <c r="B105" s="128">
        <v>43513</v>
      </c>
      <c r="C105" s="103">
        <f t="shared" si="15"/>
        <v>0.45000000000004547</v>
      </c>
      <c r="D105" s="129">
        <v>5000</v>
      </c>
      <c r="E105" s="129"/>
      <c r="F105" s="103">
        <f t="shared" si="10"/>
        <v>5000.45</v>
      </c>
      <c r="G105" s="130">
        <v>0.54433497536945807</v>
      </c>
      <c r="H105" s="90">
        <f>IF(B105=B104,H104-M104,F105*G105)</f>
        <v>2721.9198275862063</v>
      </c>
      <c r="I105" s="59" t="s">
        <v>377</v>
      </c>
      <c r="J105" s="59" t="s">
        <v>526</v>
      </c>
      <c r="K105" s="59" t="s">
        <v>577</v>
      </c>
      <c r="L105" s="59">
        <v>1</v>
      </c>
      <c r="M105" s="62">
        <v>147</v>
      </c>
      <c r="N105" s="131">
        <v>6.1</v>
      </c>
      <c r="O105" s="132" t="s">
        <v>224</v>
      </c>
      <c r="P105" s="131" t="s">
        <v>385</v>
      </c>
      <c r="Q105" s="61">
        <f t="shared" si="9"/>
        <v>-147</v>
      </c>
      <c r="R105" s="61">
        <f t="shared" si="11"/>
        <v>147</v>
      </c>
      <c r="S105" s="61">
        <f t="shared" si="12"/>
        <v>-147</v>
      </c>
      <c r="T105" s="61">
        <f t="shared" si="13"/>
        <v>-2415.5500000000002</v>
      </c>
      <c r="U105" s="133">
        <f t="shared" si="14"/>
        <v>-0.48306652401283889</v>
      </c>
      <c r="V105" s="89">
        <f t="shared" si="17"/>
        <v>4853.45</v>
      </c>
      <c r="W105" s="134" t="s">
        <v>578</v>
      </c>
    </row>
    <row r="106" spans="1:23">
      <c r="A106" s="91">
        <v>104</v>
      </c>
      <c r="B106" s="135">
        <v>43513</v>
      </c>
      <c r="C106" s="89">
        <f t="shared" si="15"/>
        <v>4853.45</v>
      </c>
      <c r="F106" s="89">
        <f t="shared" si="10"/>
        <v>4853.45</v>
      </c>
      <c r="G106" s="130">
        <v>0.54433497536945807</v>
      </c>
      <c r="H106" s="90">
        <f t="shared" ref="H106:H169" si="18">IF(B106=B105,H105-M105,F106*G106)</f>
        <v>2574.9198275862063</v>
      </c>
      <c r="I106" s="59" t="s">
        <v>377</v>
      </c>
      <c r="J106" s="59" t="s">
        <v>458</v>
      </c>
      <c r="K106" s="59" t="s">
        <v>579</v>
      </c>
      <c r="L106" s="59">
        <v>1</v>
      </c>
      <c r="M106" s="62">
        <v>147</v>
      </c>
      <c r="N106" s="131">
        <v>2.4700000000000002</v>
      </c>
      <c r="O106" s="132" t="s">
        <v>224</v>
      </c>
      <c r="P106" s="131" t="s">
        <v>385</v>
      </c>
      <c r="Q106" s="61">
        <f t="shared" si="9"/>
        <v>-147</v>
      </c>
      <c r="R106" s="61">
        <f t="shared" si="11"/>
        <v>294</v>
      </c>
      <c r="S106" s="61">
        <f t="shared" si="12"/>
        <v>-294</v>
      </c>
      <c r="T106" s="61">
        <f t="shared" si="13"/>
        <v>-2562.5500000000002</v>
      </c>
      <c r="U106" s="133">
        <f t="shared" si="14"/>
        <v>-0.52798524760737209</v>
      </c>
      <c r="V106" s="89">
        <f t="shared" si="17"/>
        <v>4706.45</v>
      </c>
    </row>
    <row r="107" spans="1:23">
      <c r="A107" s="91">
        <v>105</v>
      </c>
      <c r="B107" s="135">
        <v>43513</v>
      </c>
      <c r="C107" s="89">
        <f t="shared" si="15"/>
        <v>4706.45</v>
      </c>
      <c r="F107" s="89">
        <f t="shared" si="10"/>
        <v>4706.45</v>
      </c>
      <c r="G107" s="130">
        <v>0.54433497536945807</v>
      </c>
      <c r="H107" s="90">
        <f t="shared" si="18"/>
        <v>2427.9198275862063</v>
      </c>
      <c r="I107" s="59" t="s">
        <v>377</v>
      </c>
      <c r="J107" s="59" t="s">
        <v>506</v>
      </c>
      <c r="K107" s="59" t="s">
        <v>580</v>
      </c>
      <c r="L107" s="59">
        <v>1</v>
      </c>
      <c r="M107" s="62">
        <v>147</v>
      </c>
      <c r="N107" s="131">
        <v>2.37</v>
      </c>
      <c r="O107" s="132" t="s">
        <v>224</v>
      </c>
      <c r="P107" s="131" t="s">
        <v>380</v>
      </c>
      <c r="Q107" s="61">
        <f t="shared" si="9"/>
        <v>201.39000000000004</v>
      </c>
      <c r="R107" s="61">
        <f t="shared" si="11"/>
        <v>441</v>
      </c>
      <c r="S107" s="61">
        <f t="shared" si="12"/>
        <v>-92.609999999999957</v>
      </c>
      <c r="T107" s="61">
        <f t="shared" si="13"/>
        <v>-2361.1600000000003</v>
      </c>
      <c r="U107" s="133">
        <f t="shared" si="14"/>
        <v>-0.50168598412816467</v>
      </c>
      <c r="V107" s="89">
        <f t="shared" si="17"/>
        <v>4907.84</v>
      </c>
    </row>
    <row r="108" spans="1:23">
      <c r="A108" s="91">
        <v>106</v>
      </c>
      <c r="B108" s="135">
        <v>43513</v>
      </c>
      <c r="C108" s="89">
        <f t="shared" si="15"/>
        <v>4907.84</v>
      </c>
      <c r="F108" s="89">
        <f t="shared" si="10"/>
        <v>4907.84</v>
      </c>
      <c r="G108" s="130">
        <v>0.54433497536945807</v>
      </c>
      <c r="H108" s="90">
        <f t="shared" si="18"/>
        <v>2280.9198275862063</v>
      </c>
      <c r="I108" s="59" t="s">
        <v>377</v>
      </c>
      <c r="J108" s="59" t="s">
        <v>482</v>
      </c>
      <c r="K108" s="59" t="s">
        <v>581</v>
      </c>
      <c r="L108" s="59">
        <v>1</v>
      </c>
      <c r="M108" s="62">
        <v>147</v>
      </c>
      <c r="N108" s="131">
        <v>2.35</v>
      </c>
      <c r="O108" s="132" t="s">
        <v>224</v>
      </c>
      <c r="P108" s="131" t="s">
        <v>380</v>
      </c>
      <c r="Q108" s="61">
        <f t="shared" si="9"/>
        <v>198.45</v>
      </c>
      <c r="R108" s="61">
        <f t="shared" si="11"/>
        <v>588</v>
      </c>
      <c r="S108" s="61">
        <f t="shared" si="12"/>
        <v>105.84000000000003</v>
      </c>
      <c r="T108" s="61">
        <f t="shared" si="13"/>
        <v>-2162.7100000000005</v>
      </c>
      <c r="U108" s="133">
        <f t="shared" si="14"/>
        <v>-0.44066432483536555</v>
      </c>
      <c r="V108" s="89">
        <f t="shared" si="17"/>
        <v>5106.29</v>
      </c>
    </row>
    <row r="109" spans="1:23">
      <c r="A109" s="91">
        <v>107</v>
      </c>
      <c r="B109" s="135">
        <v>43513</v>
      </c>
      <c r="C109" s="89">
        <f t="shared" si="15"/>
        <v>5106.29</v>
      </c>
      <c r="F109" s="89">
        <f t="shared" si="10"/>
        <v>5106.29</v>
      </c>
      <c r="G109" s="130">
        <v>0.54433497536945807</v>
      </c>
      <c r="H109" s="90">
        <f t="shared" si="18"/>
        <v>2133.9198275862063</v>
      </c>
      <c r="I109" s="59" t="s">
        <v>377</v>
      </c>
      <c r="J109" s="59" t="s">
        <v>492</v>
      </c>
      <c r="K109" s="59" t="s">
        <v>582</v>
      </c>
      <c r="L109" s="59">
        <v>1</v>
      </c>
      <c r="M109" s="62">
        <v>147</v>
      </c>
      <c r="N109" s="131">
        <v>2.2999999999999998</v>
      </c>
      <c r="O109" s="132" t="s">
        <v>224</v>
      </c>
      <c r="P109" s="131" t="s">
        <v>385</v>
      </c>
      <c r="Q109" s="61">
        <f t="shared" si="9"/>
        <v>-147</v>
      </c>
      <c r="R109" s="61">
        <f t="shared" si="11"/>
        <v>735</v>
      </c>
      <c r="S109" s="61">
        <f t="shared" si="12"/>
        <v>-41.159999999999968</v>
      </c>
      <c r="T109" s="61">
        <f t="shared" si="13"/>
        <v>-2309.7100000000005</v>
      </c>
      <c r="U109" s="133">
        <f t="shared" si="14"/>
        <v>-0.45232644444400932</v>
      </c>
      <c r="V109" s="89">
        <f t="shared" si="17"/>
        <v>4959.29</v>
      </c>
    </row>
    <row r="110" spans="1:23">
      <c r="A110" s="91">
        <v>108</v>
      </c>
      <c r="B110" s="135">
        <v>43513</v>
      </c>
      <c r="C110" s="89">
        <f t="shared" si="15"/>
        <v>4959.29</v>
      </c>
      <c r="F110" s="89">
        <f t="shared" si="10"/>
        <v>4959.29</v>
      </c>
      <c r="G110" s="130">
        <v>0.54433497536945807</v>
      </c>
      <c r="H110" s="90">
        <f t="shared" si="18"/>
        <v>1986.9198275862063</v>
      </c>
      <c r="I110" s="59" t="s">
        <v>377</v>
      </c>
      <c r="J110" s="59" t="s">
        <v>521</v>
      </c>
      <c r="K110" s="59" t="s">
        <v>583</v>
      </c>
      <c r="L110" s="59">
        <v>1</v>
      </c>
      <c r="M110" s="62">
        <v>147</v>
      </c>
      <c r="N110" s="131">
        <v>2.27</v>
      </c>
      <c r="O110" s="132" t="s">
        <v>224</v>
      </c>
      <c r="P110" s="131" t="s">
        <v>385</v>
      </c>
      <c r="Q110" s="61">
        <f t="shared" si="9"/>
        <v>-147</v>
      </c>
      <c r="R110" s="61">
        <f t="shared" si="11"/>
        <v>882</v>
      </c>
      <c r="S110" s="61">
        <f t="shared" si="12"/>
        <v>-188.15999999999997</v>
      </c>
      <c r="T110" s="61">
        <f t="shared" si="13"/>
        <v>-2456.7100000000005</v>
      </c>
      <c r="U110" s="133">
        <f t="shared" si="14"/>
        <v>-0.49537534606768319</v>
      </c>
      <c r="V110" s="89">
        <f t="shared" si="17"/>
        <v>4812.29</v>
      </c>
    </row>
    <row r="111" spans="1:23">
      <c r="A111" s="91">
        <v>109</v>
      </c>
      <c r="B111" s="135">
        <v>43513</v>
      </c>
      <c r="C111" s="89">
        <f t="shared" si="15"/>
        <v>4812.29</v>
      </c>
      <c r="F111" s="89">
        <f t="shared" si="10"/>
        <v>4812.29</v>
      </c>
      <c r="G111" s="130">
        <v>0.54433497536945807</v>
      </c>
      <c r="H111" s="90">
        <f t="shared" si="18"/>
        <v>1839.9198275862063</v>
      </c>
      <c r="I111" s="59" t="s">
        <v>377</v>
      </c>
      <c r="J111" s="59" t="s">
        <v>465</v>
      </c>
      <c r="K111" s="59" t="s">
        <v>584</v>
      </c>
      <c r="L111" s="59">
        <v>1</v>
      </c>
      <c r="M111" s="62">
        <v>147</v>
      </c>
      <c r="N111" s="131">
        <v>2.1800000000000002</v>
      </c>
      <c r="O111" s="132" t="s">
        <v>224</v>
      </c>
      <c r="P111" s="131" t="s">
        <v>380</v>
      </c>
      <c r="Q111" s="61">
        <f t="shared" si="9"/>
        <v>173.46000000000004</v>
      </c>
      <c r="R111" s="61">
        <f t="shared" si="11"/>
        <v>1029</v>
      </c>
      <c r="S111" s="61">
        <f t="shared" si="12"/>
        <v>-14.699999999999932</v>
      </c>
      <c r="T111" s="61">
        <f t="shared" si="13"/>
        <v>-2283.2500000000005</v>
      </c>
      <c r="U111" s="133">
        <f t="shared" si="14"/>
        <v>-0.47446226224936577</v>
      </c>
      <c r="V111" s="89">
        <f t="shared" si="17"/>
        <v>4985.75</v>
      </c>
    </row>
    <row r="112" spans="1:23">
      <c r="A112" s="91">
        <v>110</v>
      </c>
      <c r="B112" s="135">
        <v>43513</v>
      </c>
      <c r="C112" s="89">
        <f t="shared" si="15"/>
        <v>4985.75</v>
      </c>
      <c r="F112" s="89">
        <f t="shared" si="10"/>
        <v>4985.75</v>
      </c>
      <c r="G112" s="130">
        <v>0.54433497536945807</v>
      </c>
      <c r="H112" s="90">
        <f t="shared" si="18"/>
        <v>1692.9198275862063</v>
      </c>
      <c r="I112" s="59" t="s">
        <v>377</v>
      </c>
      <c r="J112" s="59" t="s">
        <v>496</v>
      </c>
      <c r="K112" s="59" t="s">
        <v>585</v>
      </c>
      <c r="L112" s="59">
        <v>1</v>
      </c>
      <c r="M112" s="62">
        <v>147</v>
      </c>
      <c r="N112" s="131">
        <v>2.08</v>
      </c>
      <c r="O112" s="132" t="s">
        <v>224</v>
      </c>
      <c r="P112" s="131" t="s">
        <v>385</v>
      </c>
      <c r="Q112" s="61">
        <f t="shared" si="9"/>
        <v>-147</v>
      </c>
      <c r="R112" s="61">
        <f t="shared" si="11"/>
        <v>1176</v>
      </c>
      <c r="S112" s="61">
        <f t="shared" si="12"/>
        <v>-161.69999999999993</v>
      </c>
      <c r="T112" s="61">
        <f t="shared" si="13"/>
        <v>-2430.2500000000005</v>
      </c>
      <c r="U112" s="133">
        <f t="shared" si="14"/>
        <v>-0.48743920172491612</v>
      </c>
      <c r="V112" s="89">
        <f t="shared" si="17"/>
        <v>4838.75</v>
      </c>
    </row>
    <row r="113" spans="1:23">
      <c r="A113" s="91">
        <v>111</v>
      </c>
      <c r="B113" s="135">
        <v>43513</v>
      </c>
      <c r="C113" s="89">
        <f t="shared" si="15"/>
        <v>4838.75</v>
      </c>
      <c r="F113" s="89">
        <f t="shared" si="10"/>
        <v>4838.75</v>
      </c>
      <c r="G113" s="130">
        <v>0.54433497536945807</v>
      </c>
      <c r="H113" s="90">
        <f t="shared" si="18"/>
        <v>1545.9198275862063</v>
      </c>
      <c r="I113" s="59" t="s">
        <v>377</v>
      </c>
      <c r="J113" s="59" t="s">
        <v>442</v>
      </c>
      <c r="K113" s="59" t="s">
        <v>586</v>
      </c>
      <c r="L113" s="59">
        <v>1</v>
      </c>
      <c r="M113" s="62">
        <v>147</v>
      </c>
      <c r="N113" s="131">
        <v>2.0699999999999998</v>
      </c>
      <c r="O113" s="132" t="s">
        <v>224</v>
      </c>
      <c r="P113" s="131" t="s">
        <v>385</v>
      </c>
      <c r="Q113" s="61">
        <f t="shared" si="9"/>
        <v>-147</v>
      </c>
      <c r="R113" s="61">
        <f t="shared" si="11"/>
        <v>1323</v>
      </c>
      <c r="S113" s="61">
        <f t="shared" si="12"/>
        <v>-308.69999999999993</v>
      </c>
      <c r="T113" s="61">
        <f t="shared" si="13"/>
        <v>-2577.2500000000005</v>
      </c>
      <c r="U113" s="133">
        <f t="shared" si="14"/>
        <v>-0.53262722810643259</v>
      </c>
      <c r="V113" s="89">
        <f t="shared" si="17"/>
        <v>4691.75</v>
      </c>
    </row>
    <row r="114" spans="1:23">
      <c r="A114" s="91">
        <v>112</v>
      </c>
      <c r="B114" s="135">
        <v>43513</v>
      </c>
      <c r="C114" s="89">
        <f t="shared" si="15"/>
        <v>4691.75</v>
      </c>
      <c r="F114" s="89">
        <f t="shared" si="10"/>
        <v>4691.75</v>
      </c>
      <c r="G114" s="130">
        <v>0.54433497536945807</v>
      </c>
      <c r="H114" s="90">
        <f t="shared" si="18"/>
        <v>1398.9198275862063</v>
      </c>
      <c r="I114" s="59" t="s">
        <v>377</v>
      </c>
      <c r="J114" s="59" t="s">
        <v>587</v>
      </c>
      <c r="K114" s="59" t="s">
        <v>588</v>
      </c>
      <c r="L114" s="59">
        <v>1</v>
      </c>
      <c r="M114" s="62">
        <v>147</v>
      </c>
      <c r="N114" s="131">
        <v>2.02</v>
      </c>
      <c r="O114" s="132" t="s">
        <v>224</v>
      </c>
      <c r="P114" s="131" t="s">
        <v>589</v>
      </c>
      <c r="Q114" s="61">
        <f t="shared" si="9"/>
        <v>0</v>
      </c>
      <c r="R114" s="61">
        <f t="shared" si="11"/>
        <v>1470</v>
      </c>
      <c r="S114" s="61">
        <f t="shared" si="12"/>
        <v>-308.69999999999993</v>
      </c>
      <c r="T114" s="61">
        <f t="shared" si="13"/>
        <v>-2577.2500000000005</v>
      </c>
      <c r="U114" s="133">
        <f t="shared" si="14"/>
        <v>-0.54931528747269154</v>
      </c>
      <c r="V114" s="89">
        <f t="shared" si="17"/>
        <v>4691.75</v>
      </c>
    </row>
    <row r="115" spans="1:23">
      <c r="A115" s="91">
        <v>113</v>
      </c>
      <c r="B115" s="135">
        <v>43513</v>
      </c>
      <c r="C115" s="89">
        <f t="shared" si="15"/>
        <v>4691.75</v>
      </c>
      <c r="F115" s="89">
        <f t="shared" si="10"/>
        <v>4691.75</v>
      </c>
      <c r="G115" s="130">
        <v>0.54433497536945807</v>
      </c>
      <c r="H115" s="90">
        <f t="shared" si="18"/>
        <v>1251.9198275862063</v>
      </c>
      <c r="I115" s="59" t="s">
        <v>377</v>
      </c>
      <c r="J115" s="59" t="s">
        <v>526</v>
      </c>
      <c r="K115" s="59" t="s">
        <v>590</v>
      </c>
      <c r="L115" s="59">
        <v>1</v>
      </c>
      <c r="M115" s="62">
        <v>147</v>
      </c>
      <c r="N115" s="131">
        <v>1.88</v>
      </c>
      <c r="O115" s="132" t="s">
        <v>224</v>
      </c>
      <c r="P115" s="131" t="s">
        <v>380</v>
      </c>
      <c r="Q115" s="61">
        <f t="shared" si="9"/>
        <v>129.35999999999996</v>
      </c>
      <c r="R115" s="61">
        <f t="shared" si="11"/>
        <v>1617</v>
      </c>
      <c r="S115" s="61">
        <f t="shared" si="12"/>
        <v>-179.33999999999997</v>
      </c>
      <c r="T115" s="61">
        <f t="shared" si="13"/>
        <v>-2447.8900000000003</v>
      </c>
      <c r="U115" s="133">
        <f t="shared" si="14"/>
        <v>-0.52174348590611186</v>
      </c>
      <c r="V115" s="89">
        <f t="shared" si="17"/>
        <v>4821.1099999999997</v>
      </c>
    </row>
    <row r="116" spans="1:23">
      <c r="A116" s="91">
        <v>114</v>
      </c>
      <c r="B116" s="135">
        <v>43513</v>
      </c>
      <c r="C116" s="89">
        <f t="shared" si="15"/>
        <v>4821.1099999999997</v>
      </c>
      <c r="F116" s="89">
        <f t="shared" si="10"/>
        <v>4821.1099999999997</v>
      </c>
      <c r="G116" s="130">
        <v>0.54433497536945807</v>
      </c>
      <c r="H116" s="90">
        <f t="shared" si="18"/>
        <v>1104.9198275862063</v>
      </c>
      <c r="I116" s="59" t="s">
        <v>377</v>
      </c>
      <c r="J116" s="59" t="s">
        <v>526</v>
      </c>
      <c r="K116" s="59" t="s">
        <v>591</v>
      </c>
      <c r="L116" s="59">
        <v>1</v>
      </c>
      <c r="M116" s="62">
        <v>147</v>
      </c>
      <c r="N116" s="131">
        <v>1.87</v>
      </c>
      <c r="O116" s="132" t="s">
        <v>224</v>
      </c>
      <c r="P116" s="131" t="s">
        <v>385</v>
      </c>
      <c r="Q116" s="61">
        <f t="shared" ref="Q116:Q179" si="19">IF(P116="Win",(M116*N116)-M116,IF(P116="Refund",0,IF(P116="Loss",-M116)))</f>
        <v>-147</v>
      </c>
      <c r="R116" s="61">
        <f t="shared" si="11"/>
        <v>1764</v>
      </c>
      <c r="S116" s="61">
        <f t="shared" si="12"/>
        <v>-326.33999999999997</v>
      </c>
      <c r="T116" s="61">
        <f t="shared" si="13"/>
        <v>-2594.8900000000003</v>
      </c>
      <c r="U116" s="133">
        <f t="shared" si="14"/>
        <v>-0.53823497078473637</v>
      </c>
      <c r="V116" s="89">
        <f t="shared" si="17"/>
        <v>4674.1099999999997</v>
      </c>
    </row>
    <row r="117" spans="1:23">
      <c r="A117" s="91">
        <v>115</v>
      </c>
      <c r="B117" s="135">
        <v>43513</v>
      </c>
      <c r="C117" s="89">
        <f t="shared" si="15"/>
        <v>4674.1099999999997</v>
      </c>
      <c r="F117" s="89">
        <f t="shared" si="10"/>
        <v>4674.1099999999997</v>
      </c>
      <c r="G117" s="130">
        <v>0.54433497536945807</v>
      </c>
      <c r="H117" s="90">
        <f t="shared" si="18"/>
        <v>957.91982758620634</v>
      </c>
      <c r="I117" s="59" t="s">
        <v>377</v>
      </c>
      <c r="J117" s="59" t="s">
        <v>496</v>
      </c>
      <c r="K117" s="59" t="s">
        <v>592</v>
      </c>
      <c r="L117" s="59">
        <v>1</v>
      </c>
      <c r="M117" s="62">
        <v>147</v>
      </c>
      <c r="N117" s="131">
        <v>1.87</v>
      </c>
      <c r="O117" s="132" t="s">
        <v>224</v>
      </c>
      <c r="P117" s="131" t="s">
        <v>380</v>
      </c>
      <c r="Q117" s="61">
        <f t="shared" si="19"/>
        <v>127.89000000000004</v>
      </c>
      <c r="R117" s="61">
        <f t="shared" si="11"/>
        <v>1911</v>
      </c>
      <c r="S117" s="61">
        <f t="shared" si="12"/>
        <v>-198.44999999999993</v>
      </c>
      <c r="T117" s="61">
        <f t="shared" si="13"/>
        <v>-2467.0000000000005</v>
      </c>
      <c r="U117" s="133">
        <f t="shared" si="14"/>
        <v>-0.52780101452469042</v>
      </c>
      <c r="V117" s="89">
        <f t="shared" si="17"/>
        <v>4802</v>
      </c>
    </row>
    <row r="118" spans="1:23">
      <c r="A118" s="91">
        <v>116</v>
      </c>
      <c r="B118" s="135">
        <v>43513</v>
      </c>
      <c r="C118" s="89">
        <f t="shared" si="15"/>
        <v>4802</v>
      </c>
      <c r="F118" s="89">
        <f t="shared" si="10"/>
        <v>4802</v>
      </c>
      <c r="G118" s="130">
        <v>0.54433497536945807</v>
      </c>
      <c r="H118" s="90">
        <f t="shared" si="18"/>
        <v>810.91982758620634</v>
      </c>
      <c r="I118" s="59" t="s">
        <v>377</v>
      </c>
      <c r="J118" s="59" t="s">
        <v>506</v>
      </c>
      <c r="K118" s="59" t="s">
        <v>593</v>
      </c>
      <c r="L118" s="59">
        <v>1</v>
      </c>
      <c r="M118" s="62">
        <v>147</v>
      </c>
      <c r="N118" s="131">
        <v>1.86</v>
      </c>
      <c r="O118" s="132" t="s">
        <v>224</v>
      </c>
      <c r="P118" s="131" t="s">
        <v>385</v>
      </c>
      <c r="Q118" s="61">
        <f t="shared" si="19"/>
        <v>-147</v>
      </c>
      <c r="R118" s="61">
        <f t="shared" si="11"/>
        <v>2058</v>
      </c>
      <c r="S118" s="129">
        <f t="shared" si="12"/>
        <v>-345.44999999999993</v>
      </c>
      <c r="T118" s="61">
        <f t="shared" si="13"/>
        <v>-2614.0000000000005</v>
      </c>
      <c r="U118" s="133">
        <f t="shared" si="14"/>
        <v>-0.54435651811745112</v>
      </c>
      <c r="V118" s="89">
        <f t="shared" si="17"/>
        <v>4655</v>
      </c>
    </row>
    <row r="119" spans="1:23">
      <c r="A119" s="91">
        <v>117</v>
      </c>
      <c r="B119" s="128">
        <v>43514</v>
      </c>
      <c r="C119" s="103">
        <f t="shared" si="15"/>
        <v>4655</v>
      </c>
      <c r="D119" s="129"/>
      <c r="E119" s="129"/>
      <c r="F119" s="103">
        <f t="shared" si="10"/>
        <v>4655</v>
      </c>
      <c r="G119" s="130">
        <v>0.54433497536945807</v>
      </c>
      <c r="H119" s="90">
        <f t="shared" si="18"/>
        <v>2533.8793103448274</v>
      </c>
      <c r="I119" s="59" t="s">
        <v>377</v>
      </c>
      <c r="J119" s="59" t="s">
        <v>482</v>
      </c>
      <c r="K119" s="59" t="s">
        <v>594</v>
      </c>
      <c r="L119" s="59">
        <v>1</v>
      </c>
      <c r="M119" s="62">
        <v>138</v>
      </c>
      <c r="N119" s="131">
        <v>2.35</v>
      </c>
      <c r="O119" s="132" t="s">
        <v>224</v>
      </c>
      <c r="P119" s="131" t="s">
        <v>385</v>
      </c>
      <c r="Q119" s="61">
        <f t="shared" si="19"/>
        <v>-138</v>
      </c>
      <c r="R119" s="61">
        <f t="shared" si="11"/>
        <v>138</v>
      </c>
      <c r="S119" s="129">
        <f t="shared" si="12"/>
        <v>-138</v>
      </c>
      <c r="T119" s="61">
        <f t="shared" si="13"/>
        <v>-2752.0000000000005</v>
      </c>
      <c r="U119" s="133">
        <f t="shared" si="14"/>
        <v>-0.59119226638023636</v>
      </c>
      <c r="V119" s="89">
        <f t="shared" si="17"/>
        <v>4517</v>
      </c>
    </row>
    <row r="120" spans="1:23">
      <c r="A120" s="91">
        <v>118</v>
      </c>
      <c r="B120" s="128">
        <v>43515</v>
      </c>
      <c r="C120" s="103">
        <f t="shared" si="15"/>
        <v>4517</v>
      </c>
      <c r="D120" s="129"/>
      <c r="E120" s="129"/>
      <c r="F120" s="103">
        <f t="shared" si="10"/>
        <v>4517</v>
      </c>
      <c r="G120" s="130">
        <v>0.54433497536945807</v>
      </c>
      <c r="H120" s="90">
        <f t="shared" si="18"/>
        <v>2458.7610837438419</v>
      </c>
      <c r="I120" s="59" t="s">
        <v>377</v>
      </c>
      <c r="J120" s="59" t="s">
        <v>556</v>
      </c>
      <c r="K120" s="59" t="s">
        <v>595</v>
      </c>
      <c r="L120" s="59">
        <v>1</v>
      </c>
      <c r="M120" s="62">
        <v>134</v>
      </c>
      <c r="N120" s="131">
        <v>2.17</v>
      </c>
      <c r="O120" s="132" t="s">
        <v>224</v>
      </c>
      <c r="P120" s="131" t="s">
        <v>385</v>
      </c>
      <c r="Q120" s="61">
        <f t="shared" si="19"/>
        <v>-134</v>
      </c>
      <c r="R120" s="61">
        <f t="shared" si="11"/>
        <v>134</v>
      </c>
      <c r="S120" s="129">
        <f t="shared" si="12"/>
        <v>-134</v>
      </c>
      <c r="T120" s="61">
        <f t="shared" si="13"/>
        <v>-2886.0000000000005</v>
      </c>
      <c r="U120" s="133">
        <f t="shared" si="14"/>
        <v>-0.63891963692716414</v>
      </c>
      <c r="V120" s="89">
        <f t="shared" si="17"/>
        <v>4383</v>
      </c>
    </row>
    <row r="121" spans="1:23">
      <c r="A121" s="91">
        <v>119</v>
      </c>
      <c r="B121" s="128">
        <v>43517</v>
      </c>
      <c r="C121" s="103">
        <f t="shared" si="15"/>
        <v>4383</v>
      </c>
      <c r="D121" s="129"/>
      <c r="E121" s="129"/>
      <c r="F121" s="103">
        <f t="shared" si="10"/>
        <v>4383</v>
      </c>
      <c r="G121" s="130">
        <v>0.54433497536945807</v>
      </c>
      <c r="H121" s="90">
        <f t="shared" si="18"/>
        <v>2385.8201970443347</v>
      </c>
      <c r="I121" s="59" t="s">
        <v>377</v>
      </c>
      <c r="J121" s="59" t="s">
        <v>523</v>
      </c>
      <c r="K121" s="59" t="s">
        <v>596</v>
      </c>
      <c r="L121" s="59">
        <v>1</v>
      </c>
      <c r="M121" s="62">
        <v>130</v>
      </c>
      <c r="N121" s="131">
        <v>4.25</v>
      </c>
      <c r="O121" s="132" t="s">
        <v>224</v>
      </c>
      <c r="P121" s="131" t="s">
        <v>385</v>
      </c>
      <c r="Q121" s="61">
        <f t="shared" si="19"/>
        <v>-130</v>
      </c>
      <c r="R121" s="61">
        <f t="shared" si="11"/>
        <v>130</v>
      </c>
      <c r="S121" s="61">
        <f t="shared" si="12"/>
        <v>-130</v>
      </c>
      <c r="T121" s="61">
        <f t="shared" si="13"/>
        <v>-3016.0000000000005</v>
      </c>
      <c r="U121" s="133">
        <f t="shared" si="14"/>
        <v>-0.68811316449920157</v>
      </c>
      <c r="V121" s="89">
        <f t="shared" si="17"/>
        <v>4253</v>
      </c>
    </row>
    <row r="122" spans="1:23">
      <c r="A122" s="91">
        <v>120</v>
      </c>
      <c r="B122" s="135">
        <v>43517</v>
      </c>
      <c r="C122" s="89">
        <f t="shared" si="15"/>
        <v>4253</v>
      </c>
      <c r="F122" s="89">
        <f t="shared" si="10"/>
        <v>4253</v>
      </c>
      <c r="G122" s="130">
        <v>0.54433497536945807</v>
      </c>
      <c r="H122" s="90">
        <f t="shared" si="18"/>
        <v>2255.8201970443347</v>
      </c>
      <c r="I122" s="59" t="s">
        <v>377</v>
      </c>
      <c r="J122" s="59" t="s">
        <v>562</v>
      </c>
      <c r="K122" s="59" t="s">
        <v>597</v>
      </c>
      <c r="L122" s="59">
        <v>1</v>
      </c>
      <c r="M122" s="62">
        <v>130</v>
      </c>
      <c r="N122" s="131">
        <v>2.2400000000000002</v>
      </c>
      <c r="O122" s="132" t="s">
        <v>224</v>
      </c>
      <c r="P122" s="131" t="s">
        <v>380</v>
      </c>
      <c r="Q122" s="61">
        <f t="shared" si="19"/>
        <v>161.20000000000005</v>
      </c>
      <c r="R122" s="61">
        <f t="shared" si="11"/>
        <v>260</v>
      </c>
      <c r="S122" s="61">
        <f t="shared" si="12"/>
        <v>31.200000000000045</v>
      </c>
      <c r="T122" s="61">
        <f t="shared" si="13"/>
        <v>-2854.8</v>
      </c>
      <c r="U122" s="133">
        <f t="shared" si="14"/>
        <v>-0.67124382788619807</v>
      </c>
      <c r="V122" s="89">
        <f t="shared" si="17"/>
        <v>4414.2</v>
      </c>
    </row>
    <row r="123" spans="1:23">
      <c r="A123" s="91">
        <v>121</v>
      </c>
      <c r="B123" s="135">
        <v>43517</v>
      </c>
      <c r="C123" s="89">
        <f t="shared" si="15"/>
        <v>4414.2</v>
      </c>
      <c r="F123" s="89">
        <f t="shared" si="10"/>
        <v>4414.2</v>
      </c>
      <c r="G123" s="130">
        <v>0.54433497536945807</v>
      </c>
      <c r="H123" s="90">
        <f t="shared" si="18"/>
        <v>2125.8201970443347</v>
      </c>
      <c r="I123" s="59" t="s">
        <v>377</v>
      </c>
      <c r="J123" s="59" t="s">
        <v>562</v>
      </c>
      <c r="K123" s="59" t="s">
        <v>598</v>
      </c>
      <c r="L123" s="59">
        <v>1</v>
      </c>
      <c r="M123" s="62">
        <v>130</v>
      </c>
      <c r="N123" s="131">
        <v>1.9</v>
      </c>
      <c r="O123" s="132" t="s">
        <v>224</v>
      </c>
      <c r="P123" s="131" t="s">
        <v>380</v>
      </c>
      <c r="Q123" s="61">
        <f t="shared" si="19"/>
        <v>117</v>
      </c>
      <c r="R123" s="61">
        <f t="shared" si="11"/>
        <v>390</v>
      </c>
      <c r="S123" s="61">
        <f t="shared" si="12"/>
        <v>148.20000000000005</v>
      </c>
      <c r="T123" s="61">
        <f t="shared" si="13"/>
        <v>-2737.8</v>
      </c>
      <c r="U123" s="133">
        <f t="shared" si="14"/>
        <v>-0.62022563544923204</v>
      </c>
      <c r="V123" s="89">
        <f t="shared" si="17"/>
        <v>4531.2</v>
      </c>
    </row>
    <row r="124" spans="1:23">
      <c r="A124" s="91">
        <v>122</v>
      </c>
      <c r="B124" s="135">
        <v>43517</v>
      </c>
      <c r="C124" s="89">
        <f t="shared" si="15"/>
        <v>4531.2</v>
      </c>
      <c r="F124" s="89">
        <f t="shared" si="10"/>
        <v>4531.2</v>
      </c>
      <c r="G124" s="130">
        <v>0.54433497536945807</v>
      </c>
      <c r="H124" s="90">
        <f t="shared" si="18"/>
        <v>1995.8201970443347</v>
      </c>
      <c r="I124" s="59" t="s">
        <v>377</v>
      </c>
      <c r="J124" s="59" t="s">
        <v>599</v>
      </c>
      <c r="K124" s="59" t="s">
        <v>600</v>
      </c>
      <c r="L124" s="59">
        <v>1</v>
      </c>
      <c r="M124" s="62">
        <v>130</v>
      </c>
      <c r="N124" s="131">
        <v>1.88</v>
      </c>
      <c r="O124" s="132" t="s">
        <v>224</v>
      </c>
      <c r="P124" s="131" t="s">
        <v>380</v>
      </c>
      <c r="Q124" s="61">
        <f t="shared" si="19"/>
        <v>114.39999999999998</v>
      </c>
      <c r="R124" s="61">
        <f t="shared" si="11"/>
        <v>520</v>
      </c>
      <c r="S124" s="61">
        <f t="shared" si="12"/>
        <v>262.60000000000002</v>
      </c>
      <c r="T124" s="61">
        <f t="shared" si="13"/>
        <v>-2623.4</v>
      </c>
      <c r="U124" s="133">
        <f t="shared" si="14"/>
        <v>-0.57896362994350292</v>
      </c>
      <c r="V124" s="89">
        <f t="shared" si="17"/>
        <v>4645.5999999999995</v>
      </c>
    </row>
    <row r="125" spans="1:23">
      <c r="A125" s="91">
        <v>123</v>
      </c>
      <c r="B125" s="135">
        <v>43517</v>
      </c>
      <c r="C125" s="89">
        <f t="shared" si="15"/>
        <v>4645.5999999999995</v>
      </c>
      <c r="F125" s="89">
        <f t="shared" si="10"/>
        <v>4645.5999999999995</v>
      </c>
      <c r="G125" s="130">
        <v>0.54433497536945807</v>
      </c>
      <c r="H125" s="90">
        <f t="shared" si="18"/>
        <v>1865.8201970443347</v>
      </c>
      <c r="I125" s="59" t="s">
        <v>377</v>
      </c>
      <c r="J125" s="59" t="s">
        <v>562</v>
      </c>
      <c r="K125" s="59" t="s">
        <v>601</v>
      </c>
      <c r="L125" s="59">
        <v>1</v>
      </c>
      <c r="M125" s="62">
        <v>130</v>
      </c>
      <c r="N125" s="131">
        <v>1.65</v>
      </c>
      <c r="O125" s="132" t="s">
        <v>224</v>
      </c>
      <c r="P125" s="131" t="s">
        <v>380</v>
      </c>
      <c r="Q125" s="61">
        <f t="shared" si="19"/>
        <v>84.5</v>
      </c>
      <c r="R125" s="61">
        <f t="shared" si="11"/>
        <v>650</v>
      </c>
      <c r="S125" s="129">
        <f t="shared" si="12"/>
        <v>347.1</v>
      </c>
      <c r="T125" s="61">
        <f t="shared" si="13"/>
        <v>-2538.9</v>
      </c>
      <c r="U125" s="133">
        <f t="shared" si="14"/>
        <v>-0.54651713449285355</v>
      </c>
      <c r="V125" s="89">
        <f t="shared" si="17"/>
        <v>4730.0999999999995</v>
      </c>
    </row>
    <row r="126" spans="1:23">
      <c r="A126" s="91">
        <v>124</v>
      </c>
      <c r="B126" s="128">
        <v>43518</v>
      </c>
      <c r="C126" s="103">
        <f t="shared" si="15"/>
        <v>4730.0999999999995</v>
      </c>
      <c r="D126" s="129"/>
      <c r="E126" s="129">
        <v>347</v>
      </c>
      <c r="F126" s="103">
        <f t="shared" si="10"/>
        <v>4383.0999999999995</v>
      </c>
      <c r="G126" s="130">
        <v>0.54433497536945807</v>
      </c>
      <c r="H126" s="90">
        <f t="shared" si="18"/>
        <v>2385.8746305418713</v>
      </c>
      <c r="I126" s="59" t="s">
        <v>377</v>
      </c>
      <c r="J126" s="59" t="s">
        <v>506</v>
      </c>
      <c r="K126" s="59" t="s">
        <v>602</v>
      </c>
      <c r="L126" s="59">
        <v>1</v>
      </c>
      <c r="M126" s="62">
        <v>140</v>
      </c>
      <c r="N126" s="131">
        <v>2.37</v>
      </c>
      <c r="O126" s="132" t="s">
        <v>224</v>
      </c>
      <c r="P126" s="131" t="s">
        <v>385</v>
      </c>
      <c r="Q126" s="61">
        <f t="shared" si="19"/>
        <v>-140</v>
      </c>
      <c r="R126" s="61">
        <f t="shared" si="11"/>
        <v>140</v>
      </c>
      <c r="S126" s="61">
        <f t="shared" si="12"/>
        <v>-140</v>
      </c>
      <c r="T126" s="61">
        <f t="shared" si="13"/>
        <v>-2678.9</v>
      </c>
      <c r="U126" s="133">
        <f t="shared" si="14"/>
        <v>-0.61118842828135345</v>
      </c>
      <c r="V126" s="89">
        <f t="shared" si="17"/>
        <v>4243.0999999999995</v>
      </c>
    </row>
    <row r="127" spans="1:23">
      <c r="A127" s="91">
        <v>125</v>
      </c>
      <c r="B127" s="135">
        <v>43518</v>
      </c>
      <c r="C127" s="89">
        <f t="shared" si="15"/>
        <v>4243.0999999999995</v>
      </c>
      <c r="F127" s="89">
        <f t="shared" si="10"/>
        <v>4243.0999999999995</v>
      </c>
      <c r="G127" s="130">
        <v>0.54433497536945807</v>
      </c>
      <c r="H127" s="90">
        <f t="shared" si="18"/>
        <v>2245.8746305418713</v>
      </c>
      <c r="I127" s="59" t="s">
        <v>377</v>
      </c>
      <c r="J127" s="59" t="s">
        <v>389</v>
      </c>
      <c r="K127" s="59" t="s">
        <v>603</v>
      </c>
      <c r="L127" s="59">
        <v>1</v>
      </c>
      <c r="M127" s="62">
        <v>140</v>
      </c>
      <c r="N127" s="131">
        <v>2.35</v>
      </c>
      <c r="O127" s="132" t="s">
        <v>224</v>
      </c>
      <c r="P127" s="131" t="s">
        <v>385</v>
      </c>
      <c r="Q127" s="61">
        <f t="shared" si="19"/>
        <v>-140</v>
      </c>
      <c r="R127" s="61">
        <f t="shared" si="11"/>
        <v>280</v>
      </c>
      <c r="S127" s="129">
        <f t="shared" si="12"/>
        <v>-280</v>
      </c>
      <c r="T127" s="61">
        <f t="shared" si="13"/>
        <v>-2818.9</v>
      </c>
      <c r="U127" s="133">
        <f t="shared" si="14"/>
        <v>-0.66434917866654108</v>
      </c>
      <c r="V127" s="89">
        <f t="shared" si="17"/>
        <v>4103.0999999999995</v>
      </c>
    </row>
    <row r="128" spans="1:23">
      <c r="A128" s="91">
        <v>126</v>
      </c>
      <c r="B128" s="128">
        <v>43519</v>
      </c>
      <c r="C128" s="103">
        <f t="shared" si="15"/>
        <v>4103.0999999999995</v>
      </c>
      <c r="D128" s="129"/>
      <c r="E128" s="129"/>
      <c r="F128" s="103">
        <f t="shared" si="10"/>
        <v>4103.0999999999995</v>
      </c>
      <c r="G128" s="130">
        <v>0.54285714285714282</v>
      </c>
      <c r="H128" s="90">
        <f t="shared" si="18"/>
        <v>2227.3971428571422</v>
      </c>
      <c r="I128" s="59" t="s">
        <v>377</v>
      </c>
      <c r="J128" s="59" t="s">
        <v>599</v>
      </c>
      <c r="K128" s="59" t="s">
        <v>604</v>
      </c>
      <c r="L128" s="59">
        <v>1</v>
      </c>
      <c r="M128" s="62">
        <v>77</v>
      </c>
      <c r="N128" s="131">
        <v>6.1</v>
      </c>
      <c r="O128" s="132" t="s">
        <v>224</v>
      </c>
      <c r="P128" s="131" t="s">
        <v>380</v>
      </c>
      <c r="Q128" s="61">
        <f t="shared" si="19"/>
        <v>392.7</v>
      </c>
      <c r="R128" s="61">
        <f t="shared" si="11"/>
        <v>77</v>
      </c>
      <c r="S128" s="61">
        <f t="shared" si="12"/>
        <v>392.7</v>
      </c>
      <c r="T128" s="61">
        <f t="shared" si="13"/>
        <v>-2426.2000000000003</v>
      </c>
      <c r="U128" s="133">
        <f t="shared" si="14"/>
        <v>-0.59130901026053484</v>
      </c>
      <c r="V128" s="89">
        <f t="shared" si="17"/>
        <v>4495.7999999999993</v>
      </c>
      <c r="W128" s="136"/>
    </row>
    <row r="129" spans="1:23">
      <c r="A129" s="91">
        <v>127</v>
      </c>
      <c r="B129" s="135">
        <v>43519</v>
      </c>
      <c r="C129" s="89">
        <f t="shared" si="15"/>
        <v>4495.7999999999993</v>
      </c>
      <c r="F129" s="89">
        <f t="shared" si="10"/>
        <v>4495.7999999999993</v>
      </c>
      <c r="G129" s="130">
        <v>0.54285714285714282</v>
      </c>
      <c r="H129" s="90">
        <f t="shared" si="18"/>
        <v>2150.3971428571422</v>
      </c>
      <c r="I129" s="59" t="s">
        <v>377</v>
      </c>
      <c r="J129" s="59" t="s">
        <v>479</v>
      </c>
      <c r="K129" s="59" t="s">
        <v>605</v>
      </c>
      <c r="L129" s="59">
        <v>1</v>
      </c>
      <c r="M129" s="62">
        <v>77</v>
      </c>
      <c r="N129" s="131">
        <v>4.5999999999999996</v>
      </c>
      <c r="O129" s="132" t="s">
        <v>224</v>
      </c>
      <c r="P129" s="131" t="s">
        <v>385</v>
      </c>
      <c r="Q129" s="61">
        <f t="shared" si="19"/>
        <v>-77</v>
      </c>
      <c r="R129" s="61">
        <f t="shared" si="11"/>
        <v>154</v>
      </c>
      <c r="S129" s="61">
        <f t="shared" si="12"/>
        <v>315.7</v>
      </c>
      <c r="T129" s="61">
        <f t="shared" si="13"/>
        <v>-2503.2000000000003</v>
      </c>
      <c r="U129" s="133">
        <f t="shared" si="14"/>
        <v>-0.556786333911651</v>
      </c>
      <c r="V129" s="89">
        <f t="shared" si="17"/>
        <v>4418.7999999999993</v>
      </c>
      <c r="W129" s="136"/>
    </row>
    <row r="130" spans="1:23">
      <c r="A130" s="91">
        <v>128</v>
      </c>
      <c r="B130" s="135">
        <v>43519</v>
      </c>
      <c r="C130" s="89">
        <f t="shared" si="15"/>
        <v>4418.7999999999993</v>
      </c>
      <c r="F130" s="89">
        <f t="shared" si="10"/>
        <v>4418.7999999999993</v>
      </c>
      <c r="G130" s="130">
        <v>0.54285714285714282</v>
      </c>
      <c r="H130" s="90">
        <f t="shared" si="18"/>
        <v>2073.3971428571422</v>
      </c>
      <c r="I130" s="59" t="s">
        <v>377</v>
      </c>
      <c r="J130" s="59" t="s">
        <v>389</v>
      </c>
      <c r="K130" s="59" t="s">
        <v>606</v>
      </c>
      <c r="L130" s="59">
        <v>1</v>
      </c>
      <c r="M130" s="62">
        <v>77</v>
      </c>
      <c r="N130" s="131">
        <v>3.85</v>
      </c>
      <c r="O130" s="132" t="s">
        <v>224</v>
      </c>
      <c r="P130" s="131" t="s">
        <v>385</v>
      </c>
      <c r="Q130" s="61">
        <f t="shared" si="19"/>
        <v>-77</v>
      </c>
      <c r="R130" s="61">
        <f t="shared" si="11"/>
        <v>231</v>
      </c>
      <c r="S130" s="61">
        <f t="shared" si="12"/>
        <v>238.7</v>
      </c>
      <c r="T130" s="61">
        <f t="shared" si="13"/>
        <v>-2580.2000000000003</v>
      </c>
      <c r="U130" s="133">
        <f t="shared" si="14"/>
        <v>-0.58391418484656488</v>
      </c>
      <c r="V130" s="89">
        <f t="shared" si="17"/>
        <v>4341.7999999999993</v>
      </c>
      <c r="W130" s="136"/>
    </row>
    <row r="131" spans="1:23">
      <c r="A131" s="91">
        <v>129</v>
      </c>
      <c r="B131" s="135">
        <v>43519</v>
      </c>
      <c r="C131" s="89">
        <f t="shared" si="15"/>
        <v>4341.7999999999993</v>
      </c>
      <c r="F131" s="89">
        <f t="shared" si="10"/>
        <v>4341.7999999999993</v>
      </c>
      <c r="G131" s="130">
        <v>0.54285714285714282</v>
      </c>
      <c r="H131" s="90">
        <f t="shared" si="18"/>
        <v>1996.3971428571422</v>
      </c>
      <c r="I131" s="59" t="s">
        <v>377</v>
      </c>
      <c r="J131" s="59" t="s">
        <v>442</v>
      </c>
      <c r="K131" s="59" t="s">
        <v>607</v>
      </c>
      <c r="L131" s="59">
        <v>1</v>
      </c>
      <c r="M131" s="62">
        <v>77</v>
      </c>
      <c r="N131" s="131">
        <v>3.55</v>
      </c>
      <c r="O131" s="132" t="s">
        <v>224</v>
      </c>
      <c r="P131" s="131" t="s">
        <v>385</v>
      </c>
      <c r="Q131" s="61">
        <f t="shared" si="19"/>
        <v>-77</v>
      </c>
      <c r="R131" s="61">
        <f t="shared" si="11"/>
        <v>308</v>
      </c>
      <c r="S131" s="61">
        <f t="shared" si="12"/>
        <v>161.69999999999999</v>
      </c>
      <c r="T131" s="61">
        <f t="shared" si="13"/>
        <v>-2657.2000000000003</v>
      </c>
      <c r="U131" s="133">
        <f t="shared" si="14"/>
        <v>-0.61200423787369307</v>
      </c>
      <c r="V131" s="89">
        <f t="shared" si="17"/>
        <v>4264.7999999999993</v>
      </c>
      <c r="W131" s="136"/>
    </row>
    <row r="132" spans="1:23">
      <c r="A132" s="91">
        <v>130</v>
      </c>
      <c r="B132" s="135">
        <v>43519</v>
      </c>
      <c r="C132" s="89">
        <f t="shared" si="15"/>
        <v>4264.7999999999993</v>
      </c>
      <c r="F132" s="89">
        <f t="shared" ref="F132:F195" si="20">+C132+D132-E132</f>
        <v>4264.7999999999993</v>
      </c>
      <c r="G132" s="130">
        <v>0.54285714285714282</v>
      </c>
      <c r="H132" s="90">
        <f t="shared" si="18"/>
        <v>1919.3971428571422</v>
      </c>
      <c r="I132" s="59" t="s">
        <v>377</v>
      </c>
      <c r="J132" s="59" t="s">
        <v>492</v>
      </c>
      <c r="K132" s="59" t="s">
        <v>608</v>
      </c>
      <c r="L132" s="59">
        <v>1</v>
      </c>
      <c r="M132" s="62">
        <v>77</v>
      </c>
      <c r="N132" s="131">
        <v>2.8</v>
      </c>
      <c r="O132" s="132" t="s">
        <v>224</v>
      </c>
      <c r="P132" s="131" t="s">
        <v>380</v>
      </c>
      <c r="Q132" s="61">
        <f t="shared" si="19"/>
        <v>138.6</v>
      </c>
      <c r="R132" s="61">
        <f t="shared" ref="R132:R195" si="21">IF(B132=B131,M132+R131,M132)</f>
        <v>385</v>
      </c>
      <c r="S132" s="61">
        <f t="shared" ref="S132:S195" si="22">IF(B132=B131,+Q132+S131,Q132)</f>
        <v>300.29999999999995</v>
      </c>
      <c r="T132" s="61">
        <f t="shared" ref="T132:T195" si="23">IF(MONTH(B132)=MONTH(B131),T131+Q132,Q132)</f>
        <v>-2518.6000000000004</v>
      </c>
      <c r="U132" s="133">
        <f t="shared" ref="U132:U195" si="24">T132/F132</f>
        <v>-0.59055524291877715</v>
      </c>
      <c r="V132" s="89">
        <f t="shared" si="17"/>
        <v>4403.3999999999996</v>
      </c>
      <c r="W132" s="136"/>
    </row>
    <row r="133" spans="1:23">
      <c r="A133" s="91">
        <v>131</v>
      </c>
      <c r="B133" s="135">
        <v>43519</v>
      </c>
      <c r="C133" s="89">
        <f t="shared" ref="C133:C196" si="25">+V132</f>
        <v>4403.3999999999996</v>
      </c>
      <c r="F133" s="89">
        <f t="shared" si="20"/>
        <v>4403.3999999999996</v>
      </c>
      <c r="G133" s="130">
        <v>0.54285714285714282</v>
      </c>
      <c r="H133" s="90">
        <f t="shared" si="18"/>
        <v>1842.3971428571422</v>
      </c>
      <c r="I133" s="59" t="s">
        <v>377</v>
      </c>
      <c r="J133" s="59" t="s">
        <v>465</v>
      </c>
      <c r="K133" s="59" t="s">
        <v>609</v>
      </c>
      <c r="L133" s="59">
        <v>1</v>
      </c>
      <c r="M133" s="62">
        <v>77</v>
      </c>
      <c r="N133" s="131">
        <v>2.8</v>
      </c>
      <c r="O133" s="132" t="s">
        <v>224</v>
      </c>
      <c r="P133" s="131" t="s">
        <v>385</v>
      </c>
      <c r="Q133" s="61">
        <f t="shared" si="19"/>
        <v>-77</v>
      </c>
      <c r="R133" s="61">
        <f t="shared" si="21"/>
        <v>462</v>
      </c>
      <c r="S133" s="61">
        <f t="shared" si="22"/>
        <v>223.29999999999995</v>
      </c>
      <c r="T133" s="61">
        <f t="shared" si="23"/>
        <v>-2595.6000000000004</v>
      </c>
      <c r="U133" s="133">
        <f t="shared" si="24"/>
        <v>-0.5894536040332472</v>
      </c>
      <c r="V133" s="89">
        <f t="shared" ref="V133:V196" si="26">+F133+Q133</f>
        <v>4326.3999999999996</v>
      </c>
      <c r="W133" s="136"/>
    </row>
    <row r="134" spans="1:23">
      <c r="A134" s="91">
        <v>132</v>
      </c>
      <c r="B134" s="135">
        <v>43519</v>
      </c>
      <c r="C134" s="89">
        <f t="shared" si="25"/>
        <v>4326.3999999999996</v>
      </c>
      <c r="F134" s="89">
        <f t="shared" si="20"/>
        <v>4326.3999999999996</v>
      </c>
      <c r="G134" s="130">
        <v>0.54285714285714282</v>
      </c>
      <c r="H134" s="90">
        <f t="shared" si="18"/>
        <v>1765.3971428571422</v>
      </c>
      <c r="I134" s="59" t="s">
        <v>377</v>
      </c>
      <c r="J134" s="59" t="s">
        <v>526</v>
      </c>
      <c r="K134" s="59" t="s">
        <v>610</v>
      </c>
      <c r="L134" s="59">
        <v>1</v>
      </c>
      <c r="M134" s="62">
        <v>77</v>
      </c>
      <c r="N134" s="131">
        <v>2.68</v>
      </c>
      <c r="O134" s="132" t="s">
        <v>224</v>
      </c>
      <c r="P134" s="131" t="s">
        <v>380</v>
      </c>
      <c r="Q134" s="61">
        <f t="shared" si="19"/>
        <v>129.36000000000001</v>
      </c>
      <c r="R134" s="61">
        <f t="shared" si="21"/>
        <v>539</v>
      </c>
      <c r="S134" s="61">
        <f t="shared" si="22"/>
        <v>352.65999999999997</v>
      </c>
      <c r="T134" s="61">
        <f t="shared" si="23"/>
        <v>-2466.2400000000002</v>
      </c>
      <c r="U134" s="133">
        <f t="shared" si="24"/>
        <v>-0.570044378698225</v>
      </c>
      <c r="V134" s="89">
        <f t="shared" si="26"/>
        <v>4455.7599999999993</v>
      </c>
      <c r="W134" s="136"/>
    </row>
    <row r="135" spans="1:23">
      <c r="A135" s="91">
        <v>133</v>
      </c>
      <c r="B135" s="135">
        <v>43519</v>
      </c>
      <c r="C135" s="89">
        <f t="shared" si="25"/>
        <v>4455.7599999999993</v>
      </c>
      <c r="F135" s="89">
        <f t="shared" si="20"/>
        <v>4455.7599999999993</v>
      </c>
      <c r="G135" s="130">
        <v>0.54285714285714282</v>
      </c>
      <c r="H135" s="90">
        <f t="shared" si="18"/>
        <v>1688.3971428571422</v>
      </c>
      <c r="I135" s="59" t="s">
        <v>377</v>
      </c>
      <c r="J135" s="59" t="s">
        <v>442</v>
      </c>
      <c r="K135" s="59" t="s">
        <v>611</v>
      </c>
      <c r="L135" s="59">
        <v>1</v>
      </c>
      <c r="M135" s="62">
        <v>77</v>
      </c>
      <c r="N135" s="131">
        <v>2.6</v>
      </c>
      <c r="O135" s="132" t="s">
        <v>224</v>
      </c>
      <c r="P135" s="131" t="s">
        <v>385</v>
      </c>
      <c r="Q135" s="61">
        <f t="shared" si="19"/>
        <v>-77</v>
      </c>
      <c r="R135" s="61">
        <f t="shared" si="21"/>
        <v>616</v>
      </c>
      <c r="S135" s="61">
        <f t="shared" si="22"/>
        <v>275.65999999999997</v>
      </c>
      <c r="T135" s="61">
        <f t="shared" si="23"/>
        <v>-2543.2400000000002</v>
      </c>
      <c r="U135" s="133">
        <f t="shared" si="24"/>
        <v>-0.57077580480097689</v>
      </c>
      <c r="V135" s="89">
        <f t="shared" si="26"/>
        <v>4378.7599999999993</v>
      </c>
      <c r="W135" s="136"/>
    </row>
    <row r="136" spans="1:23">
      <c r="A136" s="91">
        <v>134</v>
      </c>
      <c r="B136" s="135">
        <v>43519</v>
      </c>
      <c r="C136" s="89">
        <f t="shared" si="25"/>
        <v>4378.7599999999993</v>
      </c>
      <c r="F136" s="89">
        <f t="shared" si="20"/>
        <v>4378.7599999999993</v>
      </c>
      <c r="G136" s="130">
        <v>0.54285714285714282</v>
      </c>
      <c r="H136" s="90">
        <f t="shared" si="18"/>
        <v>1611.3971428571422</v>
      </c>
      <c r="I136" s="59" t="s">
        <v>377</v>
      </c>
      <c r="J136" s="59" t="s">
        <v>526</v>
      </c>
      <c r="K136" s="59" t="s">
        <v>612</v>
      </c>
      <c r="L136" s="59">
        <v>1</v>
      </c>
      <c r="M136" s="62">
        <v>77</v>
      </c>
      <c r="N136" s="131">
        <v>2.54</v>
      </c>
      <c r="O136" s="132" t="s">
        <v>224</v>
      </c>
      <c r="P136" s="131" t="s">
        <v>380</v>
      </c>
      <c r="Q136" s="61">
        <f t="shared" si="19"/>
        <v>118.58000000000001</v>
      </c>
      <c r="R136" s="61">
        <f t="shared" si="21"/>
        <v>693</v>
      </c>
      <c r="S136" s="61">
        <f t="shared" si="22"/>
        <v>394.24</v>
      </c>
      <c r="T136" s="61">
        <f t="shared" si="23"/>
        <v>-2424.6600000000003</v>
      </c>
      <c r="U136" s="133">
        <f t="shared" si="24"/>
        <v>-0.55373210680649332</v>
      </c>
      <c r="V136" s="89">
        <f t="shared" si="26"/>
        <v>4497.3399999999992</v>
      </c>
      <c r="W136" s="136"/>
    </row>
    <row r="137" spans="1:23">
      <c r="A137" s="91">
        <v>135</v>
      </c>
      <c r="B137" s="135">
        <v>43519</v>
      </c>
      <c r="C137" s="89">
        <f t="shared" si="25"/>
        <v>4497.3399999999992</v>
      </c>
      <c r="F137" s="89">
        <f t="shared" si="20"/>
        <v>4497.3399999999992</v>
      </c>
      <c r="G137" s="130">
        <v>0.54285714285714282</v>
      </c>
      <c r="H137" s="90">
        <f t="shared" si="18"/>
        <v>1534.3971428571422</v>
      </c>
      <c r="I137" s="59" t="s">
        <v>377</v>
      </c>
      <c r="J137" s="59" t="s">
        <v>479</v>
      </c>
      <c r="K137" s="59" t="s">
        <v>613</v>
      </c>
      <c r="L137" s="59">
        <v>1</v>
      </c>
      <c r="M137" s="62">
        <v>77</v>
      </c>
      <c r="N137" s="131">
        <v>2.5299999999999998</v>
      </c>
      <c r="O137" s="132" t="s">
        <v>224</v>
      </c>
      <c r="P137" s="131" t="s">
        <v>385</v>
      </c>
      <c r="Q137" s="61">
        <f t="shared" si="19"/>
        <v>-77</v>
      </c>
      <c r="R137" s="61">
        <f t="shared" si="21"/>
        <v>770</v>
      </c>
      <c r="S137" s="61">
        <f t="shared" si="22"/>
        <v>317.24</v>
      </c>
      <c r="T137" s="61">
        <f t="shared" si="23"/>
        <v>-2501.6600000000003</v>
      </c>
      <c r="U137" s="133">
        <f t="shared" si="24"/>
        <v>-0.5562532519222475</v>
      </c>
      <c r="V137" s="89">
        <f t="shared" si="26"/>
        <v>4420.3399999999992</v>
      </c>
      <c r="W137" s="136"/>
    </row>
    <row r="138" spans="1:23">
      <c r="A138" s="91">
        <v>136</v>
      </c>
      <c r="B138" s="135">
        <v>43519</v>
      </c>
      <c r="C138" s="89">
        <f t="shared" si="25"/>
        <v>4420.3399999999992</v>
      </c>
      <c r="F138" s="89">
        <f t="shared" si="20"/>
        <v>4420.3399999999992</v>
      </c>
      <c r="G138" s="130">
        <v>0.54285714285714282</v>
      </c>
      <c r="H138" s="90">
        <f t="shared" si="18"/>
        <v>1457.3971428571422</v>
      </c>
      <c r="I138" s="59" t="s">
        <v>377</v>
      </c>
      <c r="J138" s="59" t="s">
        <v>462</v>
      </c>
      <c r="K138" s="59" t="s">
        <v>614</v>
      </c>
      <c r="L138" s="59">
        <v>1</v>
      </c>
      <c r="M138" s="62">
        <v>77</v>
      </c>
      <c r="N138" s="131">
        <v>2.4</v>
      </c>
      <c r="O138" s="132" t="s">
        <v>224</v>
      </c>
      <c r="P138" s="131" t="s">
        <v>380</v>
      </c>
      <c r="Q138" s="61">
        <f t="shared" si="19"/>
        <v>107.79999999999998</v>
      </c>
      <c r="R138" s="61">
        <f t="shared" si="21"/>
        <v>847</v>
      </c>
      <c r="S138" s="61">
        <f t="shared" si="22"/>
        <v>425.03999999999996</v>
      </c>
      <c r="T138" s="61">
        <f t="shared" si="23"/>
        <v>-2393.86</v>
      </c>
      <c r="U138" s="133">
        <f t="shared" si="24"/>
        <v>-0.54155562694272397</v>
      </c>
      <c r="V138" s="89">
        <f t="shared" si="26"/>
        <v>4528.1399999999994</v>
      </c>
      <c r="W138" s="136"/>
    </row>
    <row r="139" spans="1:23">
      <c r="A139" s="91">
        <v>137</v>
      </c>
      <c r="B139" s="135">
        <v>43519</v>
      </c>
      <c r="C139" s="89">
        <f t="shared" si="25"/>
        <v>4528.1399999999994</v>
      </c>
      <c r="F139" s="89">
        <f t="shared" si="20"/>
        <v>4528.1399999999994</v>
      </c>
      <c r="G139" s="130">
        <v>0.54285714285714282</v>
      </c>
      <c r="H139" s="90">
        <f t="shared" si="18"/>
        <v>1380.3971428571422</v>
      </c>
      <c r="I139" s="59" t="s">
        <v>377</v>
      </c>
      <c r="J139" s="59" t="s">
        <v>488</v>
      </c>
      <c r="K139" s="59" t="s">
        <v>615</v>
      </c>
      <c r="L139" s="59">
        <v>1</v>
      </c>
      <c r="M139" s="62">
        <v>77</v>
      </c>
      <c r="N139" s="131">
        <v>2.2999999999999998</v>
      </c>
      <c r="O139" s="132" t="s">
        <v>224</v>
      </c>
      <c r="P139" s="131" t="s">
        <v>385</v>
      </c>
      <c r="Q139" s="61">
        <f t="shared" si="19"/>
        <v>-77</v>
      </c>
      <c r="R139" s="61">
        <f t="shared" si="21"/>
        <v>924</v>
      </c>
      <c r="S139" s="61">
        <f t="shared" si="22"/>
        <v>348.03999999999996</v>
      </c>
      <c r="T139" s="61">
        <f t="shared" si="23"/>
        <v>-2470.86</v>
      </c>
      <c r="U139" s="133">
        <f t="shared" si="24"/>
        <v>-0.5456677576223351</v>
      </c>
      <c r="V139" s="89">
        <f t="shared" si="26"/>
        <v>4451.1399999999994</v>
      </c>
      <c r="W139" s="136"/>
    </row>
    <row r="140" spans="1:23">
      <c r="A140" s="91">
        <v>138</v>
      </c>
      <c r="B140" s="135">
        <v>43519</v>
      </c>
      <c r="C140" s="89">
        <f t="shared" si="25"/>
        <v>4451.1399999999994</v>
      </c>
      <c r="F140" s="89">
        <f t="shared" si="20"/>
        <v>4451.1399999999994</v>
      </c>
      <c r="G140" s="130">
        <v>0.54285714285714282</v>
      </c>
      <c r="H140" s="90">
        <f t="shared" si="18"/>
        <v>1303.3971428571422</v>
      </c>
      <c r="I140" s="59" t="s">
        <v>377</v>
      </c>
      <c r="J140" s="59" t="s">
        <v>616</v>
      </c>
      <c r="K140" s="59" t="s">
        <v>617</v>
      </c>
      <c r="L140" s="59">
        <v>1</v>
      </c>
      <c r="M140" s="62">
        <v>77</v>
      </c>
      <c r="N140" s="131">
        <v>2.25</v>
      </c>
      <c r="O140" s="132" t="s">
        <v>224</v>
      </c>
      <c r="P140" s="131" t="s">
        <v>385</v>
      </c>
      <c r="Q140" s="61">
        <f t="shared" si="19"/>
        <v>-77</v>
      </c>
      <c r="R140" s="61">
        <f t="shared" si="21"/>
        <v>1001</v>
      </c>
      <c r="S140" s="61">
        <f t="shared" si="22"/>
        <v>271.03999999999996</v>
      </c>
      <c r="T140" s="61">
        <f t="shared" si="23"/>
        <v>-2547.86</v>
      </c>
      <c r="U140" s="133">
        <f t="shared" si="24"/>
        <v>-0.57240617010473727</v>
      </c>
      <c r="V140" s="89">
        <f t="shared" si="26"/>
        <v>4374.1399999999994</v>
      </c>
      <c r="W140" s="136"/>
    </row>
    <row r="141" spans="1:23">
      <c r="A141" s="91">
        <v>139</v>
      </c>
      <c r="B141" s="135">
        <v>43519</v>
      </c>
      <c r="C141" s="89">
        <f t="shared" si="25"/>
        <v>4374.1399999999994</v>
      </c>
      <c r="F141" s="89">
        <f t="shared" si="20"/>
        <v>4374.1399999999994</v>
      </c>
      <c r="G141" s="130">
        <v>0.54285714285714282</v>
      </c>
      <c r="H141" s="90">
        <f t="shared" si="18"/>
        <v>1226.3971428571422</v>
      </c>
      <c r="I141" s="59" t="s">
        <v>377</v>
      </c>
      <c r="J141" s="59" t="s">
        <v>492</v>
      </c>
      <c r="K141" s="59" t="s">
        <v>618</v>
      </c>
      <c r="L141" s="59">
        <v>1</v>
      </c>
      <c r="M141" s="62">
        <v>77</v>
      </c>
      <c r="N141" s="131">
        <v>2.1800000000000002</v>
      </c>
      <c r="O141" s="132" t="s">
        <v>224</v>
      </c>
      <c r="P141" s="131" t="s">
        <v>380</v>
      </c>
      <c r="Q141" s="61">
        <f t="shared" si="19"/>
        <v>90.860000000000014</v>
      </c>
      <c r="R141" s="61">
        <f t="shared" si="21"/>
        <v>1078</v>
      </c>
      <c r="S141" s="61">
        <f t="shared" si="22"/>
        <v>361.9</v>
      </c>
      <c r="T141" s="61">
        <f t="shared" si="23"/>
        <v>-2457</v>
      </c>
      <c r="U141" s="133">
        <f t="shared" si="24"/>
        <v>-0.56171041621895967</v>
      </c>
      <c r="V141" s="89">
        <f t="shared" si="26"/>
        <v>4464.9999999999991</v>
      </c>
      <c r="W141" s="136"/>
    </row>
    <row r="142" spans="1:23">
      <c r="A142" s="91">
        <v>140</v>
      </c>
      <c r="B142" s="135">
        <v>43519</v>
      </c>
      <c r="C142" s="89">
        <f t="shared" si="25"/>
        <v>4464.9999999999991</v>
      </c>
      <c r="F142" s="89">
        <f t="shared" si="20"/>
        <v>4464.9999999999991</v>
      </c>
      <c r="G142" s="130">
        <v>0.54285714285714282</v>
      </c>
      <c r="H142" s="90">
        <f t="shared" si="18"/>
        <v>1149.3971428571422</v>
      </c>
      <c r="I142" s="59" t="s">
        <v>377</v>
      </c>
      <c r="J142" s="59" t="s">
        <v>482</v>
      </c>
      <c r="K142" s="59" t="s">
        <v>619</v>
      </c>
      <c r="L142" s="59">
        <v>1</v>
      </c>
      <c r="M142" s="62">
        <v>77</v>
      </c>
      <c r="N142" s="131">
        <v>2.1800000000000002</v>
      </c>
      <c r="O142" s="132" t="s">
        <v>224</v>
      </c>
      <c r="P142" s="131" t="s">
        <v>380</v>
      </c>
      <c r="Q142" s="61">
        <f t="shared" si="19"/>
        <v>90.860000000000014</v>
      </c>
      <c r="R142" s="61">
        <f t="shared" si="21"/>
        <v>1155</v>
      </c>
      <c r="S142" s="61">
        <f t="shared" si="22"/>
        <v>452.76</v>
      </c>
      <c r="T142" s="61">
        <f t="shared" si="23"/>
        <v>-2366.14</v>
      </c>
      <c r="U142" s="133">
        <f t="shared" si="24"/>
        <v>-0.52993057110862274</v>
      </c>
      <c r="V142" s="89">
        <f t="shared" si="26"/>
        <v>4555.8599999999988</v>
      </c>
      <c r="W142" s="136"/>
    </row>
    <row r="143" spans="1:23">
      <c r="A143" s="91">
        <v>141</v>
      </c>
      <c r="B143" s="135">
        <v>43519</v>
      </c>
      <c r="C143" s="89">
        <f t="shared" si="25"/>
        <v>4555.8599999999988</v>
      </c>
      <c r="F143" s="89">
        <f t="shared" si="20"/>
        <v>4555.8599999999988</v>
      </c>
      <c r="G143" s="130">
        <v>0.54285714285714282</v>
      </c>
      <c r="H143" s="90">
        <f t="shared" si="18"/>
        <v>1072.3971428571422</v>
      </c>
      <c r="I143" s="59" t="s">
        <v>377</v>
      </c>
      <c r="J143" s="59" t="s">
        <v>488</v>
      </c>
      <c r="K143" s="59" t="s">
        <v>620</v>
      </c>
      <c r="L143" s="59">
        <v>1</v>
      </c>
      <c r="M143" s="62">
        <v>77</v>
      </c>
      <c r="N143" s="131">
        <v>2.1</v>
      </c>
      <c r="O143" s="132" t="s">
        <v>224</v>
      </c>
      <c r="P143" s="131" t="s">
        <v>380</v>
      </c>
      <c r="Q143" s="61">
        <f t="shared" si="19"/>
        <v>84.700000000000017</v>
      </c>
      <c r="R143" s="61">
        <f t="shared" si="21"/>
        <v>1232</v>
      </c>
      <c r="S143" s="61">
        <f t="shared" si="22"/>
        <v>537.46</v>
      </c>
      <c r="T143" s="61">
        <f t="shared" si="23"/>
        <v>-2281.44</v>
      </c>
      <c r="U143" s="133">
        <f t="shared" si="24"/>
        <v>-0.50077043631718288</v>
      </c>
      <c r="V143" s="89">
        <f t="shared" si="26"/>
        <v>4640.5599999999986</v>
      </c>
      <c r="W143" s="136"/>
    </row>
    <row r="144" spans="1:23">
      <c r="A144" s="91">
        <v>142</v>
      </c>
      <c r="B144" s="135">
        <v>43519</v>
      </c>
      <c r="C144" s="89">
        <f t="shared" si="25"/>
        <v>4640.5599999999986</v>
      </c>
      <c r="F144" s="89">
        <f t="shared" si="20"/>
        <v>4640.5599999999986</v>
      </c>
      <c r="G144" s="130">
        <v>0.54285714285714282</v>
      </c>
      <c r="H144" s="90">
        <f t="shared" si="18"/>
        <v>995.39714285714217</v>
      </c>
      <c r="I144" s="59" t="s">
        <v>377</v>
      </c>
      <c r="J144" s="59" t="s">
        <v>458</v>
      </c>
      <c r="K144" s="59" t="s">
        <v>621</v>
      </c>
      <c r="L144" s="59">
        <v>1</v>
      </c>
      <c r="M144" s="62">
        <v>77</v>
      </c>
      <c r="N144" s="131">
        <v>2.0699999999999998</v>
      </c>
      <c r="O144" s="132" t="s">
        <v>224</v>
      </c>
      <c r="P144" s="131" t="s">
        <v>385</v>
      </c>
      <c r="Q144" s="61">
        <f t="shared" si="19"/>
        <v>-77</v>
      </c>
      <c r="R144" s="61">
        <f t="shared" si="21"/>
        <v>1309</v>
      </c>
      <c r="S144" s="61">
        <f t="shared" si="22"/>
        <v>460.46000000000004</v>
      </c>
      <c r="T144" s="61">
        <f t="shared" si="23"/>
        <v>-2358.44</v>
      </c>
      <c r="U144" s="133">
        <f t="shared" si="24"/>
        <v>-0.50822314548244196</v>
      </c>
      <c r="V144" s="89">
        <f t="shared" si="26"/>
        <v>4563.5599999999986</v>
      </c>
      <c r="W144" s="136"/>
    </row>
    <row r="145" spans="1:23">
      <c r="A145" s="91">
        <v>143</v>
      </c>
      <c r="B145" s="135">
        <v>43519</v>
      </c>
      <c r="C145" s="89">
        <f t="shared" si="25"/>
        <v>4563.5599999999986</v>
      </c>
      <c r="F145" s="89">
        <f t="shared" si="20"/>
        <v>4563.5599999999986</v>
      </c>
      <c r="G145" s="130">
        <v>0.54285714285714282</v>
      </c>
      <c r="H145" s="90">
        <f t="shared" si="18"/>
        <v>918.39714285714217</v>
      </c>
      <c r="I145" s="59" t="s">
        <v>377</v>
      </c>
      <c r="J145" s="59" t="s">
        <v>496</v>
      </c>
      <c r="K145" s="59" t="s">
        <v>622</v>
      </c>
      <c r="L145" s="59">
        <v>1</v>
      </c>
      <c r="M145" s="62">
        <v>77</v>
      </c>
      <c r="N145" s="131">
        <v>2.06</v>
      </c>
      <c r="O145" s="132" t="s">
        <v>224</v>
      </c>
      <c r="P145" s="131" t="s">
        <v>385</v>
      </c>
      <c r="Q145" s="61">
        <f t="shared" si="19"/>
        <v>-77</v>
      </c>
      <c r="R145" s="61">
        <f t="shared" si="21"/>
        <v>1386</v>
      </c>
      <c r="S145" s="61">
        <f t="shared" si="22"/>
        <v>383.46000000000004</v>
      </c>
      <c r="T145" s="61">
        <f t="shared" si="23"/>
        <v>-2435.44</v>
      </c>
      <c r="U145" s="133">
        <f t="shared" si="24"/>
        <v>-0.53367108134877173</v>
      </c>
      <c r="V145" s="89">
        <f t="shared" si="26"/>
        <v>4486.5599999999986</v>
      </c>
      <c r="W145" s="136"/>
    </row>
    <row r="146" spans="1:23">
      <c r="A146" s="91">
        <v>144</v>
      </c>
      <c r="B146" s="135">
        <v>43519</v>
      </c>
      <c r="C146" s="89">
        <f t="shared" si="25"/>
        <v>4486.5599999999986</v>
      </c>
      <c r="F146" s="89">
        <f t="shared" si="20"/>
        <v>4486.5599999999986</v>
      </c>
      <c r="G146" s="130">
        <v>0.54285714285714282</v>
      </c>
      <c r="H146" s="90">
        <f t="shared" si="18"/>
        <v>841.39714285714217</v>
      </c>
      <c r="I146" s="59" t="s">
        <v>377</v>
      </c>
      <c r="J146" s="59" t="s">
        <v>490</v>
      </c>
      <c r="K146" s="59" t="s">
        <v>623</v>
      </c>
      <c r="L146" s="59">
        <v>1</v>
      </c>
      <c r="M146" s="62">
        <v>77</v>
      </c>
      <c r="N146" s="131">
        <v>2.04</v>
      </c>
      <c r="O146" s="132" t="s">
        <v>224</v>
      </c>
      <c r="P146" s="131" t="s">
        <v>385</v>
      </c>
      <c r="Q146" s="61">
        <f t="shared" si="19"/>
        <v>-77</v>
      </c>
      <c r="R146" s="61">
        <f t="shared" si="21"/>
        <v>1463</v>
      </c>
      <c r="S146" s="61">
        <f t="shared" si="22"/>
        <v>306.46000000000004</v>
      </c>
      <c r="T146" s="61">
        <f t="shared" si="23"/>
        <v>-2512.44</v>
      </c>
      <c r="U146" s="133">
        <f t="shared" si="24"/>
        <v>-0.5599925109660856</v>
      </c>
      <c r="V146" s="89">
        <f t="shared" si="26"/>
        <v>4409.5599999999986</v>
      </c>
      <c r="W146" s="136"/>
    </row>
    <row r="147" spans="1:23">
      <c r="A147" s="91">
        <v>145</v>
      </c>
      <c r="B147" s="135">
        <v>43519</v>
      </c>
      <c r="C147" s="89">
        <f t="shared" si="25"/>
        <v>4409.5599999999986</v>
      </c>
      <c r="F147" s="89">
        <f t="shared" si="20"/>
        <v>4409.5599999999986</v>
      </c>
      <c r="G147" s="130">
        <v>0.54285714285714282</v>
      </c>
      <c r="H147" s="90">
        <f t="shared" si="18"/>
        <v>764.39714285714217</v>
      </c>
      <c r="I147" s="59" t="s">
        <v>377</v>
      </c>
      <c r="J147" s="59" t="s">
        <v>482</v>
      </c>
      <c r="K147" s="59" t="s">
        <v>624</v>
      </c>
      <c r="L147" s="59">
        <v>1</v>
      </c>
      <c r="M147" s="62">
        <v>77</v>
      </c>
      <c r="N147" s="131">
        <v>1.95</v>
      </c>
      <c r="O147" s="132" t="s">
        <v>224</v>
      </c>
      <c r="P147" s="131" t="s">
        <v>385</v>
      </c>
      <c r="Q147" s="61">
        <f t="shared" si="19"/>
        <v>-77</v>
      </c>
      <c r="R147" s="61">
        <f t="shared" si="21"/>
        <v>1540</v>
      </c>
      <c r="S147" s="61">
        <f t="shared" si="22"/>
        <v>229.46000000000004</v>
      </c>
      <c r="T147" s="61">
        <f t="shared" si="23"/>
        <v>-2589.44</v>
      </c>
      <c r="U147" s="133">
        <f t="shared" si="24"/>
        <v>-0.58723319333448254</v>
      </c>
      <c r="V147" s="89">
        <f t="shared" si="26"/>
        <v>4332.5599999999986</v>
      </c>
      <c r="W147" s="136"/>
    </row>
    <row r="148" spans="1:23">
      <c r="A148" s="91">
        <v>146</v>
      </c>
      <c r="B148" s="135">
        <v>43519</v>
      </c>
      <c r="C148" s="89">
        <f t="shared" si="25"/>
        <v>4332.5599999999986</v>
      </c>
      <c r="F148" s="89">
        <f t="shared" si="20"/>
        <v>4332.5599999999986</v>
      </c>
      <c r="G148" s="130">
        <v>0.54285714285714282</v>
      </c>
      <c r="H148" s="90">
        <f t="shared" si="18"/>
        <v>687.39714285714217</v>
      </c>
      <c r="I148" s="59" t="s">
        <v>377</v>
      </c>
      <c r="J148" s="59" t="s">
        <v>482</v>
      </c>
      <c r="K148" s="59" t="s">
        <v>625</v>
      </c>
      <c r="L148" s="59">
        <v>1</v>
      </c>
      <c r="M148" s="62">
        <v>77</v>
      </c>
      <c r="N148" s="131">
        <v>1.88</v>
      </c>
      <c r="O148" s="132" t="s">
        <v>224</v>
      </c>
      <c r="P148" s="131" t="s">
        <v>385</v>
      </c>
      <c r="Q148" s="61">
        <f t="shared" si="19"/>
        <v>-77</v>
      </c>
      <c r="R148" s="61">
        <f t="shared" si="21"/>
        <v>1617</v>
      </c>
      <c r="S148" s="61">
        <f t="shared" si="22"/>
        <v>152.46000000000004</v>
      </c>
      <c r="T148" s="61">
        <f t="shared" si="23"/>
        <v>-2666.44</v>
      </c>
      <c r="U148" s="133">
        <f t="shared" si="24"/>
        <v>-0.61544214044352552</v>
      </c>
      <c r="V148" s="89">
        <f t="shared" si="26"/>
        <v>4255.5599999999986</v>
      </c>
      <c r="W148" s="136"/>
    </row>
    <row r="149" spans="1:23">
      <c r="A149" s="91">
        <v>147</v>
      </c>
      <c r="B149" s="135">
        <v>43519</v>
      </c>
      <c r="C149" s="89">
        <f t="shared" si="25"/>
        <v>4255.5599999999986</v>
      </c>
      <c r="F149" s="89">
        <f t="shared" si="20"/>
        <v>4255.5599999999986</v>
      </c>
      <c r="G149" s="130">
        <v>0.54285714285714282</v>
      </c>
      <c r="H149" s="90">
        <f t="shared" si="18"/>
        <v>610.39714285714217</v>
      </c>
      <c r="I149" s="59" t="s">
        <v>377</v>
      </c>
      <c r="J149" s="59" t="s">
        <v>482</v>
      </c>
      <c r="K149" s="59" t="s">
        <v>626</v>
      </c>
      <c r="L149" s="59">
        <v>1</v>
      </c>
      <c r="M149" s="62">
        <v>77</v>
      </c>
      <c r="N149" s="131">
        <v>1.88</v>
      </c>
      <c r="O149" s="132" t="s">
        <v>224</v>
      </c>
      <c r="P149" s="131" t="s">
        <v>385</v>
      </c>
      <c r="Q149" s="61">
        <f t="shared" si="19"/>
        <v>-77</v>
      </c>
      <c r="R149" s="61">
        <f t="shared" si="21"/>
        <v>1694</v>
      </c>
      <c r="S149" s="61">
        <f t="shared" si="22"/>
        <v>75.460000000000036</v>
      </c>
      <c r="T149" s="61">
        <f t="shared" si="23"/>
        <v>-2743.44</v>
      </c>
      <c r="U149" s="133">
        <f t="shared" si="24"/>
        <v>-0.64467191156980541</v>
      </c>
      <c r="V149" s="89">
        <f t="shared" si="26"/>
        <v>4178.5599999999986</v>
      </c>
      <c r="W149" s="136"/>
    </row>
    <row r="150" spans="1:23">
      <c r="A150" s="91">
        <v>148</v>
      </c>
      <c r="B150" s="135">
        <v>43519</v>
      </c>
      <c r="C150" s="89">
        <f t="shared" si="25"/>
        <v>4178.5599999999986</v>
      </c>
      <c r="F150" s="89">
        <f t="shared" si="20"/>
        <v>4178.5599999999986</v>
      </c>
      <c r="G150" s="130">
        <v>0.54285714285714282</v>
      </c>
      <c r="H150" s="90">
        <f t="shared" si="18"/>
        <v>533.39714285714217</v>
      </c>
      <c r="I150" s="59" t="s">
        <v>377</v>
      </c>
      <c r="J150" s="59" t="s">
        <v>486</v>
      </c>
      <c r="K150" s="59" t="s">
        <v>627</v>
      </c>
      <c r="L150" s="59">
        <v>1</v>
      </c>
      <c r="M150" s="62">
        <v>77</v>
      </c>
      <c r="N150" s="131">
        <v>1.87</v>
      </c>
      <c r="O150" s="132" t="s">
        <v>224</v>
      </c>
      <c r="P150" s="131" t="s">
        <v>380</v>
      </c>
      <c r="Q150" s="61">
        <f t="shared" si="19"/>
        <v>66.990000000000009</v>
      </c>
      <c r="R150" s="61">
        <f t="shared" si="21"/>
        <v>1771</v>
      </c>
      <c r="S150" s="61">
        <f t="shared" si="22"/>
        <v>142.45000000000005</v>
      </c>
      <c r="T150" s="61">
        <f t="shared" si="23"/>
        <v>-2676.45</v>
      </c>
      <c r="U150" s="133">
        <f t="shared" si="24"/>
        <v>-0.6405197005667026</v>
      </c>
      <c r="V150" s="89">
        <f t="shared" si="26"/>
        <v>4245.5499999999984</v>
      </c>
      <c r="W150" s="136"/>
    </row>
    <row r="151" spans="1:23">
      <c r="A151" s="91">
        <v>149</v>
      </c>
      <c r="B151" s="135">
        <v>43519</v>
      </c>
      <c r="C151" s="89">
        <f t="shared" si="25"/>
        <v>4245.5499999999984</v>
      </c>
      <c r="F151" s="89">
        <f t="shared" si="20"/>
        <v>4245.5499999999984</v>
      </c>
      <c r="G151" s="130">
        <v>0.54285714285714282</v>
      </c>
      <c r="H151" s="90">
        <f t="shared" si="18"/>
        <v>456.39714285714217</v>
      </c>
      <c r="I151" s="59" t="s">
        <v>377</v>
      </c>
      <c r="J151" s="59" t="s">
        <v>492</v>
      </c>
      <c r="K151" s="59" t="s">
        <v>628</v>
      </c>
      <c r="L151" s="59">
        <v>1</v>
      </c>
      <c r="M151" s="62">
        <v>77</v>
      </c>
      <c r="N151" s="131">
        <v>1.8</v>
      </c>
      <c r="O151" s="132" t="s">
        <v>224</v>
      </c>
      <c r="P151" s="131" t="s">
        <v>385</v>
      </c>
      <c r="Q151" s="61">
        <f t="shared" si="19"/>
        <v>-77</v>
      </c>
      <c r="R151" s="61">
        <f t="shared" si="21"/>
        <v>1848</v>
      </c>
      <c r="S151" s="61">
        <f t="shared" si="22"/>
        <v>65.450000000000045</v>
      </c>
      <c r="T151" s="61">
        <f t="shared" si="23"/>
        <v>-2753.45</v>
      </c>
      <c r="U151" s="133">
        <f t="shared" si="24"/>
        <v>-0.64854965787707153</v>
      </c>
      <c r="V151" s="89">
        <f t="shared" si="26"/>
        <v>4168.5499999999984</v>
      </c>
      <c r="W151" s="136"/>
    </row>
    <row r="152" spans="1:23">
      <c r="A152" s="91">
        <v>150</v>
      </c>
      <c r="B152" s="135">
        <v>43519</v>
      </c>
      <c r="C152" s="89">
        <f t="shared" si="25"/>
        <v>4168.5499999999984</v>
      </c>
      <c r="F152" s="89">
        <f t="shared" si="20"/>
        <v>4168.5499999999984</v>
      </c>
      <c r="G152" s="130">
        <v>0.54285714285714282</v>
      </c>
      <c r="H152" s="90">
        <f t="shared" si="18"/>
        <v>379.39714285714217</v>
      </c>
      <c r="I152" s="59" t="s">
        <v>377</v>
      </c>
      <c r="J152" s="59" t="s">
        <v>506</v>
      </c>
      <c r="K152" s="59" t="s">
        <v>629</v>
      </c>
      <c r="L152" s="59">
        <v>1</v>
      </c>
      <c r="M152" s="62">
        <v>77</v>
      </c>
      <c r="N152" s="131">
        <v>1.77</v>
      </c>
      <c r="O152" s="132" t="s">
        <v>224</v>
      </c>
      <c r="P152" s="131" t="s">
        <v>380</v>
      </c>
      <c r="Q152" s="61">
        <f t="shared" si="19"/>
        <v>59.289999999999992</v>
      </c>
      <c r="R152" s="61">
        <f t="shared" si="21"/>
        <v>1925</v>
      </c>
      <c r="S152" s="61">
        <f t="shared" si="22"/>
        <v>124.74000000000004</v>
      </c>
      <c r="T152" s="61">
        <f t="shared" si="23"/>
        <v>-2694.16</v>
      </c>
      <c r="U152" s="133">
        <f t="shared" si="24"/>
        <v>-0.64630626956615633</v>
      </c>
      <c r="V152" s="89">
        <f t="shared" si="26"/>
        <v>4227.8399999999983</v>
      </c>
      <c r="W152" s="136"/>
    </row>
    <row r="153" spans="1:23">
      <c r="A153" s="91">
        <v>151</v>
      </c>
      <c r="B153" s="135">
        <v>43519</v>
      </c>
      <c r="C153" s="89">
        <f t="shared" si="25"/>
        <v>4227.8399999999983</v>
      </c>
      <c r="F153" s="89">
        <f t="shared" si="20"/>
        <v>4227.8399999999983</v>
      </c>
      <c r="G153" s="130">
        <v>0.54285714285714282</v>
      </c>
      <c r="H153" s="90">
        <f t="shared" si="18"/>
        <v>302.39714285714217</v>
      </c>
      <c r="I153" s="59" t="s">
        <v>377</v>
      </c>
      <c r="J153" s="59" t="s">
        <v>531</v>
      </c>
      <c r="K153" s="59" t="s">
        <v>630</v>
      </c>
      <c r="L153" s="59">
        <v>1</v>
      </c>
      <c r="M153" s="62">
        <v>77</v>
      </c>
      <c r="N153" s="131">
        <v>1.76</v>
      </c>
      <c r="O153" s="132" t="s">
        <v>224</v>
      </c>
      <c r="P153" s="131" t="s">
        <v>385</v>
      </c>
      <c r="Q153" s="61">
        <f t="shared" si="19"/>
        <v>-77</v>
      </c>
      <c r="R153" s="61">
        <f t="shared" si="21"/>
        <v>2002</v>
      </c>
      <c r="S153" s="61">
        <f t="shared" si="22"/>
        <v>47.740000000000038</v>
      </c>
      <c r="T153" s="61">
        <f t="shared" si="23"/>
        <v>-2771.16</v>
      </c>
      <c r="U153" s="133">
        <f t="shared" si="24"/>
        <v>-0.65545526793823816</v>
      </c>
      <c r="V153" s="89">
        <f t="shared" si="26"/>
        <v>4150.8399999999983</v>
      </c>
      <c r="W153" s="136"/>
    </row>
    <row r="154" spans="1:23">
      <c r="A154" s="91">
        <v>152</v>
      </c>
      <c r="B154" s="135">
        <v>43519</v>
      </c>
      <c r="C154" s="89">
        <f t="shared" si="25"/>
        <v>4150.8399999999983</v>
      </c>
      <c r="F154" s="89">
        <f t="shared" si="20"/>
        <v>4150.8399999999983</v>
      </c>
      <c r="G154" s="130">
        <v>0.54285714285714282</v>
      </c>
      <c r="H154" s="90">
        <f t="shared" si="18"/>
        <v>225.39714285714217</v>
      </c>
      <c r="I154" s="59" t="s">
        <v>377</v>
      </c>
      <c r="J154" s="59" t="s">
        <v>492</v>
      </c>
      <c r="K154" s="59" t="s">
        <v>631</v>
      </c>
      <c r="L154" s="59">
        <v>1</v>
      </c>
      <c r="M154" s="62">
        <v>77</v>
      </c>
      <c r="N154" s="131">
        <v>1.74</v>
      </c>
      <c r="O154" s="132" t="s">
        <v>224</v>
      </c>
      <c r="P154" s="131" t="s">
        <v>589</v>
      </c>
      <c r="Q154" s="61">
        <f t="shared" si="19"/>
        <v>0</v>
      </c>
      <c r="R154" s="61">
        <f t="shared" si="21"/>
        <v>2079</v>
      </c>
      <c r="S154" s="61">
        <f t="shared" si="22"/>
        <v>47.740000000000038</v>
      </c>
      <c r="T154" s="61">
        <f t="shared" si="23"/>
        <v>-2771.16</v>
      </c>
      <c r="U154" s="133">
        <f t="shared" si="24"/>
        <v>-0.66761426602808127</v>
      </c>
      <c r="V154" s="89">
        <f t="shared" si="26"/>
        <v>4150.8399999999983</v>
      </c>
      <c r="W154" s="136"/>
    </row>
    <row r="155" spans="1:23">
      <c r="A155" s="91">
        <v>153</v>
      </c>
      <c r="B155" s="135">
        <v>43519</v>
      </c>
      <c r="C155" s="89">
        <f t="shared" si="25"/>
        <v>4150.8399999999983</v>
      </c>
      <c r="F155" s="89">
        <f t="shared" si="20"/>
        <v>4150.8399999999983</v>
      </c>
      <c r="G155" s="130">
        <v>0.54285714285714282</v>
      </c>
      <c r="H155" s="90">
        <f t="shared" si="18"/>
        <v>148.39714285714217</v>
      </c>
      <c r="I155" s="59" t="s">
        <v>377</v>
      </c>
      <c r="J155" s="59" t="s">
        <v>536</v>
      </c>
      <c r="K155" s="59" t="s">
        <v>632</v>
      </c>
      <c r="L155" s="59">
        <v>1</v>
      </c>
      <c r="M155" s="62">
        <v>77</v>
      </c>
      <c r="N155" s="131">
        <v>1.68</v>
      </c>
      <c r="O155" s="132" t="s">
        <v>224</v>
      </c>
      <c r="P155" s="131" t="s">
        <v>385</v>
      </c>
      <c r="Q155" s="61">
        <f t="shared" si="19"/>
        <v>-77</v>
      </c>
      <c r="R155" s="61">
        <f t="shared" si="21"/>
        <v>2156</v>
      </c>
      <c r="S155" s="61">
        <f t="shared" si="22"/>
        <v>-29.259999999999962</v>
      </c>
      <c r="T155" s="61">
        <f t="shared" si="23"/>
        <v>-2848.16</v>
      </c>
      <c r="U155" s="133">
        <f t="shared" si="24"/>
        <v>-0.68616472810322759</v>
      </c>
      <c r="V155" s="89">
        <f t="shared" si="26"/>
        <v>4073.8399999999983</v>
      </c>
      <c r="W155" s="136"/>
    </row>
    <row r="156" spans="1:23">
      <c r="A156" s="91">
        <v>154</v>
      </c>
      <c r="B156" s="135">
        <v>43519</v>
      </c>
      <c r="C156" s="89">
        <f t="shared" si="25"/>
        <v>4073.8399999999983</v>
      </c>
      <c r="F156" s="89">
        <f t="shared" si="20"/>
        <v>4073.8399999999983</v>
      </c>
      <c r="G156" s="130">
        <v>0.54285714285714282</v>
      </c>
      <c r="H156" s="90">
        <f t="shared" si="18"/>
        <v>71.397142857142171</v>
      </c>
      <c r="I156" s="59" t="s">
        <v>377</v>
      </c>
      <c r="J156" s="59" t="s">
        <v>508</v>
      </c>
      <c r="K156" s="59" t="s">
        <v>633</v>
      </c>
      <c r="L156" s="59">
        <v>1</v>
      </c>
      <c r="M156" s="62">
        <v>77</v>
      </c>
      <c r="N156" s="131">
        <v>1.68</v>
      </c>
      <c r="O156" s="132" t="s">
        <v>224</v>
      </c>
      <c r="P156" s="131" t="s">
        <v>385</v>
      </c>
      <c r="Q156" s="61">
        <f t="shared" si="19"/>
        <v>-77</v>
      </c>
      <c r="R156" s="61">
        <f t="shared" si="21"/>
        <v>2233</v>
      </c>
      <c r="S156" s="61">
        <f t="shared" si="22"/>
        <v>-106.25999999999996</v>
      </c>
      <c r="T156" s="61">
        <f t="shared" si="23"/>
        <v>-2925.16</v>
      </c>
      <c r="U156" s="133">
        <f t="shared" si="24"/>
        <v>-0.71803507256053278</v>
      </c>
      <c r="V156" s="89">
        <f t="shared" si="26"/>
        <v>3996.8399999999983</v>
      </c>
      <c r="W156" s="136"/>
    </row>
    <row r="157" spans="1:23">
      <c r="A157" s="91">
        <v>155</v>
      </c>
      <c r="B157" s="135">
        <v>43519</v>
      </c>
      <c r="C157" s="89">
        <f t="shared" si="25"/>
        <v>3996.8399999999983</v>
      </c>
      <c r="F157" s="89">
        <f t="shared" si="20"/>
        <v>3996.8399999999983</v>
      </c>
      <c r="G157" s="130">
        <v>0.54285714285714282</v>
      </c>
      <c r="H157" s="90">
        <f t="shared" si="18"/>
        <v>-5.6028571428578289</v>
      </c>
      <c r="I157" s="59" t="s">
        <v>377</v>
      </c>
      <c r="J157" s="59" t="s">
        <v>490</v>
      </c>
      <c r="K157" s="59" t="s">
        <v>634</v>
      </c>
      <c r="L157" s="59">
        <v>1</v>
      </c>
      <c r="M157" s="62">
        <v>77</v>
      </c>
      <c r="N157" s="131">
        <v>1.68</v>
      </c>
      <c r="O157" s="132" t="s">
        <v>224</v>
      </c>
      <c r="P157" s="131" t="s">
        <v>380</v>
      </c>
      <c r="Q157" s="61">
        <f t="shared" si="19"/>
        <v>52.359999999999985</v>
      </c>
      <c r="R157" s="61">
        <f t="shared" si="21"/>
        <v>2310</v>
      </c>
      <c r="S157" s="61">
        <f t="shared" si="22"/>
        <v>-53.899999999999977</v>
      </c>
      <c r="T157" s="61">
        <f t="shared" si="23"/>
        <v>-2872.7999999999997</v>
      </c>
      <c r="U157" s="133">
        <f t="shared" si="24"/>
        <v>-0.71876782658300076</v>
      </c>
      <c r="V157" s="89">
        <f t="shared" si="26"/>
        <v>4049.1999999999985</v>
      </c>
      <c r="W157" s="136"/>
    </row>
    <row r="158" spans="1:23">
      <c r="A158" s="91">
        <v>156</v>
      </c>
      <c r="B158" s="135">
        <v>43519</v>
      </c>
      <c r="C158" s="89">
        <f t="shared" si="25"/>
        <v>4049.1999999999985</v>
      </c>
      <c r="F158" s="89">
        <f t="shared" si="20"/>
        <v>4049.1999999999985</v>
      </c>
      <c r="G158" s="130">
        <v>0.54285714285714282</v>
      </c>
      <c r="H158" s="90">
        <f t="shared" si="18"/>
        <v>-82.602857142857829</v>
      </c>
      <c r="I158" s="59" t="s">
        <v>377</v>
      </c>
      <c r="J158" s="59" t="s">
        <v>506</v>
      </c>
      <c r="K158" s="59" t="s">
        <v>635</v>
      </c>
      <c r="L158" s="59">
        <v>1</v>
      </c>
      <c r="M158" s="62">
        <v>77</v>
      </c>
      <c r="N158" s="131">
        <v>1.57</v>
      </c>
      <c r="O158" s="132" t="s">
        <v>224</v>
      </c>
      <c r="P158" s="131" t="s">
        <v>385</v>
      </c>
      <c r="Q158" s="61">
        <f t="shared" si="19"/>
        <v>-77</v>
      </c>
      <c r="R158" s="61">
        <f t="shared" si="21"/>
        <v>2387</v>
      </c>
      <c r="S158" s="129">
        <f t="shared" si="22"/>
        <v>-130.89999999999998</v>
      </c>
      <c r="T158" s="61">
        <f t="shared" si="23"/>
        <v>-2949.7999999999997</v>
      </c>
      <c r="U158" s="133">
        <f t="shared" si="24"/>
        <v>-0.7284895781882843</v>
      </c>
      <c r="V158" s="89">
        <f t="shared" si="26"/>
        <v>3972.1999999999985</v>
      </c>
      <c r="W158" s="136"/>
    </row>
    <row r="159" spans="1:23">
      <c r="A159" s="91">
        <v>157</v>
      </c>
      <c r="B159" s="128">
        <v>43520</v>
      </c>
      <c r="C159" s="103">
        <f t="shared" si="25"/>
        <v>3972.1999999999985</v>
      </c>
      <c r="D159" s="129"/>
      <c r="E159" s="129"/>
      <c r="F159" s="103">
        <f t="shared" si="20"/>
        <v>3972.1999999999985</v>
      </c>
      <c r="G159" s="130">
        <v>0.53347732181425489</v>
      </c>
      <c r="H159" s="90">
        <f t="shared" si="18"/>
        <v>2119.0786177105824</v>
      </c>
      <c r="I159" s="59" t="s">
        <v>377</v>
      </c>
      <c r="J159" s="59" t="s">
        <v>552</v>
      </c>
      <c r="K159" s="59" t="s">
        <v>636</v>
      </c>
      <c r="L159" s="59">
        <v>1</v>
      </c>
      <c r="M159" s="62">
        <v>123</v>
      </c>
      <c r="N159" s="131">
        <v>3.4</v>
      </c>
      <c r="O159" s="132" t="s">
        <v>224</v>
      </c>
      <c r="P159" s="131" t="s">
        <v>385</v>
      </c>
      <c r="Q159" s="61">
        <f t="shared" si="19"/>
        <v>-123</v>
      </c>
      <c r="R159" s="61">
        <f t="shared" si="21"/>
        <v>123</v>
      </c>
      <c r="S159" s="61">
        <f t="shared" si="22"/>
        <v>-123</v>
      </c>
      <c r="T159" s="61">
        <f t="shared" si="23"/>
        <v>-3072.7999999999997</v>
      </c>
      <c r="U159" s="133">
        <f t="shared" si="24"/>
        <v>-0.77357635567192007</v>
      </c>
      <c r="V159" s="89">
        <f t="shared" si="26"/>
        <v>3849.1999999999985</v>
      </c>
      <c r="W159" s="136"/>
    </row>
    <row r="160" spans="1:23">
      <c r="A160" s="91">
        <v>158</v>
      </c>
      <c r="B160" s="135">
        <v>43520</v>
      </c>
      <c r="C160" s="89">
        <f t="shared" si="25"/>
        <v>3849.1999999999985</v>
      </c>
      <c r="F160" s="89">
        <f t="shared" si="20"/>
        <v>3849.1999999999985</v>
      </c>
      <c r="G160" s="130">
        <v>0.53347732181425489</v>
      </c>
      <c r="H160" s="90">
        <f t="shared" si="18"/>
        <v>1996.0786177105824</v>
      </c>
      <c r="I160" s="59" t="s">
        <v>377</v>
      </c>
      <c r="J160" s="59" t="s">
        <v>486</v>
      </c>
      <c r="K160" s="59" t="s">
        <v>637</v>
      </c>
      <c r="L160" s="59">
        <v>1</v>
      </c>
      <c r="M160" s="62">
        <v>123</v>
      </c>
      <c r="N160" s="131">
        <v>3.15</v>
      </c>
      <c r="O160" s="132" t="s">
        <v>224</v>
      </c>
      <c r="P160" s="131" t="s">
        <v>385</v>
      </c>
      <c r="Q160" s="61">
        <f t="shared" si="19"/>
        <v>-123</v>
      </c>
      <c r="R160" s="61">
        <f t="shared" si="21"/>
        <v>246</v>
      </c>
      <c r="S160" s="61">
        <f t="shared" si="22"/>
        <v>-246</v>
      </c>
      <c r="T160" s="61">
        <f t="shared" si="23"/>
        <v>-3195.7999999999997</v>
      </c>
      <c r="U160" s="133">
        <f t="shared" si="24"/>
        <v>-0.83025044165021333</v>
      </c>
      <c r="V160" s="89">
        <f t="shared" si="26"/>
        <v>3726.1999999999985</v>
      </c>
      <c r="W160" s="136"/>
    </row>
    <row r="161" spans="1:23">
      <c r="A161" s="91">
        <v>159</v>
      </c>
      <c r="B161" s="135">
        <v>43520</v>
      </c>
      <c r="C161" s="89">
        <f t="shared" si="25"/>
        <v>3726.1999999999985</v>
      </c>
      <c r="F161" s="89">
        <f t="shared" si="20"/>
        <v>3726.1999999999985</v>
      </c>
      <c r="G161" s="130">
        <v>0.53347732181425489</v>
      </c>
      <c r="H161" s="90">
        <f t="shared" si="18"/>
        <v>1873.0786177105824</v>
      </c>
      <c r="I161" s="59" t="s">
        <v>377</v>
      </c>
      <c r="J161" s="59" t="s">
        <v>552</v>
      </c>
      <c r="K161" s="59" t="s">
        <v>638</v>
      </c>
      <c r="L161" s="59">
        <v>1</v>
      </c>
      <c r="M161" s="62">
        <v>123</v>
      </c>
      <c r="N161" s="131">
        <v>2.92</v>
      </c>
      <c r="O161" s="132" t="s">
        <v>224</v>
      </c>
      <c r="P161" s="131" t="s">
        <v>385</v>
      </c>
      <c r="Q161" s="61">
        <f t="shared" si="19"/>
        <v>-123</v>
      </c>
      <c r="R161" s="61">
        <f t="shared" si="21"/>
        <v>369</v>
      </c>
      <c r="S161" s="61">
        <f t="shared" si="22"/>
        <v>-369</v>
      </c>
      <c r="T161" s="61">
        <f t="shared" si="23"/>
        <v>-3318.7999999999997</v>
      </c>
      <c r="U161" s="133">
        <f t="shared" si="24"/>
        <v>-0.89066609414416864</v>
      </c>
      <c r="V161" s="89">
        <f t="shared" si="26"/>
        <v>3603.1999999999985</v>
      </c>
      <c r="W161" s="136"/>
    </row>
    <row r="162" spans="1:23">
      <c r="A162" s="91">
        <v>160</v>
      </c>
      <c r="B162" s="135">
        <v>43520</v>
      </c>
      <c r="C162" s="89">
        <f t="shared" si="25"/>
        <v>3603.1999999999985</v>
      </c>
      <c r="F162" s="89">
        <f t="shared" si="20"/>
        <v>3603.1999999999985</v>
      </c>
      <c r="G162" s="130">
        <v>0.53347732181425489</v>
      </c>
      <c r="H162" s="90">
        <f t="shared" si="18"/>
        <v>1750.0786177105824</v>
      </c>
      <c r="I162" s="59" t="s">
        <v>377</v>
      </c>
      <c r="J162" s="59" t="s">
        <v>599</v>
      </c>
      <c r="K162" s="59" t="s">
        <v>639</v>
      </c>
      <c r="L162" s="59">
        <v>1</v>
      </c>
      <c r="M162" s="62">
        <v>123</v>
      </c>
      <c r="N162" s="131">
        <v>2.44</v>
      </c>
      <c r="O162" s="132" t="s">
        <v>224</v>
      </c>
      <c r="P162" s="131" t="s">
        <v>380</v>
      </c>
      <c r="Q162" s="61">
        <f t="shared" si="19"/>
        <v>177.12</v>
      </c>
      <c r="R162" s="61">
        <f t="shared" si="21"/>
        <v>492</v>
      </c>
      <c r="S162" s="61">
        <f t="shared" si="22"/>
        <v>-191.88</v>
      </c>
      <c r="T162" s="61">
        <f t="shared" si="23"/>
        <v>-3141.68</v>
      </c>
      <c r="U162" s="133">
        <f t="shared" si="24"/>
        <v>-0.87191385435168767</v>
      </c>
      <c r="V162" s="89">
        <f t="shared" si="26"/>
        <v>3780.3199999999983</v>
      </c>
      <c r="W162" s="136"/>
    </row>
    <row r="163" spans="1:23">
      <c r="A163" s="91">
        <v>161</v>
      </c>
      <c r="B163" s="135">
        <v>43520</v>
      </c>
      <c r="C163" s="89">
        <f t="shared" si="25"/>
        <v>3780.3199999999983</v>
      </c>
      <c r="F163" s="89">
        <f t="shared" si="20"/>
        <v>3780.3199999999983</v>
      </c>
      <c r="G163" s="130">
        <v>0.53347732181425489</v>
      </c>
      <c r="H163" s="90">
        <f t="shared" si="18"/>
        <v>1627.0786177105824</v>
      </c>
      <c r="I163" s="59" t="s">
        <v>377</v>
      </c>
      <c r="J163" s="59" t="s">
        <v>640</v>
      </c>
      <c r="K163" s="59" t="s">
        <v>641</v>
      </c>
      <c r="L163" s="59">
        <v>1</v>
      </c>
      <c r="M163" s="62">
        <v>123</v>
      </c>
      <c r="N163" s="131">
        <v>2.42</v>
      </c>
      <c r="O163" s="132" t="s">
        <v>224</v>
      </c>
      <c r="P163" s="131" t="s">
        <v>385</v>
      </c>
      <c r="Q163" s="61">
        <f t="shared" si="19"/>
        <v>-123</v>
      </c>
      <c r="R163" s="61">
        <f t="shared" si="21"/>
        <v>615</v>
      </c>
      <c r="S163" s="61">
        <f t="shared" si="22"/>
        <v>-314.88</v>
      </c>
      <c r="T163" s="61">
        <f t="shared" si="23"/>
        <v>-3264.68</v>
      </c>
      <c r="U163" s="133">
        <f t="shared" si="24"/>
        <v>-0.86359884877470727</v>
      </c>
      <c r="V163" s="89">
        <f t="shared" si="26"/>
        <v>3657.3199999999983</v>
      </c>
      <c r="W163" s="136"/>
    </row>
    <row r="164" spans="1:23">
      <c r="A164" s="91">
        <v>162</v>
      </c>
      <c r="B164" s="135">
        <v>43520</v>
      </c>
      <c r="C164" s="89">
        <f t="shared" si="25"/>
        <v>3657.3199999999983</v>
      </c>
      <c r="F164" s="89">
        <f t="shared" si="20"/>
        <v>3657.3199999999983</v>
      </c>
      <c r="G164" s="130">
        <v>0.53347732181425489</v>
      </c>
      <c r="H164" s="90">
        <f t="shared" si="18"/>
        <v>1504.0786177105824</v>
      </c>
      <c r="I164" s="59" t="s">
        <v>377</v>
      </c>
      <c r="J164" s="59" t="s">
        <v>642</v>
      </c>
      <c r="K164" s="59" t="s">
        <v>643</v>
      </c>
      <c r="L164" s="59">
        <v>1</v>
      </c>
      <c r="M164" s="62">
        <v>123</v>
      </c>
      <c r="N164" s="131">
        <v>2.2999999999999998</v>
      </c>
      <c r="O164" s="132" t="s">
        <v>224</v>
      </c>
      <c r="P164" s="131" t="s">
        <v>380</v>
      </c>
      <c r="Q164" s="61">
        <f t="shared" si="19"/>
        <v>159.89999999999998</v>
      </c>
      <c r="R164" s="61">
        <f t="shared" si="21"/>
        <v>738</v>
      </c>
      <c r="S164" s="61">
        <f t="shared" si="22"/>
        <v>-154.98000000000002</v>
      </c>
      <c r="T164" s="61">
        <f t="shared" si="23"/>
        <v>-3104.7799999999997</v>
      </c>
      <c r="U164" s="133">
        <f t="shared" si="24"/>
        <v>-0.84892216158279865</v>
      </c>
      <c r="V164" s="89">
        <f t="shared" si="26"/>
        <v>3817.2199999999984</v>
      </c>
      <c r="W164" s="136"/>
    </row>
    <row r="165" spans="1:23">
      <c r="A165" s="91">
        <v>163</v>
      </c>
      <c r="B165" s="135">
        <v>43520</v>
      </c>
      <c r="C165" s="89">
        <f t="shared" si="25"/>
        <v>3817.2199999999984</v>
      </c>
      <c r="F165" s="89">
        <f t="shared" si="20"/>
        <v>3817.2199999999984</v>
      </c>
      <c r="G165" s="130">
        <v>0.53347732181425489</v>
      </c>
      <c r="H165" s="90">
        <f t="shared" si="18"/>
        <v>1381.0786177105824</v>
      </c>
      <c r="I165" s="59" t="s">
        <v>377</v>
      </c>
      <c r="J165" s="59" t="s">
        <v>462</v>
      </c>
      <c r="K165" s="59" t="s">
        <v>644</v>
      </c>
      <c r="L165" s="59">
        <v>1</v>
      </c>
      <c r="M165" s="62">
        <v>123</v>
      </c>
      <c r="N165" s="131">
        <v>2.2200000000000002</v>
      </c>
      <c r="O165" s="132" t="s">
        <v>224</v>
      </c>
      <c r="P165" s="131" t="s">
        <v>385</v>
      </c>
      <c r="Q165" s="61">
        <f t="shared" si="19"/>
        <v>-123</v>
      </c>
      <c r="R165" s="61">
        <f t="shared" si="21"/>
        <v>861</v>
      </c>
      <c r="S165" s="61">
        <f t="shared" si="22"/>
        <v>-277.98</v>
      </c>
      <c r="T165" s="61">
        <f t="shared" si="23"/>
        <v>-3227.7799999999997</v>
      </c>
      <c r="U165" s="133">
        <f t="shared" si="24"/>
        <v>-0.84558395900681671</v>
      </c>
      <c r="V165" s="89">
        <f t="shared" si="26"/>
        <v>3694.2199999999984</v>
      </c>
      <c r="W165" s="136"/>
    </row>
    <row r="166" spans="1:23">
      <c r="A166" s="91">
        <v>164</v>
      </c>
      <c r="B166" s="135">
        <v>43520</v>
      </c>
      <c r="C166" s="89">
        <f t="shared" si="25"/>
        <v>3694.2199999999984</v>
      </c>
      <c r="F166" s="89">
        <f t="shared" si="20"/>
        <v>3694.2199999999984</v>
      </c>
      <c r="G166" s="130">
        <v>0.53347732181425489</v>
      </c>
      <c r="H166" s="90">
        <f t="shared" si="18"/>
        <v>1258.0786177105824</v>
      </c>
      <c r="I166" s="59" t="s">
        <v>377</v>
      </c>
      <c r="J166" s="59" t="s">
        <v>458</v>
      </c>
      <c r="K166" s="59" t="s">
        <v>645</v>
      </c>
      <c r="L166" s="59">
        <v>1</v>
      </c>
      <c r="M166" s="62">
        <v>123</v>
      </c>
      <c r="N166" s="131">
        <v>2.1800000000000002</v>
      </c>
      <c r="O166" s="132" t="s">
        <v>224</v>
      </c>
      <c r="P166" s="131" t="s">
        <v>380</v>
      </c>
      <c r="Q166" s="61">
        <f t="shared" si="19"/>
        <v>145.14000000000004</v>
      </c>
      <c r="R166" s="61">
        <f t="shared" si="21"/>
        <v>984</v>
      </c>
      <c r="S166" s="61">
        <f t="shared" si="22"/>
        <v>-132.83999999999997</v>
      </c>
      <c r="T166" s="61">
        <f t="shared" si="23"/>
        <v>-3082.64</v>
      </c>
      <c r="U166" s="133">
        <f t="shared" si="24"/>
        <v>-0.83444949136759616</v>
      </c>
      <c r="V166" s="89">
        <f t="shared" si="26"/>
        <v>3839.3599999999983</v>
      </c>
      <c r="W166" s="136"/>
    </row>
    <row r="167" spans="1:23">
      <c r="A167" s="91">
        <v>165</v>
      </c>
      <c r="B167" s="135">
        <v>43520</v>
      </c>
      <c r="C167" s="89">
        <f t="shared" si="25"/>
        <v>3839.3599999999983</v>
      </c>
      <c r="F167" s="89">
        <f t="shared" si="20"/>
        <v>3839.3599999999983</v>
      </c>
      <c r="G167" s="130">
        <v>0.53347732181425489</v>
      </c>
      <c r="H167" s="90">
        <f t="shared" si="18"/>
        <v>1135.0786177105824</v>
      </c>
      <c r="I167" s="59" t="s">
        <v>377</v>
      </c>
      <c r="J167" s="59" t="s">
        <v>526</v>
      </c>
      <c r="K167" s="59" t="s">
        <v>646</v>
      </c>
      <c r="L167" s="59">
        <v>1</v>
      </c>
      <c r="M167" s="62">
        <v>123</v>
      </c>
      <c r="N167" s="131">
        <v>2.14</v>
      </c>
      <c r="O167" s="132" t="s">
        <v>224</v>
      </c>
      <c r="P167" s="131" t="s">
        <v>380</v>
      </c>
      <c r="Q167" s="61">
        <f t="shared" si="19"/>
        <v>140.22000000000003</v>
      </c>
      <c r="R167" s="61">
        <f t="shared" si="21"/>
        <v>1107</v>
      </c>
      <c r="S167" s="61">
        <f t="shared" si="22"/>
        <v>7.3800000000000523</v>
      </c>
      <c r="T167" s="61">
        <f t="shared" si="23"/>
        <v>-2942.42</v>
      </c>
      <c r="U167" s="133">
        <f t="shared" si="24"/>
        <v>-0.76638293882313757</v>
      </c>
      <c r="V167" s="89">
        <f t="shared" si="26"/>
        <v>3979.5799999999981</v>
      </c>
      <c r="W167" s="136"/>
    </row>
    <row r="168" spans="1:23">
      <c r="A168" s="91">
        <v>166</v>
      </c>
      <c r="B168" s="135">
        <v>43520</v>
      </c>
      <c r="C168" s="89">
        <f t="shared" si="25"/>
        <v>3979.5799999999981</v>
      </c>
      <c r="F168" s="89">
        <f t="shared" si="20"/>
        <v>3979.5799999999981</v>
      </c>
      <c r="G168" s="130">
        <v>0.53347732181425489</v>
      </c>
      <c r="H168" s="90">
        <f t="shared" si="18"/>
        <v>1012.0786177105824</v>
      </c>
      <c r="I168" s="59" t="s">
        <v>377</v>
      </c>
      <c r="J168" s="59" t="s">
        <v>506</v>
      </c>
      <c r="K168" s="59" t="s">
        <v>647</v>
      </c>
      <c r="L168" s="59">
        <v>1</v>
      </c>
      <c r="M168" s="62">
        <v>123</v>
      </c>
      <c r="N168" s="131">
        <v>2.13</v>
      </c>
      <c r="O168" s="132" t="s">
        <v>224</v>
      </c>
      <c r="P168" s="131" t="s">
        <v>385</v>
      </c>
      <c r="Q168" s="61">
        <f t="shared" si="19"/>
        <v>-123</v>
      </c>
      <c r="R168" s="61">
        <f t="shared" si="21"/>
        <v>1230</v>
      </c>
      <c r="S168" s="61">
        <f t="shared" si="22"/>
        <v>-115.61999999999995</v>
      </c>
      <c r="T168" s="61">
        <f t="shared" si="23"/>
        <v>-3065.42</v>
      </c>
      <c r="U168" s="133">
        <f t="shared" si="24"/>
        <v>-0.77028731675201945</v>
      </c>
      <c r="V168" s="89">
        <f t="shared" si="26"/>
        <v>3856.5799999999981</v>
      </c>
      <c r="W168" s="136"/>
    </row>
    <row r="169" spans="1:23">
      <c r="A169" s="91">
        <v>167</v>
      </c>
      <c r="B169" s="135">
        <v>43520</v>
      </c>
      <c r="C169" s="89">
        <f t="shared" si="25"/>
        <v>3856.5799999999981</v>
      </c>
      <c r="F169" s="89">
        <f t="shared" si="20"/>
        <v>3856.5799999999981</v>
      </c>
      <c r="G169" s="130">
        <v>0.53347732181425489</v>
      </c>
      <c r="H169" s="90">
        <f t="shared" si="18"/>
        <v>889.07861771058242</v>
      </c>
      <c r="I169" s="59" t="s">
        <v>377</v>
      </c>
      <c r="J169" s="59" t="s">
        <v>490</v>
      </c>
      <c r="K169" s="59" t="s">
        <v>648</v>
      </c>
      <c r="L169" s="59">
        <v>1</v>
      </c>
      <c r="M169" s="62">
        <v>123</v>
      </c>
      <c r="N169" s="131">
        <v>2.1</v>
      </c>
      <c r="O169" s="132" t="s">
        <v>224</v>
      </c>
      <c r="P169" s="131" t="s">
        <v>380</v>
      </c>
      <c r="Q169" s="61">
        <f t="shared" si="19"/>
        <v>135.30000000000001</v>
      </c>
      <c r="R169" s="61">
        <f t="shared" si="21"/>
        <v>1353</v>
      </c>
      <c r="S169" s="61">
        <f t="shared" si="22"/>
        <v>19.680000000000064</v>
      </c>
      <c r="T169" s="61">
        <f t="shared" si="23"/>
        <v>-2930.12</v>
      </c>
      <c r="U169" s="133">
        <f t="shared" si="24"/>
        <v>-0.75977161111658553</v>
      </c>
      <c r="V169" s="89">
        <f t="shared" si="26"/>
        <v>3991.8799999999983</v>
      </c>
      <c r="W169" s="136"/>
    </row>
    <row r="170" spans="1:23">
      <c r="A170" s="91">
        <v>168</v>
      </c>
      <c r="B170" s="135">
        <v>43520</v>
      </c>
      <c r="C170" s="89">
        <f t="shared" si="25"/>
        <v>3991.8799999999983</v>
      </c>
      <c r="F170" s="89">
        <f t="shared" si="20"/>
        <v>3991.8799999999983</v>
      </c>
      <c r="G170" s="130">
        <v>0.53347732181425489</v>
      </c>
      <c r="H170" s="90">
        <f t="shared" ref="H170:H233" si="27">IF(B170=B169,H169-M169,F170*G170)</f>
        <v>766.07861771058242</v>
      </c>
      <c r="I170" s="59" t="s">
        <v>377</v>
      </c>
      <c r="J170" s="59" t="s">
        <v>521</v>
      </c>
      <c r="K170" s="59" t="s">
        <v>649</v>
      </c>
      <c r="L170" s="59">
        <v>1</v>
      </c>
      <c r="M170" s="62">
        <v>123</v>
      </c>
      <c r="N170" s="131">
        <v>2.06</v>
      </c>
      <c r="O170" s="132" t="s">
        <v>224</v>
      </c>
      <c r="P170" s="131" t="s">
        <v>385</v>
      </c>
      <c r="Q170" s="61">
        <f t="shared" si="19"/>
        <v>-123</v>
      </c>
      <c r="R170" s="61">
        <f t="shared" si="21"/>
        <v>1476</v>
      </c>
      <c r="S170" s="61">
        <f t="shared" si="22"/>
        <v>-103.31999999999994</v>
      </c>
      <c r="T170" s="61">
        <f t="shared" si="23"/>
        <v>-3053.12</v>
      </c>
      <c r="U170" s="133">
        <f t="shared" si="24"/>
        <v>-0.76483261019870363</v>
      </c>
      <c r="V170" s="89">
        <f t="shared" si="26"/>
        <v>3868.8799999999983</v>
      </c>
      <c r="W170" s="136"/>
    </row>
    <row r="171" spans="1:23">
      <c r="A171" s="91">
        <v>169</v>
      </c>
      <c r="B171" s="135">
        <v>43520</v>
      </c>
      <c r="C171" s="89">
        <f t="shared" si="25"/>
        <v>3868.8799999999983</v>
      </c>
      <c r="F171" s="89">
        <f t="shared" si="20"/>
        <v>3868.8799999999983</v>
      </c>
      <c r="G171" s="130">
        <v>0.53347732181425489</v>
      </c>
      <c r="H171" s="90">
        <f t="shared" si="27"/>
        <v>643.07861771058242</v>
      </c>
      <c r="I171" s="59" t="s">
        <v>377</v>
      </c>
      <c r="J171" s="59" t="s">
        <v>490</v>
      </c>
      <c r="K171" s="59" t="s">
        <v>650</v>
      </c>
      <c r="L171" s="59">
        <v>1</v>
      </c>
      <c r="M171" s="62">
        <v>123</v>
      </c>
      <c r="N171" s="131">
        <v>2</v>
      </c>
      <c r="O171" s="132" t="s">
        <v>224</v>
      </c>
      <c r="P171" s="131" t="s">
        <v>380</v>
      </c>
      <c r="Q171" s="61">
        <f t="shared" si="19"/>
        <v>123</v>
      </c>
      <c r="R171" s="61">
        <f t="shared" si="21"/>
        <v>1599</v>
      </c>
      <c r="S171" s="61">
        <f t="shared" si="22"/>
        <v>19.680000000000064</v>
      </c>
      <c r="T171" s="61">
        <f t="shared" si="23"/>
        <v>-2930.12</v>
      </c>
      <c r="U171" s="133">
        <f t="shared" si="24"/>
        <v>-0.75735613407497804</v>
      </c>
      <c r="V171" s="89">
        <f t="shared" si="26"/>
        <v>3991.8799999999983</v>
      </c>
      <c r="W171" s="136"/>
    </row>
    <row r="172" spans="1:23">
      <c r="A172" s="91">
        <v>170</v>
      </c>
      <c r="B172" s="135">
        <v>43520</v>
      </c>
      <c r="C172" s="89">
        <f t="shared" si="25"/>
        <v>3991.8799999999983</v>
      </c>
      <c r="F172" s="89">
        <f t="shared" si="20"/>
        <v>3991.8799999999983</v>
      </c>
      <c r="G172" s="130">
        <v>0.53347732181425489</v>
      </c>
      <c r="H172" s="90">
        <f t="shared" si="27"/>
        <v>520.07861771058242</v>
      </c>
      <c r="I172" s="59" t="s">
        <v>377</v>
      </c>
      <c r="J172" s="59" t="s">
        <v>552</v>
      </c>
      <c r="K172" s="59" t="s">
        <v>651</v>
      </c>
      <c r="L172" s="59">
        <v>1</v>
      </c>
      <c r="M172" s="62">
        <v>123</v>
      </c>
      <c r="N172" s="131">
        <v>1.98</v>
      </c>
      <c r="O172" s="132" t="s">
        <v>224</v>
      </c>
      <c r="P172" s="131" t="s">
        <v>385</v>
      </c>
      <c r="Q172" s="61">
        <f t="shared" si="19"/>
        <v>-123</v>
      </c>
      <c r="R172" s="61">
        <f t="shared" si="21"/>
        <v>1722</v>
      </c>
      <c r="S172" s="129">
        <f t="shared" si="22"/>
        <v>-103.31999999999994</v>
      </c>
      <c r="T172" s="61">
        <f t="shared" si="23"/>
        <v>-3053.12</v>
      </c>
      <c r="U172" s="133">
        <f t="shared" si="24"/>
        <v>-0.76483261019870363</v>
      </c>
      <c r="V172" s="89">
        <f t="shared" si="26"/>
        <v>3868.8799999999983</v>
      </c>
      <c r="W172" s="136"/>
    </row>
    <row r="173" spans="1:23">
      <c r="A173" s="91">
        <v>171</v>
      </c>
      <c r="B173" s="128">
        <v>43521</v>
      </c>
      <c r="C173" s="103">
        <f t="shared" si="25"/>
        <v>3868.8799999999983</v>
      </c>
      <c r="D173" s="129"/>
      <c r="E173" s="129"/>
      <c r="F173" s="103">
        <f t="shared" si="20"/>
        <v>3868.8799999999983</v>
      </c>
      <c r="G173" s="130">
        <v>0.53252032520325199</v>
      </c>
      <c r="H173" s="90">
        <f t="shared" si="27"/>
        <v>2060.2572357723566</v>
      </c>
      <c r="I173" s="59" t="s">
        <v>377</v>
      </c>
      <c r="J173" s="59" t="s">
        <v>488</v>
      </c>
      <c r="K173" s="59" t="s">
        <v>652</v>
      </c>
      <c r="L173" s="59">
        <v>1</v>
      </c>
      <c r="M173" s="62">
        <v>110</v>
      </c>
      <c r="N173" s="131">
        <v>2.42</v>
      </c>
      <c r="O173" s="132" t="s">
        <v>224</v>
      </c>
      <c r="P173" s="131" t="s">
        <v>385</v>
      </c>
      <c r="Q173" s="61">
        <f t="shared" si="19"/>
        <v>-110</v>
      </c>
      <c r="R173" s="61">
        <f t="shared" si="21"/>
        <v>110</v>
      </c>
      <c r="S173" s="61">
        <f t="shared" si="22"/>
        <v>-110</v>
      </c>
      <c r="T173" s="61">
        <f t="shared" si="23"/>
        <v>-3163.12</v>
      </c>
      <c r="U173" s="133">
        <f t="shared" si="24"/>
        <v>-0.81758028163189378</v>
      </c>
      <c r="V173" s="89">
        <f t="shared" si="26"/>
        <v>3758.8799999999983</v>
      </c>
      <c r="W173" s="136"/>
    </row>
    <row r="174" spans="1:23">
      <c r="A174" s="91">
        <v>172</v>
      </c>
      <c r="B174" s="135">
        <v>43521</v>
      </c>
      <c r="C174" s="89">
        <f t="shared" si="25"/>
        <v>3758.8799999999983</v>
      </c>
      <c r="F174" s="89">
        <f t="shared" si="20"/>
        <v>3758.8799999999983</v>
      </c>
      <c r="G174" s="130">
        <v>0.53252032520325199</v>
      </c>
      <c r="H174" s="90">
        <f t="shared" si="27"/>
        <v>1950.2572357723566</v>
      </c>
      <c r="I174" s="59" t="s">
        <v>377</v>
      </c>
      <c r="J174" s="59" t="s">
        <v>599</v>
      </c>
      <c r="K174" s="59" t="s">
        <v>653</v>
      </c>
      <c r="L174" s="59">
        <v>1</v>
      </c>
      <c r="M174" s="62">
        <v>110</v>
      </c>
      <c r="N174" s="131">
        <v>2.08</v>
      </c>
      <c r="O174" s="132" t="s">
        <v>224</v>
      </c>
      <c r="P174" s="131" t="s">
        <v>385</v>
      </c>
      <c r="Q174" s="61">
        <f t="shared" si="19"/>
        <v>-110</v>
      </c>
      <c r="R174" s="61">
        <f t="shared" si="21"/>
        <v>220</v>
      </c>
      <c r="S174" s="129">
        <f t="shared" si="22"/>
        <v>-220</v>
      </c>
      <c r="T174" s="61">
        <f t="shared" si="23"/>
        <v>-3273.12</v>
      </c>
      <c r="U174" s="133">
        <f t="shared" si="24"/>
        <v>-0.87077001660068998</v>
      </c>
      <c r="V174" s="89">
        <f t="shared" si="26"/>
        <v>3648.8799999999983</v>
      </c>
      <c r="W174" s="136"/>
    </row>
    <row r="175" spans="1:23">
      <c r="A175" s="91">
        <v>173</v>
      </c>
      <c r="B175" s="128">
        <v>43522</v>
      </c>
      <c r="C175" s="103">
        <f t="shared" si="25"/>
        <v>3648.8799999999983</v>
      </c>
      <c r="D175" s="129"/>
      <c r="E175" s="129"/>
      <c r="F175" s="103">
        <f t="shared" si="20"/>
        <v>3648.8799999999983</v>
      </c>
      <c r="G175" s="130">
        <v>0.52894211576846306</v>
      </c>
      <c r="H175" s="90">
        <f t="shared" si="27"/>
        <v>1930.0463073852286</v>
      </c>
      <c r="I175" s="59" t="s">
        <v>377</v>
      </c>
      <c r="J175" s="59" t="s">
        <v>482</v>
      </c>
      <c r="K175" s="59" t="s">
        <v>654</v>
      </c>
      <c r="L175" s="59">
        <v>1</v>
      </c>
      <c r="M175" s="62">
        <v>102</v>
      </c>
      <c r="N175" s="131">
        <v>2.38</v>
      </c>
      <c r="O175" s="132" t="s">
        <v>224</v>
      </c>
      <c r="P175" s="131" t="s">
        <v>380</v>
      </c>
      <c r="Q175" s="61">
        <f t="shared" si="19"/>
        <v>140.76</v>
      </c>
      <c r="R175" s="61">
        <f t="shared" si="21"/>
        <v>102</v>
      </c>
      <c r="S175" s="61">
        <f t="shared" si="22"/>
        <v>140.76</v>
      </c>
      <c r="T175" s="61">
        <f t="shared" si="23"/>
        <v>-3132.3599999999997</v>
      </c>
      <c r="U175" s="133">
        <f t="shared" si="24"/>
        <v>-0.85844423494332533</v>
      </c>
      <c r="V175" s="89">
        <f t="shared" si="26"/>
        <v>3789.6399999999985</v>
      </c>
      <c r="W175" s="136"/>
    </row>
    <row r="176" spans="1:23">
      <c r="A176" s="91">
        <v>174</v>
      </c>
      <c r="B176" s="135">
        <v>43522</v>
      </c>
      <c r="C176" s="89">
        <f t="shared" si="25"/>
        <v>3789.6399999999985</v>
      </c>
      <c r="F176" s="89">
        <f t="shared" si="20"/>
        <v>3789.6399999999985</v>
      </c>
      <c r="G176" s="130">
        <v>0.52894211576846306</v>
      </c>
      <c r="H176" s="90">
        <f t="shared" si="27"/>
        <v>1828.0463073852286</v>
      </c>
      <c r="I176" s="59" t="s">
        <v>377</v>
      </c>
      <c r="J176" s="59" t="s">
        <v>482</v>
      </c>
      <c r="K176" s="59" t="s">
        <v>655</v>
      </c>
      <c r="L176" s="59">
        <v>1</v>
      </c>
      <c r="M176" s="62">
        <v>102</v>
      </c>
      <c r="N176" s="131">
        <v>2.1800000000000002</v>
      </c>
      <c r="O176" s="132" t="s">
        <v>224</v>
      </c>
      <c r="P176" s="131" t="s">
        <v>380</v>
      </c>
      <c r="Q176" s="61">
        <f t="shared" si="19"/>
        <v>120.36000000000001</v>
      </c>
      <c r="R176" s="61">
        <f t="shared" si="21"/>
        <v>204</v>
      </c>
      <c r="S176" s="129">
        <f t="shared" si="22"/>
        <v>261.12</v>
      </c>
      <c r="T176" s="61">
        <f t="shared" si="23"/>
        <v>-3011.9999999999995</v>
      </c>
      <c r="U176" s="133">
        <f t="shared" si="24"/>
        <v>-0.79479845051244991</v>
      </c>
      <c r="V176" s="89">
        <f t="shared" si="26"/>
        <v>3909.9999999999986</v>
      </c>
    </row>
    <row r="177" spans="1:23">
      <c r="A177" s="91">
        <v>175</v>
      </c>
      <c r="B177" s="128">
        <v>43523</v>
      </c>
      <c r="C177" s="103">
        <f t="shared" si="25"/>
        <v>3909.9999999999986</v>
      </c>
      <c r="D177" s="129"/>
      <c r="E177" s="129">
        <v>261</v>
      </c>
      <c r="F177" s="103">
        <f t="shared" si="20"/>
        <v>3648.9999999999986</v>
      </c>
      <c r="G177" s="130">
        <v>0.52894211576846306</v>
      </c>
      <c r="H177" s="90">
        <f t="shared" si="27"/>
        <v>1930.1097804391211</v>
      </c>
      <c r="I177" s="59" t="s">
        <v>377</v>
      </c>
      <c r="J177" s="59" t="s">
        <v>656</v>
      </c>
      <c r="K177" s="59" t="s">
        <v>657</v>
      </c>
      <c r="L177" s="59">
        <v>1</v>
      </c>
      <c r="M177" s="62">
        <v>103</v>
      </c>
      <c r="N177" s="131">
        <v>3.55</v>
      </c>
      <c r="O177" s="132" t="s">
        <v>224</v>
      </c>
      <c r="P177" s="131" t="s">
        <v>385</v>
      </c>
      <c r="Q177" s="61">
        <f t="shared" si="19"/>
        <v>-103</v>
      </c>
      <c r="R177" s="61">
        <f t="shared" si="21"/>
        <v>103</v>
      </c>
      <c r="S177" s="61">
        <f t="shared" si="22"/>
        <v>-103</v>
      </c>
      <c r="T177" s="61">
        <f t="shared" si="23"/>
        <v>-3114.9999999999995</v>
      </c>
      <c r="U177" s="133">
        <f t="shared" si="24"/>
        <v>-0.85365853658536606</v>
      </c>
      <c r="V177" s="89">
        <f t="shared" si="26"/>
        <v>3545.9999999999986</v>
      </c>
      <c r="W177" s="136"/>
    </row>
    <row r="178" spans="1:23">
      <c r="A178" s="91">
        <v>176</v>
      </c>
      <c r="B178" s="135">
        <v>43523</v>
      </c>
      <c r="C178" s="89">
        <f t="shared" si="25"/>
        <v>3545.9999999999986</v>
      </c>
      <c r="F178" s="89">
        <f t="shared" si="20"/>
        <v>3545.9999999999986</v>
      </c>
      <c r="G178" s="130">
        <v>0.52894211576846306</v>
      </c>
      <c r="H178" s="90">
        <f t="shared" si="27"/>
        <v>1827.1097804391211</v>
      </c>
      <c r="I178" s="59" t="s">
        <v>377</v>
      </c>
      <c r="J178" s="59" t="s">
        <v>482</v>
      </c>
      <c r="K178" s="59" t="s">
        <v>658</v>
      </c>
      <c r="L178" s="59">
        <v>1</v>
      </c>
      <c r="M178" s="62">
        <v>103</v>
      </c>
      <c r="N178" s="131">
        <v>2.63</v>
      </c>
      <c r="O178" s="132" t="s">
        <v>224</v>
      </c>
      <c r="P178" s="131" t="s">
        <v>385</v>
      </c>
      <c r="Q178" s="61">
        <f t="shared" si="19"/>
        <v>-103</v>
      </c>
      <c r="R178" s="61">
        <f t="shared" si="21"/>
        <v>206</v>
      </c>
      <c r="S178" s="61">
        <f t="shared" si="22"/>
        <v>-206</v>
      </c>
      <c r="T178" s="61">
        <f t="shared" si="23"/>
        <v>-3217.9999999999995</v>
      </c>
      <c r="U178" s="133">
        <f t="shared" si="24"/>
        <v>-0.90750141003948137</v>
      </c>
      <c r="V178" s="89">
        <f t="shared" si="26"/>
        <v>3442.9999999999986</v>
      </c>
      <c r="W178" s="136"/>
    </row>
    <row r="179" spans="1:23">
      <c r="A179" s="91">
        <v>177</v>
      </c>
      <c r="B179" s="135">
        <v>43523</v>
      </c>
      <c r="C179" s="89">
        <f t="shared" si="25"/>
        <v>3442.9999999999986</v>
      </c>
      <c r="F179" s="89">
        <f t="shared" si="20"/>
        <v>3442.9999999999986</v>
      </c>
      <c r="G179" s="130">
        <v>0.52894211576846306</v>
      </c>
      <c r="H179" s="90">
        <f t="shared" si="27"/>
        <v>1724.1097804391211</v>
      </c>
      <c r="I179" s="59" t="s">
        <v>377</v>
      </c>
      <c r="J179" s="59" t="s">
        <v>519</v>
      </c>
      <c r="K179" s="59" t="s">
        <v>659</v>
      </c>
      <c r="L179" s="59">
        <v>1</v>
      </c>
      <c r="M179" s="62">
        <v>103</v>
      </c>
      <c r="N179" s="131">
        <v>2.62</v>
      </c>
      <c r="O179" s="132" t="s">
        <v>224</v>
      </c>
      <c r="P179" s="131" t="s">
        <v>380</v>
      </c>
      <c r="Q179" s="61">
        <f t="shared" si="19"/>
        <v>166.86</v>
      </c>
      <c r="R179" s="61">
        <f t="shared" si="21"/>
        <v>309</v>
      </c>
      <c r="S179" s="61">
        <f t="shared" si="22"/>
        <v>-39.139999999999986</v>
      </c>
      <c r="T179" s="61">
        <f t="shared" si="23"/>
        <v>-3051.1399999999994</v>
      </c>
      <c r="U179" s="133">
        <f t="shared" si="24"/>
        <v>-0.88618646529189682</v>
      </c>
      <c r="V179" s="89">
        <f t="shared" si="26"/>
        <v>3609.8599999999988</v>
      </c>
      <c r="W179" s="136"/>
    </row>
    <row r="180" spans="1:23">
      <c r="A180" s="91">
        <v>178</v>
      </c>
      <c r="B180" s="135">
        <v>43523</v>
      </c>
      <c r="C180" s="89">
        <f t="shared" si="25"/>
        <v>3609.8599999999988</v>
      </c>
      <c r="F180" s="89">
        <f t="shared" si="20"/>
        <v>3609.8599999999988</v>
      </c>
      <c r="G180" s="130">
        <v>0.52894211576846306</v>
      </c>
      <c r="H180" s="90">
        <f t="shared" si="27"/>
        <v>1621.1097804391211</v>
      </c>
      <c r="I180" s="59" t="s">
        <v>377</v>
      </c>
      <c r="J180" s="59" t="s">
        <v>523</v>
      </c>
      <c r="K180" s="59" t="s">
        <v>660</v>
      </c>
      <c r="L180" s="59">
        <v>1</v>
      </c>
      <c r="M180" s="62">
        <v>103</v>
      </c>
      <c r="N180" s="131">
        <v>2.2200000000000002</v>
      </c>
      <c r="O180" s="132" t="s">
        <v>224</v>
      </c>
      <c r="P180" s="131" t="s">
        <v>385</v>
      </c>
      <c r="Q180" s="61">
        <f t="shared" ref="Q180:Q243" si="28">IF(P180="Win",(M180*N180)-M180,IF(P180="Refund",0,IF(P180="Loss",-M180)))</f>
        <v>-103</v>
      </c>
      <c r="R180" s="61">
        <f t="shared" si="21"/>
        <v>412</v>
      </c>
      <c r="S180" s="61">
        <f t="shared" si="22"/>
        <v>-142.13999999999999</v>
      </c>
      <c r="T180" s="61">
        <f t="shared" si="23"/>
        <v>-3154.1399999999994</v>
      </c>
      <c r="U180" s="133">
        <f t="shared" si="24"/>
        <v>-0.87375687699800009</v>
      </c>
      <c r="V180" s="89">
        <f t="shared" si="26"/>
        <v>3506.8599999999988</v>
      </c>
      <c r="W180" s="136"/>
    </row>
    <row r="181" spans="1:23">
      <c r="A181" s="91">
        <v>179</v>
      </c>
      <c r="B181" s="135">
        <v>43523</v>
      </c>
      <c r="C181" s="89">
        <f t="shared" si="25"/>
        <v>3506.8599999999988</v>
      </c>
      <c r="F181" s="89">
        <f t="shared" si="20"/>
        <v>3506.8599999999988</v>
      </c>
      <c r="G181" s="130">
        <v>0.52894211576846306</v>
      </c>
      <c r="H181" s="90">
        <f t="shared" si="27"/>
        <v>1518.1097804391211</v>
      </c>
      <c r="I181" s="59" t="s">
        <v>377</v>
      </c>
      <c r="J181" s="59" t="s">
        <v>486</v>
      </c>
      <c r="K181" s="59" t="s">
        <v>661</v>
      </c>
      <c r="L181" s="59">
        <v>1</v>
      </c>
      <c r="M181" s="62">
        <v>103</v>
      </c>
      <c r="N181" s="131">
        <v>1.9</v>
      </c>
      <c r="O181" s="132" t="s">
        <v>224</v>
      </c>
      <c r="P181" s="131" t="s">
        <v>380</v>
      </c>
      <c r="Q181" s="61">
        <f t="shared" si="28"/>
        <v>92.699999999999989</v>
      </c>
      <c r="R181" s="61">
        <f t="shared" si="21"/>
        <v>515</v>
      </c>
      <c r="S181" s="61">
        <f t="shared" si="22"/>
        <v>-49.44</v>
      </c>
      <c r="T181" s="61">
        <f t="shared" si="23"/>
        <v>-3061.4399999999996</v>
      </c>
      <c r="U181" s="133">
        <f t="shared" si="24"/>
        <v>-0.87298609012050687</v>
      </c>
      <c r="V181" s="89">
        <f t="shared" si="26"/>
        <v>3599.5599999999986</v>
      </c>
      <c r="W181" s="136"/>
    </row>
    <row r="182" spans="1:23">
      <c r="A182" s="91">
        <v>180</v>
      </c>
      <c r="B182" s="135">
        <v>43523</v>
      </c>
      <c r="C182" s="89">
        <f t="shared" si="25"/>
        <v>3599.5599999999986</v>
      </c>
      <c r="F182" s="89">
        <f t="shared" si="20"/>
        <v>3599.5599999999986</v>
      </c>
      <c r="G182" s="130">
        <v>0.52894211576846306</v>
      </c>
      <c r="H182" s="90">
        <f t="shared" si="27"/>
        <v>1415.1097804391211</v>
      </c>
      <c r="I182" s="59" t="s">
        <v>377</v>
      </c>
      <c r="J182" s="59" t="s">
        <v>482</v>
      </c>
      <c r="K182" s="59" t="s">
        <v>662</v>
      </c>
      <c r="L182" s="59">
        <v>1</v>
      </c>
      <c r="M182" s="62">
        <v>103</v>
      </c>
      <c r="N182" s="131">
        <v>1.84</v>
      </c>
      <c r="O182" s="132" t="s">
        <v>224</v>
      </c>
      <c r="P182" s="131" t="s">
        <v>380</v>
      </c>
      <c r="Q182" s="61">
        <f t="shared" si="28"/>
        <v>86.52000000000001</v>
      </c>
      <c r="R182" s="61">
        <f t="shared" si="21"/>
        <v>618</v>
      </c>
      <c r="S182" s="129">
        <f t="shared" si="22"/>
        <v>37.080000000000013</v>
      </c>
      <c r="T182" s="61">
        <f t="shared" si="23"/>
        <v>-2974.9199999999996</v>
      </c>
      <c r="U182" s="133">
        <f t="shared" si="24"/>
        <v>-0.82646767938303589</v>
      </c>
      <c r="V182" s="89">
        <f t="shared" si="26"/>
        <v>3686.0799999999986</v>
      </c>
      <c r="W182" s="136"/>
    </row>
    <row r="183" spans="1:23">
      <c r="A183" s="91">
        <v>181</v>
      </c>
      <c r="B183" s="128">
        <v>43524</v>
      </c>
      <c r="C183" s="103">
        <f t="shared" si="25"/>
        <v>3686.0799999999986</v>
      </c>
      <c r="D183" s="129"/>
      <c r="E183" s="129">
        <v>37</v>
      </c>
      <c r="F183" s="103">
        <f t="shared" si="20"/>
        <v>3649.0799999999986</v>
      </c>
      <c r="G183" s="130">
        <v>0.53510436432637576</v>
      </c>
      <c r="H183" s="90">
        <f t="shared" si="27"/>
        <v>1952.6386337760905</v>
      </c>
      <c r="I183" s="59" t="s">
        <v>377</v>
      </c>
      <c r="J183" s="59" t="s">
        <v>523</v>
      </c>
      <c r="K183" s="59" t="s">
        <v>663</v>
      </c>
      <c r="L183" s="59">
        <v>1</v>
      </c>
      <c r="M183" s="62">
        <v>104</v>
      </c>
      <c r="N183" s="131">
        <v>2.63</v>
      </c>
      <c r="O183" s="132" t="s">
        <v>224</v>
      </c>
      <c r="P183" s="131" t="s">
        <v>385</v>
      </c>
      <c r="Q183" s="61">
        <f t="shared" si="28"/>
        <v>-104</v>
      </c>
      <c r="R183" s="61">
        <f t="shared" si="21"/>
        <v>104</v>
      </c>
      <c r="S183" s="61">
        <f t="shared" si="22"/>
        <v>-104</v>
      </c>
      <c r="T183" s="61">
        <f t="shared" si="23"/>
        <v>-3078.9199999999996</v>
      </c>
      <c r="U183" s="133">
        <f t="shared" si="24"/>
        <v>-0.84375239786466749</v>
      </c>
      <c r="V183" s="89">
        <f t="shared" si="26"/>
        <v>3545.0799999999986</v>
      </c>
      <c r="W183" s="136"/>
    </row>
    <row r="184" spans="1:23">
      <c r="A184" s="91">
        <v>182</v>
      </c>
      <c r="B184" s="135">
        <v>43524</v>
      </c>
      <c r="C184" s="89">
        <f t="shared" si="25"/>
        <v>3545.0799999999986</v>
      </c>
      <c r="F184" s="89">
        <f t="shared" si="20"/>
        <v>3545.0799999999986</v>
      </c>
      <c r="G184" s="130">
        <v>0.53510436432637576</v>
      </c>
      <c r="H184" s="90">
        <f t="shared" si="27"/>
        <v>1848.6386337760905</v>
      </c>
      <c r="I184" s="59" t="s">
        <v>377</v>
      </c>
      <c r="J184" s="59" t="s">
        <v>479</v>
      </c>
      <c r="K184" s="59" t="s">
        <v>664</v>
      </c>
      <c r="L184" s="59">
        <v>1</v>
      </c>
      <c r="M184" s="62">
        <v>104</v>
      </c>
      <c r="N184" s="131">
        <v>2.23</v>
      </c>
      <c r="O184" s="132" t="s">
        <v>224</v>
      </c>
      <c r="P184" s="131" t="s">
        <v>385</v>
      </c>
      <c r="Q184" s="61">
        <f t="shared" si="28"/>
        <v>-104</v>
      </c>
      <c r="R184" s="61">
        <f t="shared" si="21"/>
        <v>208</v>
      </c>
      <c r="S184" s="129">
        <f t="shared" si="22"/>
        <v>-208</v>
      </c>
      <c r="T184" s="61">
        <f t="shared" si="23"/>
        <v>-3182.9199999999996</v>
      </c>
      <c r="U184" s="133">
        <f t="shared" si="24"/>
        <v>-0.89784151556523428</v>
      </c>
      <c r="V184" s="89">
        <f t="shared" si="26"/>
        <v>3441.0799999999986</v>
      </c>
    </row>
    <row r="185" spans="1:23">
      <c r="A185" s="91">
        <v>183</v>
      </c>
      <c r="B185" s="128">
        <v>43525</v>
      </c>
      <c r="C185" s="103">
        <f t="shared" si="25"/>
        <v>3441.0799999999986</v>
      </c>
      <c r="D185" s="129"/>
      <c r="E185" s="129"/>
      <c r="F185" s="103">
        <f t="shared" si="20"/>
        <v>3441.0799999999986</v>
      </c>
      <c r="G185" s="130">
        <v>0.53658536585365857</v>
      </c>
      <c r="H185" s="90">
        <f t="shared" si="27"/>
        <v>1846.4331707317067</v>
      </c>
      <c r="I185" s="59" t="s">
        <v>377</v>
      </c>
      <c r="J185" s="59" t="s">
        <v>482</v>
      </c>
      <c r="K185" s="59" t="s">
        <v>665</v>
      </c>
      <c r="L185" s="59">
        <v>1</v>
      </c>
      <c r="M185" s="62">
        <v>99</v>
      </c>
      <c r="N185" s="131">
        <v>2.4</v>
      </c>
      <c r="O185" s="132" t="s">
        <v>224</v>
      </c>
      <c r="P185" s="131" t="s">
        <v>380</v>
      </c>
      <c r="Q185" s="61">
        <f t="shared" si="28"/>
        <v>138.6</v>
      </c>
      <c r="R185" s="61">
        <f t="shared" si="21"/>
        <v>99</v>
      </c>
      <c r="S185" s="61">
        <f t="shared" si="22"/>
        <v>138.6</v>
      </c>
      <c r="T185" s="61">
        <f t="shared" si="23"/>
        <v>138.6</v>
      </c>
      <c r="U185" s="133">
        <f t="shared" si="24"/>
        <v>4.027805223941322E-2</v>
      </c>
      <c r="V185" s="89">
        <f t="shared" si="26"/>
        <v>3579.6799999999985</v>
      </c>
      <c r="W185" s="136"/>
    </row>
    <row r="186" spans="1:23">
      <c r="A186" s="91">
        <v>184</v>
      </c>
      <c r="B186" s="135">
        <v>43525</v>
      </c>
      <c r="C186" s="89">
        <f t="shared" si="25"/>
        <v>3579.6799999999985</v>
      </c>
      <c r="F186" s="89">
        <f t="shared" si="20"/>
        <v>3579.6799999999985</v>
      </c>
      <c r="G186" s="130">
        <v>0.53658536585365857</v>
      </c>
      <c r="H186" s="90">
        <f t="shared" si="27"/>
        <v>1747.4331707317067</v>
      </c>
      <c r="I186" s="59" t="s">
        <v>377</v>
      </c>
      <c r="J186" s="59" t="s">
        <v>465</v>
      </c>
      <c r="K186" s="59" t="s">
        <v>666</v>
      </c>
      <c r="L186" s="59">
        <v>1</v>
      </c>
      <c r="M186" s="62">
        <v>99</v>
      </c>
      <c r="N186" s="131">
        <v>2.35</v>
      </c>
      <c r="O186" s="132" t="s">
        <v>224</v>
      </c>
      <c r="P186" s="131" t="s">
        <v>385</v>
      </c>
      <c r="Q186" s="61">
        <f t="shared" si="28"/>
        <v>-99</v>
      </c>
      <c r="R186" s="61">
        <f t="shared" si="21"/>
        <v>198</v>
      </c>
      <c r="S186" s="61">
        <f t="shared" si="22"/>
        <v>39.599999999999994</v>
      </c>
      <c r="T186" s="61">
        <f t="shared" si="23"/>
        <v>39.599999999999994</v>
      </c>
      <c r="U186" s="133">
        <f t="shared" si="24"/>
        <v>1.1062441335538376E-2</v>
      </c>
      <c r="V186" s="89">
        <f t="shared" si="26"/>
        <v>3480.6799999999985</v>
      </c>
    </row>
    <row r="187" spans="1:23">
      <c r="A187" s="91">
        <v>185</v>
      </c>
      <c r="B187" s="135">
        <v>43525</v>
      </c>
      <c r="C187" s="89">
        <f t="shared" si="25"/>
        <v>3480.6799999999985</v>
      </c>
      <c r="F187" s="89">
        <f t="shared" si="20"/>
        <v>3480.6799999999985</v>
      </c>
      <c r="G187" s="130">
        <v>0.53658536585365857</v>
      </c>
      <c r="H187" s="90">
        <f t="shared" si="27"/>
        <v>1648.4331707317067</v>
      </c>
      <c r="I187" s="59" t="s">
        <v>377</v>
      </c>
      <c r="J187" s="59" t="s">
        <v>488</v>
      </c>
      <c r="K187" s="59" t="s">
        <v>667</v>
      </c>
      <c r="L187" s="59">
        <v>1</v>
      </c>
      <c r="M187" s="62">
        <v>99</v>
      </c>
      <c r="N187" s="131">
        <v>2.2000000000000002</v>
      </c>
      <c r="O187" s="132" t="s">
        <v>224</v>
      </c>
      <c r="P187" s="131" t="s">
        <v>385</v>
      </c>
      <c r="Q187" s="61">
        <f t="shared" si="28"/>
        <v>-99</v>
      </c>
      <c r="R187" s="61">
        <f t="shared" si="21"/>
        <v>297</v>
      </c>
      <c r="S187" s="61">
        <f t="shared" si="22"/>
        <v>-59.400000000000006</v>
      </c>
      <c r="T187" s="61">
        <f t="shared" si="23"/>
        <v>-59.400000000000006</v>
      </c>
      <c r="U187" s="133">
        <f t="shared" si="24"/>
        <v>-1.7065630853741232E-2</v>
      </c>
      <c r="V187" s="89">
        <f t="shared" si="26"/>
        <v>3381.6799999999985</v>
      </c>
    </row>
    <row r="188" spans="1:23">
      <c r="A188" s="91">
        <v>186</v>
      </c>
      <c r="B188" s="135">
        <v>43525</v>
      </c>
      <c r="C188" s="89">
        <f t="shared" si="25"/>
        <v>3381.6799999999985</v>
      </c>
      <c r="F188" s="89">
        <f t="shared" si="20"/>
        <v>3381.6799999999985</v>
      </c>
      <c r="G188" s="130">
        <v>0.53658536585365857</v>
      </c>
      <c r="H188" s="90">
        <f t="shared" si="27"/>
        <v>1549.4331707317067</v>
      </c>
      <c r="I188" s="59" t="s">
        <v>377</v>
      </c>
      <c r="J188" s="59" t="s">
        <v>442</v>
      </c>
      <c r="K188" s="59" t="s">
        <v>668</v>
      </c>
      <c r="L188" s="59">
        <v>1</v>
      </c>
      <c r="M188" s="62">
        <v>99</v>
      </c>
      <c r="N188" s="131">
        <v>2.13</v>
      </c>
      <c r="O188" s="132" t="s">
        <v>224</v>
      </c>
      <c r="P188" s="131" t="s">
        <v>385</v>
      </c>
      <c r="Q188" s="61">
        <f t="shared" si="28"/>
        <v>-99</v>
      </c>
      <c r="R188" s="61">
        <f t="shared" si="21"/>
        <v>396</v>
      </c>
      <c r="S188" s="61">
        <f t="shared" si="22"/>
        <v>-158.4</v>
      </c>
      <c r="T188" s="61">
        <f t="shared" si="23"/>
        <v>-158.4</v>
      </c>
      <c r="U188" s="133">
        <f t="shared" si="24"/>
        <v>-4.6840623595372735E-2</v>
      </c>
      <c r="V188" s="89">
        <f t="shared" si="26"/>
        <v>3282.6799999999985</v>
      </c>
    </row>
    <row r="189" spans="1:23">
      <c r="A189" s="91">
        <v>187</v>
      </c>
      <c r="B189" s="135">
        <v>43525</v>
      </c>
      <c r="C189" s="89">
        <f t="shared" si="25"/>
        <v>3282.6799999999985</v>
      </c>
      <c r="F189" s="89">
        <f t="shared" si="20"/>
        <v>3282.6799999999985</v>
      </c>
      <c r="G189" s="130">
        <v>0.53658536585365857</v>
      </c>
      <c r="H189" s="90">
        <f t="shared" si="27"/>
        <v>1450.4331707317067</v>
      </c>
      <c r="I189" s="59" t="s">
        <v>377</v>
      </c>
      <c r="J189" s="59" t="s">
        <v>496</v>
      </c>
      <c r="K189" s="59" t="s">
        <v>669</v>
      </c>
      <c r="L189" s="59">
        <v>1</v>
      </c>
      <c r="M189" s="62">
        <v>99</v>
      </c>
      <c r="N189" s="131">
        <v>2.1</v>
      </c>
      <c r="O189" s="132" t="s">
        <v>224</v>
      </c>
      <c r="P189" s="131" t="s">
        <v>380</v>
      </c>
      <c r="Q189" s="61">
        <f t="shared" si="28"/>
        <v>108.9</v>
      </c>
      <c r="R189" s="61">
        <f t="shared" si="21"/>
        <v>495</v>
      </c>
      <c r="S189" s="129">
        <f t="shared" si="22"/>
        <v>-49.5</v>
      </c>
      <c r="T189" s="61">
        <f t="shared" si="23"/>
        <v>-49.5</v>
      </c>
      <c r="U189" s="133">
        <f t="shared" si="24"/>
        <v>-1.5079142651735784E-2</v>
      </c>
      <c r="V189" s="89">
        <f t="shared" si="26"/>
        <v>3391.5799999999986</v>
      </c>
    </row>
    <row r="190" spans="1:23">
      <c r="A190" s="91">
        <v>188</v>
      </c>
      <c r="B190" s="128">
        <v>43526</v>
      </c>
      <c r="C190" s="103">
        <f t="shared" si="25"/>
        <v>3391.5799999999986</v>
      </c>
      <c r="D190" s="129"/>
      <c r="E190" s="129"/>
      <c r="F190" s="103">
        <f t="shared" si="20"/>
        <v>3391.5799999999986</v>
      </c>
      <c r="G190" s="130">
        <v>0.53321033210332103</v>
      </c>
      <c r="H190" s="90">
        <f t="shared" si="27"/>
        <v>1808.4254981549807</v>
      </c>
      <c r="I190" s="59" t="s">
        <v>377</v>
      </c>
      <c r="J190" s="59" t="s">
        <v>521</v>
      </c>
      <c r="K190" s="59" t="s">
        <v>670</v>
      </c>
      <c r="L190" s="59">
        <v>1</v>
      </c>
      <c r="M190" s="62">
        <v>96</v>
      </c>
      <c r="N190" s="131">
        <v>2.98</v>
      </c>
      <c r="O190" s="132" t="s">
        <v>224</v>
      </c>
      <c r="P190" s="131" t="s">
        <v>385</v>
      </c>
      <c r="Q190" s="61">
        <f t="shared" si="28"/>
        <v>-96</v>
      </c>
      <c r="R190" s="61">
        <f t="shared" si="21"/>
        <v>96</v>
      </c>
      <c r="S190" s="61">
        <f t="shared" si="22"/>
        <v>-96</v>
      </c>
      <c r="T190" s="61">
        <f t="shared" si="23"/>
        <v>-145.5</v>
      </c>
      <c r="U190" s="133">
        <f t="shared" si="24"/>
        <v>-4.2900359124655785E-2</v>
      </c>
      <c r="V190" s="89">
        <f t="shared" si="26"/>
        <v>3295.5799999999986</v>
      </c>
      <c r="W190" s="136"/>
    </row>
    <row r="191" spans="1:23">
      <c r="A191" s="91">
        <v>189</v>
      </c>
      <c r="B191" s="135">
        <v>43526</v>
      </c>
      <c r="C191" s="89">
        <f t="shared" si="25"/>
        <v>3295.5799999999986</v>
      </c>
      <c r="F191" s="89">
        <f t="shared" si="20"/>
        <v>3295.5799999999986</v>
      </c>
      <c r="G191" s="130">
        <v>0.53321033210332103</v>
      </c>
      <c r="H191" s="90">
        <f t="shared" si="27"/>
        <v>1712.4254981549807</v>
      </c>
      <c r="I191" s="59" t="s">
        <v>377</v>
      </c>
      <c r="J191" s="59" t="s">
        <v>616</v>
      </c>
      <c r="K191" s="59" t="s">
        <v>671</v>
      </c>
      <c r="L191" s="59">
        <v>1</v>
      </c>
      <c r="M191" s="62">
        <v>96</v>
      </c>
      <c r="N191" s="131">
        <v>2.8</v>
      </c>
      <c r="O191" s="132" t="s">
        <v>224</v>
      </c>
      <c r="P191" s="131" t="s">
        <v>385</v>
      </c>
      <c r="Q191" s="61">
        <f t="shared" si="28"/>
        <v>-96</v>
      </c>
      <c r="R191" s="61">
        <f t="shared" si="21"/>
        <v>192</v>
      </c>
      <c r="S191" s="61">
        <f t="shared" si="22"/>
        <v>-192</v>
      </c>
      <c r="T191" s="61">
        <f t="shared" si="23"/>
        <v>-241.5</v>
      </c>
      <c r="U191" s="133">
        <f t="shared" si="24"/>
        <v>-7.3279968928079461E-2</v>
      </c>
      <c r="V191" s="89">
        <f t="shared" si="26"/>
        <v>3199.5799999999986</v>
      </c>
      <c r="W191" s="136"/>
    </row>
    <row r="192" spans="1:23">
      <c r="A192" s="91">
        <v>190</v>
      </c>
      <c r="B192" s="135">
        <v>43526</v>
      </c>
      <c r="C192" s="89">
        <f t="shared" si="25"/>
        <v>3199.5799999999986</v>
      </c>
      <c r="F192" s="89">
        <f t="shared" si="20"/>
        <v>3199.5799999999986</v>
      </c>
      <c r="G192" s="130">
        <v>0.53321033210332103</v>
      </c>
      <c r="H192" s="90">
        <f t="shared" si="27"/>
        <v>1616.4254981549807</v>
      </c>
      <c r="I192" s="59" t="s">
        <v>377</v>
      </c>
      <c r="J192" s="59" t="s">
        <v>508</v>
      </c>
      <c r="K192" s="59" t="s">
        <v>672</v>
      </c>
      <c r="L192" s="59">
        <v>1</v>
      </c>
      <c r="M192" s="62">
        <v>96</v>
      </c>
      <c r="N192" s="131">
        <v>2.58</v>
      </c>
      <c r="O192" s="132" t="s">
        <v>224</v>
      </c>
      <c r="P192" s="131" t="s">
        <v>380</v>
      </c>
      <c r="Q192" s="61">
        <f t="shared" si="28"/>
        <v>151.68</v>
      </c>
      <c r="R192" s="61">
        <f t="shared" si="21"/>
        <v>288</v>
      </c>
      <c r="S192" s="61">
        <f t="shared" si="22"/>
        <v>-40.319999999999993</v>
      </c>
      <c r="T192" s="61">
        <f t="shared" si="23"/>
        <v>-89.82</v>
      </c>
      <c r="U192" s="133">
        <f t="shared" si="24"/>
        <v>-2.8072434507029058E-2</v>
      </c>
      <c r="V192" s="89">
        <f t="shared" si="26"/>
        <v>3351.2599999999984</v>
      </c>
      <c r="W192" s="136"/>
    </row>
    <row r="193" spans="1:23">
      <c r="A193" s="91">
        <v>191</v>
      </c>
      <c r="B193" s="135">
        <v>43526</v>
      </c>
      <c r="C193" s="89">
        <f t="shared" si="25"/>
        <v>3351.2599999999984</v>
      </c>
      <c r="F193" s="89">
        <f t="shared" si="20"/>
        <v>3351.2599999999984</v>
      </c>
      <c r="G193" s="130">
        <v>0.53321033210332103</v>
      </c>
      <c r="H193" s="90">
        <f t="shared" si="27"/>
        <v>1520.4254981549807</v>
      </c>
      <c r="I193" s="59" t="s">
        <v>377</v>
      </c>
      <c r="J193" s="59" t="s">
        <v>482</v>
      </c>
      <c r="K193" s="59" t="s">
        <v>673</v>
      </c>
      <c r="L193" s="59">
        <v>1</v>
      </c>
      <c r="M193" s="62">
        <v>96</v>
      </c>
      <c r="N193" s="131">
        <v>2.54</v>
      </c>
      <c r="O193" s="132" t="s">
        <v>224</v>
      </c>
      <c r="P193" s="131" t="s">
        <v>385</v>
      </c>
      <c r="Q193" s="61">
        <f t="shared" si="28"/>
        <v>-96</v>
      </c>
      <c r="R193" s="61">
        <f t="shared" si="21"/>
        <v>384</v>
      </c>
      <c r="S193" s="61">
        <f t="shared" si="22"/>
        <v>-136.32</v>
      </c>
      <c r="T193" s="61">
        <f t="shared" si="23"/>
        <v>-185.82</v>
      </c>
      <c r="U193" s="133">
        <f t="shared" si="24"/>
        <v>-5.5447801722337292E-2</v>
      </c>
      <c r="V193" s="89">
        <f t="shared" si="26"/>
        <v>3255.2599999999984</v>
      </c>
      <c r="W193" s="136"/>
    </row>
    <row r="194" spans="1:23">
      <c r="A194" s="91">
        <v>192</v>
      </c>
      <c r="B194" s="135">
        <v>43526</v>
      </c>
      <c r="C194" s="89">
        <f t="shared" si="25"/>
        <v>3255.2599999999984</v>
      </c>
      <c r="F194" s="89">
        <f t="shared" si="20"/>
        <v>3255.2599999999984</v>
      </c>
      <c r="G194" s="130">
        <v>0.53321033210332103</v>
      </c>
      <c r="H194" s="90">
        <f t="shared" si="27"/>
        <v>1424.4254981549807</v>
      </c>
      <c r="I194" s="59" t="s">
        <v>377</v>
      </c>
      <c r="J194" s="59" t="s">
        <v>531</v>
      </c>
      <c r="K194" s="59" t="s">
        <v>674</v>
      </c>
      <c r="L194" s="59">
        <v>1</v>
      </c>
      <c r="M194" s="62">
        <v>96</v>
      </c>
      <c r="N194" s="131">
        <v>2.44</v>
      </c>
      <c r="O194" s="132" t="s">
        <v>224</v>
      </c>
      <c r="P194" s="131" t="s">
        <v>380</v>
      </c>
      <c r="Q194" s="61">
        <f t="shared" si="28"/>
        <v>138.24</v>
      </c>
      <c r="R194" s="61">
        <f t="shared" si="21"/>
        <v>480</v>
      </c>
      <c r="S194" s="61">
        <f t="shared" si="22"/>
        <v>1.9200000000000159</v>
      </c>
      <c r="T194" s="61">
        <f t="shared" si="23"/>
        <v>-47.579999999999984</v>
      </c>
      <c r="U194" s="133">
        <f t="shared" si="24"/>
        <v>-1.4616344009387884E-2</v>
      </c>
      <c r="V194" s="89">
        <f t="shared" si="26"/>
        <v>3393.4999999999982</v>
      </c>
      <c r="W194" s="136"/>
    </row>
    <row r="195" spans="1:23">
      <c r="A195" s="91">
        <v>193</v>
      </c>
      <c r="B195" s="135">
        <v>43526</v>
      </c>
      <c r="C195" s="89">
        <f t="shared" si="25"/>
        <v>3393.4999999999982</v>
      </c>
      <c r="F195" s="89">
        <f t="shared" si="20"/>
        <v>3393.4999999999982</v>
      </c>
      <c r="G195" s="130">
        <v>0.53321033210332103</v>
      </c>
      <c r="H195" s="90">
        <f t="shared" si="27"/>
        <v>1328.4254981549807</v>
      </c>
      <c r="I195" s="59" t="s">
        <v>377</v>
      </c>
      <c r="J195" s="59" t="s">
        <v>587</v>
      </c>
      <c r="K195" s="59" t="s">
        <v>675</v>
      </c>
      <c r="L195" s="59">
        <v>1</v>
      </c>
      <c r="M195" s="62">
        <v>96</v>
      </c>
      <c r="N195" s="131">
        <v>2.3199999999999998</v>
      </c>
      <c r="O195" s="132" t="s">
        <v>224</v>
      </c>
      <c r="P195" s="131" t="s">
        <v>380</v>
      </c>
      <c r="Q195" s="61">
        <f t="shared" si="28"/>
        <v>126.71999999999997</v>
      </c>
      <c r="R195" s="61">
        <f t="shared" si="21"/>
        <v>576</v>
      </c>
      <c r="S195" s="61">
        <f t="shared" si="22"/>
        <v>128.63999999999999</v>
      </c>
      <c r="T195" s="61">
        <f t="shared" si="23"/>
        <v>79.139999999999986</v>
      </c>
      <c r="U195" s="133">
        <f t="shared" si="24"/>
        <v>2.3321054958007965E-2</v>
      </c>
      <c r="V195" s="89">
        <f t="shared" si="26"/>
        <v>3520.219999999998</v>
      </c>
      <c r="W195" s="136"/>
    </row>
    <row r="196" spans="1:23">
      <c r="A196" s="91">
        <v>194</v>
      </c>
      <c r="B196" s="135">
        <v>43526</v>
      </c>
      <c r="C196" s="89">
        <f t="shared" si="25"/>
        <v>3520.219999999998</v>
      </c>
      <c r="F196" s="89">
        <f t="shared" ref="F196:F250" si="29">+C196+D196-E196</f>
        <v>3520.219999999998</v>
      </c>
      <c r="G196" s="130">
        <v>0.53321033210332103</v>
      </c>
      <c r="H196" s="90">
        <f t="shared" si="27"/>
        <v>1232.4254981549807</v>
      </c>
      <c r="I196" s="59" t="s">
        <v>377</v>
      </c>
      <c r="J196" s="59" t="s">
        <v>462</v>
      </c>
      <c r="K196" s="59" t="s">
        <v>676</v>
      </c>
      <c r="L196" s="59">
        <v>1</v>
      </c>
      <c r="M196" s="62">
        <v>96</v>
      </c>
      <c r="N196" s="131">
        <v>2.2799999999999998</v>
      </c>
      <c r="O196" s="132" t="s">
        <v>224</v>
      </c>
      <c r="P196" s="131" t="s">
        <v>385</v>
      </c>
      <c r="Q196" s="61">
        <f t="shared" si="28"/>
        <v>-96</v>
      </c>
      <c r="R196" s="61">
        <f t="shared" ref="R196:R250" si="30">IF(B196=B195,M196+R195,M196)</f>
        <v>672</v>
      </c>
      <c r="S196" s="61">
        <f t="shared" ref="S196:S250" si="31">IF(B196=B195,+Q196+S195,Q196)</f>
        <v>32.639999999999986</v>
      </c>
      <c r="T196" s="61">
        <f t="shared" ref="T196:T250" si="32">IF(MONTH(B196)=MONTH(B195),T195+Q196,Q196)</f>
        <v>-16.860000000000014</v>
      </c>
      <c r="U196" s="133">
        <f t="shared" ref="U196:U250" si="33">T196/F196</f>
        <v>-4.7894733851861597E-3</v>
      </c>
      <c r="V196" s="89">
        <f t="shared" si="26"/>
        <v>3424.219999999998</v>
      </c>
      <c r="W196" s="136"/>
    </row>
    <row r="197" spans="1:23">
      <c r="A197" s="91">
        <v>195</v>
      </c>
      <c r="B197" s="135">
        <v>43526</v>
      </c>
      <c r="C197" s="89">
        <f t="shared" ref="C197:C250" si="34">+V196</f>
        <v>3424.219999999998</v>
      </c>
      <c r="F197" s="89">
        <f t="shared" si="29"/>
        <v>3424.219999999998</v>
      </c>
      <c r="G197" s="130">
        <v>0.53321033210332103</v>
      </c>
      <c r="H197" s="90">
        <f t="shared" si="27"/>
        <v>1136.4254981549807</v>
      </c>
      <c r="I197" s="59" t="s">
        <v>377</v>
      </c>
      <c r="J197" s="59" t="s">
        <v>442</v>
      </c>
      <c r="K197" s="59" t="s">
        <v>677</v>
      </c>
      <c r="L197" s="59">
        <v>1</v>
      </c>
      <c r="M197" s="62">
        <v>96</v>
      </c>
      <c r="N197" s="131">
        <v>2.17</v>
      </c>
      <c r="O197" s="132" t="s">
        <v>224</v>
      </c>
      <c r="P197" s="131" t="s">
        <v>385</v>
      </c>
      <c r="Q197" s="61">
        <f t="shared" si="28"/>
        <v>-96</v>
      </c>
      <c r="R197" s="61">
        <f t="shared" si="30"/>
        <v>768</v>
      </c>
      <c r="S197" s="61">
        <f t="shared" si="31"/>
        <v>-63.360000000000014</v>
      </c>
      <c r="T197" s="61">
        <f t="shared" si="32"/>
        <v>-112.86000000000001</v>
      </c>
      <c r="U197" s="133">
        <f t="shared" si="33"/>
        <v>-3.2959330884113777E-2</v>
      </c>
      <c r="V197" s="89">
        <f t="shared" ref="V197:V250" si="35">+F197+Q197</f>
        <v>3328.219999999998</v>
      </c>
      <c r="W197" s="136"/>
    </row>
    <row r="198" spans="1:23">
      <c r="A198" s="91">
        <v>196</v>
      </c>
      <c r="B198" s="135">
        <v>43526</v>
      </c>
      <c r="C198" s="89">
        <f t="shared" si="34"/>
        <v>3328.219999999998</v>
      </c>
      <c r="F198" s="89">
        <f t="shared" si="29"/>
        <v>3328.219999999998</v>
      </c>
      <c r="G198" s="130">
        <v>0.53321033210332103</v>
      </c>
      <c r="H198" s="90">
        <f t="shared" si="27"/>
        <v>1040.4254981549807</v>
      </c>
      <c r="I198" s="59" t="s">
        <v>377</v>
      </c>
      <c r="J198" s="59" t="s">
        <v>508</v>
      </c>
      <c r="K198" s="59" t="s">
        <v>678</v>
      </c>
      <c r="L198" s="59">
        <v>1</v>
      </c>
      <c r="M198" s="62">
        <v>96</v>
      </c>
      <c r="N198" s="131">
        <v>2.12</v>
      </c>
      <c r="O198" s="132" t="s">
        <v>224</v>
      </c>
      <c r="P198" s="131" t="s">
        <v>385</v>
      </c>
      <c r="Q198" s="61">
        <f t="shared" si="28"/>
        <v>-96</v>
      </c>
      <c r="R198" s="61">
        <f t="shared" si="30"/>
        <v>864</v>
      </c>
      <c r="S198" s="61">
        <f t="shared" si="31"/>
        <v>-159.36000000000001</v>
      </c>
      <c r="T198" s="61">
        <f t="shared" si="32"/>
        <v>-208.86</v>
      </c>
      <c r="U198" s="133">
        <f t="shared" si="33"/>
        <v>-6.275426504257535E-2</v>
      </c>
      <c r="V198" s="89">
        <f t="shared" si="35"/>
        <v>3232.219999999998</v>
      </c>
      <c r="W198" s="136"/>
    </row>
    <row r="199" spans="1:23">
      <c r="A199" s="91">
        <v>197</v>
      </c>
      <c r="B199" s="135">
        <v>43526</v>
      </c>
      <c r="C199" s="89">
        <f t="shared" si="34"/>
        <v>3232.219999999998</v>
      </c>
      <c r="F199" s="89">
        <f t="shared" si="29"/>
        <v>3232.219999999998</v>
      </c>
      <c r="G199" s="130">
        <v>0.53321033210332103</v>
      </c>
      <c r="H199" s="90">
        <f t="shared" si="27"/>
        <v>944.42549815498069</v>
      </c>
      <c r="I199" s="59" t="s">
        <v>377</v>
      </c>
      <c r="J199" s="59" t="s">
        <v>490</v>
      </c>
      <c r="K199" s="59" t="s">
        <v>679</v>
      </c>
      <c r="L199" s="59">
        <v>1</v>
      </c>
      <c r="M199" s="62">
        <v>96</v>
      </c>
      <c r="N199" s="131">
        <v>2.1</v>
      </c>
      <c r="O199" s="132" t="s">
        <v>224</v>
      </c>
      <c r="P199" s="131" t="s">
        <v>380</v>
      </c>
      <c r="Q199" s="61">
        <f t="shared" si="28"/>
        <v>105.60000000000002</v>
      </c>
      <c r="R199" s="61">
        <f t="shared" si="30"/>
        <v>960</v>
      </c>
      <c r="S199" s="61">
        <f t="shared" si="31"/>
        <v>-53.759999999999991</v>
      </c>
      <c r="T199" s="61">
        <f t="shared" si="32"/>
        <v>-103.25999999999999</v>
      </c>
      <c r="U199" s="133">
        <f t="shared" si="33"/>
        <v>-3.1947082809957263E-2</v>
      </c>
      <c r="V199" s="89">
        <f t="shared" si="35"/>
        <v>3337.8199999999979</v>
      </c>
      <c r="W199" s="136"/>
    </row>
    <row r="200" spans="1:23">
      <c r="A200" s="91">
        <v>198</v>
      </c>
      <c r="B200" s="135">
        <v>43526</v>
      </c>
      <c r="C200" s="89">
        <f t="shared" si="34"/>
        <v>3337.8199999999979</v>
      </c>
      <c r="F200" s="89">
        <f t="shared" si="29"/>
        <v>3337.8199999999979</v>
      </c>
      <c r="G200" s="130">
        <v>0.53321033210332103</v>
      </c>
      <c r="H200" s="90">
        <f t="shared" si="27"/>
        <v>848.42549815498069</v>
      </c>
      <c r="I200" s="59" t="s">
        <v>377</v>
      </c>
      <c r="J200" s="59" t="s">
        <v>486</v>
      </c>
      <c r="K200" s="59" t="s">
        <v>680</v>
      </c>
      <c r="L200" s="59">
        <v>1</v>
      </c>
      <c r="M200" s="62">
        <v>96</v>
      </c>
      <c r="N200" s="131">
        <v>2.0699999999999998</v>
      </c>
      <c r="O200" s="132" t="s">
        <v>224</v>
      </c>
      <c r="P200" s="131" t="s">
        <v>385</v>
      </c>
      <c r="Q200" s="61">
        <f t="shared" si="28"/>
        <v>-96</v>
      </c>
      <c r="R200" s="61">
        <f t="shared" si="30"/>
        <v>1056</v>
      </c>
      <c r="S200" s="61">
        <f t="shared" si="31"/>
        <v>-149.76</v>
      </c>
      <c r="T200" s="61">
        <f t="shared" si="32"/>
        <v>-199.26</v>
      </c>
      <c r="U200" s="133">
        <f t="shared" si="33"/>
        <v>-5.9697646967182209E-2</v>
      </c>
      <c r="V200" s="89">
        <f t="shared" si="35"/>
        <v>3241.8199999999979</v>
      </c>
      <c r="W200" s="136"/>
    </row>
    <row r="201" spans="1:23">
      <c r="A201" s="91">
        <v>199</v>
      </c>
      <c r="B201" s="135">
        <v>43526</v>
      </c>
      <c r="C201" s="89">
        <f t="shared" si="34"/>
        <v>3241.8199999999979</v>
      </c>
      <c r="F201" s="89">
        <f t="shared" si="29"/>
        <v>3241.8199999999979</v>
      </c>
      <c r="G201" s="130">
        <v>0.53321033210332103</v>
      </c>
      <c r="H201" s="90">
        <f t="shared" si="27"/>
        <v>752.42549815498069</v>
      </c>
      <c r="I201" s="59" t="s">
        <v>377</v>
      </c>
      <c r="J201" s="59" t="s">
        <v>462</v>
      </c>
      <c r="K201" s="59" t="s">
        <v>681</v>
      </c>
      <c r="L201" s="59">
        <v>1</v>
      </c>
      <c r="M201" s="62">
        <v>96</v>
      </c>
      <c r="N201" s="131">
        <v>2.02</v>
      </c>
      <c r="O201" s="132" t="s">
        <v>224</v>
      </c>
      <c r="P201" s="131" t="s">
        <v>385</v>
      </c>
      <c r="Q201" s="61">
        <f t="shared" si="28"/>
        <v>-96</v>
      </c>
      <c r="R201" s="61">
        <f t="shared" si="30"/>
        <v>1152</v>
      </c>
      <c r="S201" s="61">
        <f t="shared" si="31"/>
        <v>-245.76</v>
      </c>
      <c r="T201" s="61">
        <f t="shared" si="32"/>
        <v>-295.26</v>
      </c>
      <c r="U201" s="133">
        <f t="shared" si="33"/>
        <v>-9.1078468267824925E-2</v>
      </c>
      <c r="V201" s="89">
        <f t="shared" si="35"/>
        <v>3145.8199999999979</v>
      </c>
      <c r="W201" s="136"/>
    </row>
    <row r="202" spans="1:23">
      <c r="A202" s="91">
        <v>200</v>
      </c>
      <c r="B202" s="135">
        <v>43526</v>
      </c>
      <c r="C202" s="89">
        <f t="shared" si="34"/>
        <v>3145.8199999999979</v>
      </c>
      <c r="F202" s="89">
        <f t="shared" si="29"/>
        <v>3145.8199999999979</v>
      </c>
      <c r="G202" s="130">
        <v>0.53321033210332103</v>
      </c>
      <c r="H202" s="90">
        <f t="shared" si="27"/>
        <v>656.42549815498069</v>
      </c>
      <c r="I202" s="59" t="s">
        <v>377</v>
      </c>
      <c r="J202" s="59" t="s">
        <v>506</v>
      </c>
      <c r="K202" s="59" t="s">
        <v>682</v>
      </c>
      <c r="L202" s="59">
        <v>1</v>
      </c>
      <c r="M202" s="62">
        <v>96</v>
      </c>
      <c r="N202" s="131">
        <v>2.02</v>
      </c>
      <c r="O202" s="132" t="s">
        <v>224</v>
      </c>
      <c r="P202" s="131" t="s">
        <v>380</v>
      </c>
      <c r="Q202" s="61">
        <f t="shared" si="28"/>
        <v>97.920000000000016</v>
      </c>
      <c r="R202" s="61">
        <f t="shared" si="30"/>
        <v>1248</v>
      </c>
      <c r="S202" s="61">
        <f t="shared" si="31"/>
        <v>-147.83999999999997</v>
      </c>
      <c r="T202" s="61">
        <f t="shared" si="32"/>
        <v>-197.33999999999997</v>
      </c>
      <c r="U202" s="133">
        <f t="shared" si="33"/>
        <v>-6.2730861905639895E-2</v>
      </c>
      <c r="V202" s="89">
        <f t="shared" si="35"/>
        <v>3243.739999999998</v>
      </c>
      <c r="W202" s="136"/>
    </row>
    <row r="203" spans="1:23">
      <c r="A203" s="91">
        <v>201</v>
      </c>
      <c r="B203" s="135">
        <v>43526</v>
      </c>
      <c r="C203" s="89">
        <f t="shared" si="34"/>
        <v>3243.739999999998</v>
      </c>
      <c r="F203" s="89">
        <f t="shared" si="29"/>
        <v>3243.739999999998</v>
      </c>
      <c r="G203" s="130">
        <v>0.53321033210332103</v>
      </c>
      <c r="H203" s="90">
        <f t="shared" si="27"/>
        <v>560.42549815498069</v>
      </c>
      <c r="I203" s="59" t="s">
        <v>377</v>
      </c>
      <c r="J203" s="59" t="s">
        <v>482</v>
      </c>
      <c r="K203" s="59" t="s">
        <v>683</v>
      </c>
      <c r="L203" s="59">
        <v>1</v>
      </c>
      <c r="M203" s="62">
        <v>96</v>
      </c>
      <c r="N203" s="131">
        <v>2</v>
      </c>
      <c r="O203" s="132" t="s">
        <v>224</v>
      </c>
      <c r="P203" s="131" t="s">
        <v>380</v>
      </c>
      <c r="Q203" s="61">
        <f t="shared" si="28"/>
        <v>96</v>
      </c>
      <c r="R203" s="61">
        <f t="shared" si="30"/>
        <v>1344</v>
      </c>
      <c r="S203" s="129">
        <f t="shared" si="31"/>
        <v>-51.839999999999975</v>
      </c>
      <c r="T203" s="61">
        <f t="shared" si="32"/>
        <v>-101.33999999999997</v>
      </c>
      <c r="U203" s="133">
        <f t="shared" si="33"/>
        <v>-3.1241714810681508E-2</v>
      </c>
      <c r="V203" s="89">
        <f t="shared" si="35"/>
        <v>3339.739999999998</v>
      </c>
      <c r="W203" s="136"/>
    </row>
    <row r="204" spans="1:23">
      <c r="A204" s="91">
        <v>202</v>
      </c>
      <c r="B204" s="128">
        <v>43527</v>
      </c>
      <c r="C204" s="103">
        <f t="shared" si="34"/>
        <v>3339.739999999998</v>
      </c>
      <c r="D204" s="129"/>
      <c r="E204" s="129"/>
      <c r="F204" s="103">
        <f t="shared" si="29"/>
        <v>3339.739999999998</v>
      </c>
      <c r="G204" s="130">
        <f t="shared" ref="G204:G250" si="36">+$AB$3</f>
        <v>0.53911564625850339</v>
      </c>
      <c r="H204" s="90">
        <f t="shared" si="27"/>
        <v>1800.5060884353729</v>
      </c>
      <c r="I204" s="59" t="s">
        <v>377</v>
      </c>
      <c r="O204" s="132" t="s">
        <v>224</v>
      </c>
      <c r="P204" s="59" t="s">
        <v>385</v>
      </c>
      <c r="Q204" s="61">
        <f t="shared" si="28"/>
        <v>0</v>
      </c>
      <c r="R204" s="61">
        <f t="shared" si="30"/>
        <v>0</v>
      </c>
      <c r="S204" s="61">
        <f t="shared" si="31"/>
        <v>0</v>
      </c>
      <c r="T204" s="61">
        <f t="shared" si="32"/>
        <v>-101.33999999999997</v>
      </c>
      <c r="U204" s="133">
        <f t="shared" si="33"/>
        <v>-3.034367944810076E-2</v>
      </c>
      <c r="V204" s="89">
        <f t="shared" si="35"/>
        <v>3339.739999999998</v>
      </c>
      <c r="W204" s="136">
        <f>+H204/10*G204</f>
        <v>97.068100345920612</v>
      </c>
    </row>
    <row r="205" spans="1:23">
      <c r="A205" s="91">
        <v>203</v>
      </c>
      <c r="B205" s="135"/>
      <c r="C205" s="89">
        <f t="shared" si="34"/>
        <v>3339.739999999998</v>
      </c>
      <c r="F205" s="89">
        <f t="shared" si="29"/>
        <v>3339.739999999998</v>
      </c>
      <c r="G205" s="130">
        <f t="shared" si="36"/>
        <v>0.53911564625850339</v>
      </c>
      <c r="H205" s="90">
        <f t="shared" si="27"/>
        <v>1800.5060884353729</v>
      </c>
      <c r="I205" s="59" t="s">
        <v>377</v>
      </c>
      <c r="O205" s="132" t="s">
        <v>224</v>
      </c>
      <c r="P205" s="59" t="s">
        <v>385</v>
      </c>
      <c r="Q205" s="61">
        <f t="shared" si="28"/>
        <v>0</v>
      </c>
      <c r="R205" s="61">
        <f t="shared" si="30"/>
        <v>0</v>
      </c>
      <c r="S205" s="61">
        <f t="shared" si="31"/>
        <v>0</v>
      </c>
      <c r="T205" s="61">
        <f t="shared" si="32"/>
        <v>0</v>
      </c>
      <c r="U205" s="133">
        <f t="shared" si="33"/>
        <v>0</v>
      </c>
      <c r="V205" s="89">
        <f t="shared" si="35"/>
        <v>3339.739999999998</v>
      </c>
    </row>
    <row r="206" spans="1:23">
      <c r="A206" s="91">
        <v>204</v>
      </c>
      <c r="B206" s="135"/>
      <c r="C206" s="89">
        <f t="shared" si="34"/>
        <v>3339.739999999998</v>
      </c>
      <c r="F206" s="89">
        <f t="shared" si="29"/>
        <v>3339.739999999998</v>
      </c>
      <c r="G206" s="130">
        <f t="shared" si="36"/>
        <v>0.53911564625850339</v>
      </c>
      <c r="H206" s="90">
        <f t="shared" si="27"/>
        <v>1800.5060884353729</v>
      </c>
      <c r="I206" s="59" t="s">
        <v>377</v>
      </c>
      <c r="O206" s="132" t="s">
        <v>224</v>
      </c>
      <c r="P206" s="59" t="s">
        <v>385</v>
      </c>
      <c r="Q206" s="61">
        <f t="shared" si="28"/>
        <v>0</v>
      </c>
      <c r="R206" s="61">
        <f t="shared" si="30"/>
        <v>0</v>
      </c>
      <c r="S206" s="61">
        <f t="shared" si="31"/>
        <v>0</v>
      </c>
      <c r="T206" s="61">
        <f t="shared" si="32"/>
        <v>0</v>
      </c>
      <c r="U206" s="133">
        <f t="shared" si="33"/>
        <v>0</v>
      </c>
      <c r="V206" s="89">
        <f t="shared" si="35"/>
        <v>3339.739999999998</v>
      </c>
    </row>
    <row r="207" spans="1:23">
      <c r="A207" s="91">
        <v>205</v>
      </c>
      <c r="B207" s="135"/>
      <c r="C207" s="89">
        <f t="shared" si="34"/>
        <v>3339.739999999998</v>
      </c>
      <c r="F207" s="89">
        <f t="shared" si="29"/>
        <v>3339.739999999998</v>
      </c>
      <c r="G207" s="130">
        <f t="shared" si="36"/>
        <v>0.53911564625850339</v>
      </c>
      <c r="H207" s="90">
        <f t="shared" si="27"/>
        <v>1800.5060884353729</v>
      </c>
      <c r="I207" s="59" t="s">
        <v>377</v>
      </c>
      <c r="O207" s="132" t="s">
        <v>224</v>
      </c>
      <c r="P207" s="59" t="s">
        <v>385</v>
      </c>
      <c r="Q207" s="61">
        <f t="shared" si="28"/>
        <v>0</v>
      </c>
      <c r="R207" s="61">
        <f t="shared" si="30"/>
        <v>0</v>
      </c>
      <c r="S207" s="61">
        <f t="shared" si="31"/>
        <v>0</v>
      </c>
      <c r="T207" s="61">
        <f t="shared" si="32"/>
        <v>0</v>
      </c>
      <c r="U207" s="133">
        <f t="shared" si="33"/>
        <v>0</v>
      </c>
      <c r="V207" s="89">
        <f t="shared" si="35"/>
        <v>3339.739999999998</v>
      </c>
    </row>
    <row r="208" spans="1:23">
      <c r="A208" s="91">
        <v>206</v>
      </c>
      <c r="B208" s="135"/>
      <c r="C208" s="89">
        <f t="shared" si="34"/>
        <v>3339.739999999998</v>
      </c>
      <c r="F208" s="89">
        <f t="shared" si="29"/>
        <v>3339.739999999998</v>
      </c>
      <c r="G208" s="130">
        <f t="shared" si="36"/>
        <v>0.53911564625850339</v>
      </c>
      <c r="H208" s="90">
        <f t="shared" si="27"/>
        <v>1800.5060884353729</v>
      </c>
      <c r="I208" s="59" t="s">
        <v>377</v>
      </c>
      <c r="O208" s="132" t="s">
        <v>224</v>
      </c>
      <c r="P208" s="59" t="s">
        <v>385</v>
      </c>
      <c r="Q208" s="61">
        <f t="shared" si="28"/>
        <v>0</v>
      </c>
      <c r="R208" s="61">
        <f t="shared" si="30"/>
        <v>0</v>
      </c>
      <c r="S208" s="61">
        <f t="shared" si="31"/>
        <v>0</v>
      </c>
      <c r="T208" s="61">
        <f t="shared" si="32"/>
        <v>0</v>
      </c>
      <c r="U208" s="133">
        <f t="shared" si="33"/>
        <v>0</v>
      </c>
      <c r="V208" s="89">
        <f t="shared" si="35"/>
        <v>3339.739999999998</v>
      </c>
    </row>
    <row r="209" spans="1:22">
      <c r="A209" s="91">
        <v>207</v>
      </c>
      <c r="B209" s="135"/>
      <c r="C209" s="89">
        <f t="shared" si="34"/>
        <v>3339.739999999998</v>
      </c>
      <c r="F209" s="89">
        <f t="shared" si="29"/>
        <v>3339.739999999998</v>
      </c>
      <c r="G209" s="130">
        <f t="shared" si="36"/>
        <v>0.53911564625850339</v>
      </c>
      <c r="H209" s="90">
        <f t="shared" si="27"/>
        <v>1800.5060884353729</v>
      </c>
      <c r="I209" s="59" t="s">
        <v>377</v>
      </c>
      <c r="O209" s="132" t="s">
        <v>224</v>
      </c>
      <c r="P209" s="59" t="s">
        <v>385</v>
      </c>
      <c r="Q209" s="61">
        <f t="shared" si="28"/>
        <v>0</v>
      </c>
      <c r="R209" s="61">
        <f t="shared" si="30"/>
        <v>0</v>
      </c>
      <c r="S209" s="61">
        <f t="shared" si="31"/>
        <v>0</v>
      </c>
      <c r="T209" s="61">
        <f t="shared" si="32"/>
        <v>0</v>
      </c>
      <c r="U209" s="133">
        <f t="shared" si="33"/>
        <v>0</v>
      </c>
      <c r="V209" s="89">
        <f t="shared" si="35"/>
        <v>3339.739999999998</v>
      </c>
    </row>
    <row r="210" spans="1:22">
      <c r="A210" s="91">
        <v>208</v>
      </c>
      <c r="B210" s="135"/>
      <c r="C210" s="89">
        <f t="shared" si="34"/>
        <v>3339.739999999998</v>
      </c>
      <c r="F210" s="89">
        <f t="shared" si="29"/>
        <v>3339.739999999998</v>
      </c>
      <c r="G210" s="130">
        <f t="shared" si="36"/>
        <v>0.53911564625850339</v>
      </c>
      <c r="H210" s="90">
        <f t="shared" si="27"/>
        <v>1800.5060884353729</v>
      </c>
      <c r="I210" s="59" t="s">
        <v>377</v>
      </c>
      <c r="O210" s="132" t="s">
        <v>224</v>
      </c>
      <c r="P210" s="59" t="s">
        <v>385</v>
      </c>
      <c r="Q210" s="61">
        <f t="shared" si="28"/>
        <v>0</v>
      </c>
      <c r="R210" s="61">
        <f t="shared" si="30"/>
        <v>0</v>
      </c>
      <c r="S210" s="61">
        <f t="shared" si="31"/>
        <v>0</v>
      </c>
      <c r="T210" s="61">
        <f t="shared" si="32"/>
        <v>0</v>
      </c>
      <c r="U210" s="133">
        <f t="shared" si="33"/>
        <v>0</v>
      </c>
      <c r="V210" s="89">
        <f t="shared" si="35"/>
        <v>3339.739999999998</v>
      </c>
    </row>
    <row r="211" spans="1:22">
      <c r="A211" s="91">
        <v>209</v>
      </c>
      <c r="B211" s="135"/>
      <c r="C211" s="89">
        <f t="shared" si="34"/>
        <v>3339.739999999998</v>
      </c>
      <c r="F211" s="89">
        <f t="shared" si="29"/>
        <v>3339.739999999998</v>
      </c>
      <c r="G211" s="130">
        <f t="shared" si="36"/>
        <v>0.53911564625850339</v>
      </c>
      <c r="H211" s="90">
        <f t="shared" si="27"/>
        <v>1800.5060884353729</v>
      </c>
      <c r="I211" s="59" t="s">
        <v>377</v>
      </c>
      <c r="O211" s="132" t="s">
        <v>224</v>
      </c>
      <c r="P211" s="59" t="s">
        <v>385</v>
      </c>
      <c r="Q211" s="61">
        <f t="shared" si="28"/>
        <v>0</v>
      </c>
      <c r="R211" s="61">
        <f t="shared" si="30"/>
        <v>0</v>
      </c>
      <c r="S211" s="61">
        <f t="shared" si="31"/>
        <v>0</v>
      </c>
      <c r="T211" s="61">
        <f t="shared" si="32"/>
        <v>0</v>
      </c>
      <c r="U211" s="133">
        <f t="shared" si="33"/>
        <v>0</v>
      </c>
      <c r="V211" s="89">
        <f t="shared" si="35"/>
        <v>3339.739999999998</v>
      </c>
    </row>
    <row r="212" spans="1:22">
      <c r="A212" s="91">
        <v>210</v>
      </c>
      <c r="B212" s="135"/>
      <c r="C212" s="89">
        <f t="shared" si="34"/>
        <v>3339.739999999998</v>
      </c>
      <c r="F212" s="89">
        <f t="shared" si="29"/>
        <v>3339.739999999998</v>
      </c>
      <c r="G212" s="130">
        <f t="shared" si="36"/>
        <v>0.53911564625850339</v>
      </c>
      <c r="H212" s="90">
        <f t="shared" si="27"/>
        <v>1800.5060884353729</v>
      </c>
      <c r="I212" s="59" t="s">
        <v>377</v>
      </c>
      <c r="O212" s="132" t="s">
        <v>224</v>
      </c>
      <c r="P212" s="59" t="s">
        <v>385</v>
      </c>
      <c r="Q212" s="61">
        <f t="shared" si="28"/>
        <v>0</v>
      </c>
      <c r="R212" s="61">
        <f t="shared" si="30"/>
        <v>0</v>
      </c>
      <c r="S212" s="61">
        <f t="shared" si="31"/>
        <v>0</v>
      </c>
      <c r="T212" s="61">
        <f t="shared" si="32"/>
        <v>0</v>
      </c>
      <c r="U212" s="133">
        <f t="shared" si="33"/>
        <v>0</v>
      </c>
      <c r="V212" s="89">
        <f t="shared" si="35"/>
        <v>3339.739999999998</v>
      </c>
    </row>
    <row r="213" spans="1:22">
      <c r="A213" s="91">
        <v>211</v>
      </c>
      <c r="B213" s="135"/>
      <c r="C213" s="89">
        <f t="shared" si="34"/>
        <v>3339.739999999998</v>
      </c>
      <c r="F213" s="89">
        <f t="shared" si="29"/>
        <v>3339.739999999998</v>
      </c>
      <c r="G213" s="130">
        <f t="shared" si="36"/>
        <v>0.53911564625850339</v>
      </c>
      <c r="H213" s="90">
        <f t="shared" si="27"/>
        <v>1800.5060884353729</v>
      </c>
      <c r="I213" s="59" t="s">
        <v>377</v>
      </c>
      <c r="O213" s="132" t="s">
        <v>224</v>
      </c>
      <c r="P213" s="59" t="s">
        <v>385</v>
      </c>
      <c r="Q213" s="61">
        <f t="shared" si="28"/>
        <v>0</v>
      </c>
      <c r="R213" s="61">
        <f t="shared" si="30"/>
        <v>0</v>
      </c>
      <c r="S213" s="61">
        <f t="shared" si="31"/>
        <v>0</v>
      </c>
      <c r="T213" s="61">
        <f t="shared" si="32"/>
        <v>0</v>
      </c>
      <c r="U213" s="133">
        <f t="shared" si="33"/>
        <v>0</v>
      </c>
      <c r="V213" s="89">
        <f t="shared" si="35"/>
        <v>3339.739999999998</v>
      </c>
    </row>
    <row r="214" spans="1:22">
      <c r="A214" s="91">
        <v>212</v>
      </c>
      <c r="B214" s="135"/>
      <c r="C214" s="89">
        <f t="shared" si="34"/>
        <v>3339.739999999998</v>
      </c>
      <c r="F214" s="89">
        <f t="shared" si="29"/>
        <v>3339.739999999998</v>
      </c>
      <c r="G214" s="130">
        <f t="shared" si="36"/>
        <v>0.53911564625850339</v>
      </c>
      <c r="H214" s="90">
        <f t="shared" si="27"/>
        <v>1800.5060884353729</v>
      </c>
      <c r="I214" s="59" t="s">
        <v>377</v>
      </c>
      <c r="O214" s="132" t="s">
        <v>224</v>
      </c>
      <c r="P214" s="59" t="s">
        <v>385</v>
      </c>
      <c r="Q214" s="61">
        <f t="shared" si="28"/>
        <v>0</v>
      </c>
      <c r="R214" s="61">
        <f t="shared" si="30"/>
        <v>0</v>
      </c>
      <c r="S214" s="61">
        <f t="shared" si="31"/>
        <v>0</v>
      </c>
      <c r="T214" s="61">
        <f t="shared" si="32"/>
        <v>0</v>
      </c>
      <c r="U214" s="133">
        <f t="shared" si="33"/>
        <v>0</v>
      </c>
      <c r="V214" s="89">
        <f t="shared" si="35"/>
        <v>3339.739999999998</v>
      </c>
    </row>
    <row r="215" spans="1:22">
      <c r="A215" s="91">
        <v>213</v>
      </c>
      <c r="B215" s="135"/>
      <c r="C215" s="89">
        <f t="shared" si="34"/>
        <v>3339.739999999998</v>
      </c>
      <c r="F215" s="89">
        <f t="shared" si="29"/>
        <v>3339.739999999998</v>
      </c>
      <c r="G215" s="130">
        <f t="shared" si="36"/>
        <v>0.53911564625850339</v>
      </c>
      <c r="H215" s="90">
        <f t="shared" si="27"/>
        <v>1800.5060884353729</v>
      </c>
      <c r="I215" s="59" t="s">
        <v>377</v>
      </c>
      <c r="O215" s="132" t="s">
        <v>224</v>
      </c>
      <c r="P215" s="59" t="s">
        <v>385</v>
      </c>
      <c r="Q215" s="61">
        <f t="shared" si="28"/>
        <v>0</v>
      </c>
      <c r="R215" s="61">
        <f t="shared" si="30"/>
        <v>0</v>
      </c>
      <c r="S215" s="61">
        <f t="shared" si="31"/>
        <v>0</v>
      </c>
      <c r="T215" s="61">
        <f t="shared" si="32"/>
        <v>0</v>
      </c>
      <c r="U215" s="133">
        <f t="shared" si="33"/>
        <v>0</v>
      </c>
      <c r="V215" s="89">
        <f t="shared" si="35"/>
        <v>3339.739999999998</v>
      </c>
    </row>
    <row r="216" spans="1:22">
      <c r="A216" s="91">
        <v>214</v>
      </c>
      <c r="B216" s="135"/>
      <c r="C216" s="89">
        <f t="shared" si="34"/>
        <v>3339.739999999998</v>
      </c>
      <c r="F216" s="89">
        <f t="shared" si="29"/>
        <v>3339.739999999998</v>
      </c>
      <c r="G216" s="130">
        <f t="shared" si="36"/>
        <v>0.53911564625850339</v>
      </c>
      <c r="H216" s="90">
        <f t="shared" si="27"/>
        <v>1800.5060884353729</v>
      </c>
      <c r="I216" s="59" t="s">
        <v>377</v>
      </c>
      <c r="O216" s="132" t="s">
        <v>224</v>
      </c>
      <c r="P216" s="59" t="s">
        <v>385</v>
      </c>
      <c r="Q216" s="61">
        <f t="shared" si="28"/>
        <v>0</v>
      </c>
      <c r="R216" s="61">
        <f t="shared" si="30"/>
        <v>0</v>
      </c>
      <c r="S216" s="61">
        <f t="shared" si="31"/>
        <v>0</v>
      </c>
      <c r="T216" s="61">
        <f t="shared" si="32"/>
        <v>0</v>
      </c>
      <c r="U216" s="133">
        <f t="shared" si="33"/>
        <v>0</v>
      </c>
      <c r="V216" s="89">
        <f t="shared" si="35"/>
        <v>3339.739999999998</v>
      </c>
    </row>
    <row r="217" spans="1:22">
      <c r="A217" s="91">
        <v>215</v>
      </c>
      <c r="B217" s="135"/>
      <c r="C217" s="89">
        <f t="shared" si="34"/>
        <v>3339.739999999998</v>
      </c>
      <c r="F217" s="89">
        <f t="shared" si="29"/>
        <v>3339.739999999998</v>
      </c>
      <c r="G217" s="130">
        <f t="shared" si="36"/>
        <v>0.53911564625850339</v>
      </c>
      <c r="H217" s="90">
        <f t="shared" si="27"/>
        <v>1800.5060884353729</v>
      </c>
      <c r="I217" s="59" t="s">
        <v>377</v>
      </c>
      <c r="O217" s="132" t="s">
        <v>224</v>
      </c>
      <c r="P217" s="59" t="s">
        <v>385</v>
      </c>
      <c r="Q217" s="61">
        <f t="shared" si="28"/>
        <v>0</v>
      </c>
      <c r="R217" s="61">
        <f t="shared" si="30"/>
        <v>0</v>
      </c>
      <c r="S217" s="61">
        <f t="shared" si="31"/>
        <v>0</v>
      </c>
      <c r="T217" s="61">
        <f t="shared" si="32"/>
        <v>0</v>
      </c>
      <c r="U217" s="133">
        <f t="shared" si="33"/>
        <v>0</v>
      </c>
      <c r="V217" s="89">
        <f t="shared" si="35"/>
        <v>3339.739999999998</v>
      </c>
    </row>
    <row r="218" spans="1:22">
      <c r="A218" s="91">
        <v>216</v>
      </c>
      <c r="B218" s="135"/>
      <c r="C218" s="89">
        <f t="shared" si="34"/>
        <v>3339.739999999998</v>
      </c>
      <c r="F218" s="89">
        <f t="shared" si="29"/>
        <v>3339.739999999998</v>
      </c>
      <c r="G218" s="130">
        <f t="shared" si="36"/>
        <v>0.53911564625850339</v>
      </c>
      <c r="H218" s="90">
        <f t="shared" si="27"/>
        <v>1800.5060884353729</v>
      </c>
      <c r="I218" s="59" t="s">
        <v>377</v>
      </c>
      <c r="O218" s="132" t="s">
        <v>224</v>
      </c>
      <c r="P218" s="59" t="s">
        <v>385</v>
      </c>
      <c r="Q218" s="61">
        <f t="shared" si="28"/>
        <v>0</v>
      </c>
      <c r="R218" s="61">
        <f t="shared" si="30"/>
        <v>0</v>
      </c>
      <c r="S218" s="61">
        <f t="shared" si="31"/>
        <v>0</v>
      </c>
      <c r="T218" s="61">
        <f t="shared" si="32"/>
        <v>0</v>
      </c>
      <c r="U218" s="133">
        <f t="shared" si="33"/>
        <v>0</v>
      </c>
      <c r="V218" s="89">
        <f t="shared" si="35"/>
        <v>3339.739999999998</v>
      </c>
    </row>
    <row r="219" spans="1:22">
      <c r="A219" s="91">
        <v>217</v>
      </c>
      <c r="B219" s="135"/>
      <c r="C219" s="89">
        <f t="shared" si="34"/>
        <v>3339.739999999998</v>
      </c>
      <c r="F219" s="89">
        <f t="shared" si="29"/>
        <v>3339.739999999998</v>
      </c>
      <c r="G219" s="130">
        <f t="shared" si="36"/>
        <v>0.53911564625850339</v>
      </c>
      <c r="H219" s="90">
        <f t="shared" si="27"/>
        <v>1800.5060884353729</v>
      </c>
      <c r="I219" s="59" t="s">
        <v>377</v>
      </c>
      <c r="O219" s="132" t="s">
        <v>224</v>
      </c>
      <c r="P219" s="59" t="s">
        <v>385</v>
      </c>
      <c r="Q219" s="61">
        <f t="shared" si="28"/>
        <v>0</v>
      </c>
      <c r="R219" s="61">
        <f t="shared" si="30"/>
        <v>0</v>
      </c>
      <c r="S219" s="61">
        <f t="shared" si="31"/>
        <v>0</v>
      </c>
      <c r="T219" s="61">
        <f t="shared" si="32"/>
        <v>0</v>
      </c>
      <c r="U219" s="133">
        <f t="shared" si="33"/>
        <v>0</v>
      </c>
      <c r="V219" s="89">
        <f t="shared" si="35"/>
        <v>3339.739999999998</v>
      </c>
    </row>
    <row r="220" spans="1:22">
      <c r="A220" s="91">
        <v>218</v>
      </c>
      <c r="B220" s="135"/>
      <c r="C220" s="89">
        <f t="shared" si="34"/>
        <v>3339.739999999998</v>
      </c>
      <c r="F220" s="89">
        <f t="shared" si="29"/>
        <v>3339.739999999998</v>
      </c>
      <c r="G220" s="130">
        <f t="shared" si="36"/>
        <v>0.53911564625850339</v>
      </c>
      <c r="H220" s="90">
        <f t="shared" si="27"/>
        <v>1800.5060884353729</v>
      </c>
      <c r="I220" s="59" t="s">
        <v>377</v>
      </c>
      <c r="O220" s="132" t="s">
        <v>224</v>
      </c>
      <c r="P220" s="59" t="s">
        <v>385</v>
      </c>
      <c r="Q220" s="61">
        <f t="shared" si="28"/>
        <v>0</v>
      </c>
      <c r="R220" s="61">
        <f t="shared" si="30"/>
        <v>0</v>
      </c>
      <c r="S220" s="61">
        <f t="shared" si="31"/>
        <v>0</v>
      </c>
      <c r="T220" s="61">
        <f t="shared" si="32"/>
        <v>0</v>
      </c>
      <c r="U220" s="133">
        <f t="shared" si="33"/>
        <v>0</v>
      </c>
      <c r="V220" s="89">
        <f t="shared" si="35"/>
        <v>3339.739999999998</v>
      </c>
    </row>
    <row r="221" spans="1:22">
      <c r="A221" s="91">
        <v>219</v>
      </c>
      <c r="B221" s="135"/>
      <c r="C221" s="89">
        <f t="shared" si="34"/>
        <v>3339.739999999998</v>
      </c>
      <c r="F221" s="89">
        <f t="shared" si="29"/>
        <v>3339.739999999998</v>
      </c>
      <c r="G221" s="130">
        <f t="shared" si="36"/>
        <v>0.53911564625850339</v>
      </c>
      <c r="H221" s="90">
        <f t="shared" si="27"/>
        <v>1800.5060884353729</v>
      </c>
      <c r="I221" s="59" t="s">
        <v>377</v>
      </c>
      <c r="O221" s="132" t="s">
        <v>224</v>
      </c>
      <c r="P221" s="59" t="s">
        <v>385</v>
      </c>
      <c r="Q221" s="61">
        <f t="shared" si="28"/>
        <v>0</v>
      </c>
      <c r="R221" s="61">
        <f t="shared" si="30"/>
        <v>0</v>
      </c>
      <c r="S221" s="61">
        <f t="shared" si="31"/>
        <v>0</v>
      </c>
      <c r="T221" s="61">
        <f t="shared" si="32"/>
        <v>0</v>
      </c>
      <c r="U221" s="133">
        <f t="shared" si="33"/>
        <v>0</v>
      </c>
      <c r="V221" s="89">
        <f t="shared" si="35"/>
        <v>3339.739999999998</v>
      </c>
    </row>
    <row r="222" spans="1:22">
      <c r="A222" s="91">
        <v>220</v>
      </c>
      <c r="B222" s="135"/>
      <c r="C222" s="89">
        <f t="shared" si="34"/>
        <v>3339.739999999998</v>
      </c>
      <c r="F222" s="89">
        <f t="shared" si="29"/>
        <v>3339.739999999998</v>
      </c>
      <c r="G222" s="130">
        <f t="shared" si="36"/>
        <v>0.53911564625850339</v>
      </c>
      <c r="H222" s="90">
        <f t="shared" si="27"/>
        <v>1800.5060884353729</v>
      </c>
      <c r="I222" s="59" t="s">
        <v>377</v>
      </c>
      <c r="O222" s="132" t="s">
        <v>224</v>
      </c>
      <c r="P222" s="59" t="s">
        <v>385</v>
      </c>
      <c r="Q222" s="61">
        <f t="shared" si="28"/>
        <v>0</v>
      </c>
      <c r="R222" s="61">
        <f t="shared" si="30"/>
        <v>0</v>
      </c>
      <c r="S222" s="61">
        <f t="shared" si="31"/>
        <v>0</v>
      </c>
      <c r="T222" s="61">
        <f t="shared" si="32"/>
        <v>0</v>
      </c>
      <c r="U222" s="133">
        <f t="shared" si="33"/>
        <v>0</v>
      </c>
      <c r="V222" s="89">
        <f t="shared" si="35"/>
        <v>3339.739999999998</v>
      </c>
    </row>
    <row r="223" spans="1:22">
      <c r="A223" s="91">
        <v>221</v>
      </c>
      <c r="B223" s="135"/>
      <c r="C223" s="89">
        <f t="shared" si="34"/>
        <v>3339.739999999998</v>
      </c>
      <c r="F223" s="89">
        <f t="shared" si="29"/>
        <v>3339.739999999998</v>
      </c>
      <c r="G223" s="130">
        <f t="shared" si="36"/>
        <v>0.53911564625850339</v>
      </c>
      <c r="H223" s="90">
        <f t="shared" si="27"/>
        <v>1800.5060884353729</v>
      </c>
      <c r="I223" s="59" t="s">
        <v>377</v>
      </c>
      <c r="O223" s="132" t="s">
        <v>224</v>
      </c>
      <c r="P223" s="59" t="s">
        <v>385</v>
      </c>
      <c r="Q223" s="61">
        <f t="shared" si="28"/>
        <v>0</v>
      </c>
      <c r="R223" s="61">
        <f t="shared" si="30"/>
        <v>0</v>
      </c>
      <c r="S223" s="61">
        <f t="shared" si="31"/>
        <v>0</v>
      </c>
      <c r="T223" s="61">
        <f t="shared" si="32"/>
        <v>0</v>
      </c>
      <c r="U223" s="133">
        <f t="shared" si="33"/>
        <v>0</v>
      </c>
      <c r="V223" s="89">
        <f t="shared" si="35"/>
        <v>3339.739999999998</v>
      </c>
    </row>
    <row r="224" spans="1:22">
      <c r="A224" s="91">
        <v>222</v>
      </c>
      <c r="B224" s="135"/>
      <c r="C224" s="89">
        <f t="shared" si="34"/>
        <v>3339.739999999998</v>
      </c>
      <c r="F224" s="89">
        <f t="shared" si="29"/>
        <v>3339.739999999998</v>
      </c>
      <c r="G224" s="130">
        <f t="shared" si="36"/>
        <v>0.53911564625850339</v>
      </c>
      <c r="H224" s="90">
        <f t="shared" si="27"/>
        <v>1800.5060884353729</v>
      </c>
      <c r="I224" s="59" t="s">
        <v>377</v>
      </c>
      <c r="O224" s="132" t="s">
        <v>224</v>
      </c>
      <c r="P224" s="59" t="s">
        <v>385</v>
      </c>
      <c r="Q224" s="61">
        <f t="shared" si="28"/>
        <v>0</v>
      </c>
      <c r="R224" s="61">
        <f t="shared" si="30"/>
        <v>0</v>
      </c>
      <c r="S224" s="61">
        <f t="shared" si="31"/>
        <v>0</v>
      </c>
      <c r="T224" s="61">
        <f t="shared" si="32"/>
        <v>0</v>
      </c>
      <c r="U224" s="133">
        <f t="shared" si="33"/>
        <v>0</v>
      </c>
      <c r="V224" s="89">
        <f t="shared" si="35"/>
        <v>3339.739999999998</v>
      </c>
    </row>
    <row r="225" spans="1:22">
      <c r="A225" s="91">
        <v>223</v>
      </c>
      <c r="B225" s="135"/>
      <c r="C225" s="89">
        <f t="shared" si="34"/>
        <v>3339.739999999998</v>
      </c>
      <c r="F225" s="89">
        <f t="shared" si="29"/>
        <v>3339.739999999998</v>
      </c>
      <c r="G225" s="130">
        <f t="shared" si="36"/>
        <v>0.53911564625850339</v>
      </c>
      <c r="H225" s="90">
        <f t="shared" si="27"/>
        <v>1800.5060884353729</v>
      </c>
      <c r="I225" s="59" t="s">
        <v>377</v>
      </c>
      <c r="O225" s="132" t="s">
        <v>224</v>
      </c>
      <c r="P225" s="59" t="s">
        <v>385</v>
      </c>
      <c r="Q225" s="61">
        <f t="shared" si="28"/>
        <v>0</v>
      </c>
      <c r="R225" s="61">
        <f t="shared" si="30"/>
        <v>0</v>
      </c>
      <c r="S225" s="61">
        <f t="shared" si="31"/>
        <v>0</v>
      </c>
      <c r="T225" s="61">
        <f t="shared" si="32"/>
        <v>0</v>
      </c>
      <c r="U225" s="133">
        <f t="shared" si="33"/>
        <v>0</v>
      </c>
      <c r="V225" s="89">
        <f t="shared" si="35"/>
        <v>3339.739999999998</v>
      </c>
    </row>
    <row r="226" spans="1:22">
      <c r="A226" s="91">
        <v>224</v>
      </c>
      <c r="B226" s="135"/>
      <c r="C226" s="89">
        <f t="shared" si="34"/>
        <v>3339.739999999998</v>
      </c>
      <c r="F226" s="89">
        <f t="shared" si="29"/>
        <v>3339.739999999998</v>
      </c>
      <c r="G226" s="130">
        <f t="shared" si="36"/>
        <v>0.53911564625850339</v>
      </c>
      <c r="H226" s="90">
        <f t="shared" si="27"/>
        <v>1800.5060884353729</v>
      </c>
      <c r="I226" s="59" t="s">
        <v>377</v>
      </c>
      <c r="O226" s="132" t="s">
        <v>224</v>
      </c>
      <c r="P226" s="59" t="s">
        <v>385</v>
      </c>
      <c r="Q226" s="61">
        <f t="shared" si="28"/>
        <v>0</v>
      </c>
      <c r="R226" s="61">
        <f t="shared" si="30"/>
        <v>0</v>
      </c>
      <c r="S226" s="61">
        <f t="shared" si="31"/>
        <v>0</v>
      </c>
      <c r="T226" s="61">
        <f t="shared" si="32"/>
        <v>0</v>
      </c>
      <c r="U226" s="133">
        <f t="shared" si="33"/>
        <v>0</v>
      </c>
      <c r="V226" s="89">
        <f t="shared" si="35"/>
        <v>3339.739999999998</v>
      </c>
    </row>
    <row r="227" spans="1:22">
      <c r="A227" s="91">
        <v>225</v>
      </c>
      <c r="B227" s="135"/>
      <c r="C227" s="89">
        <f t="shared" si="34"/>
        <v>3339.739999999998</v>
      </c>
      <c r="F227" s="89">
        <f t="shared" si="29"/>
        <v>3339.739999999998</v>
      </c>
      <c r="G227" s="130">
        <f t="shared" si="36"/>
        <v>0.53911564625850339</v>
      </c>
      <c r="H227" s="90">
        <f t="shared" si="27"/>
        <v>1800.5060884353729</v>
      </c>
      <c r="I227" s="59" t="s">
        <v>377</v>
      </c>
      <c r="O227" s="132" t="s">
        <v>224</v>
      </c>
      <c r="P227" s="59" t="s">
        <v>385</v>
      </c>
      <c r="Q227" s="61">
        <f t="shared" si="28"/>
        <v>0</v>
      </c>
      <c r="R227" s="61">
        <f t="shared" si="30"/>
        <v>0</v>
      </c>
      <c r="S227" s="61">
        <f t="shared" si="31"/>
        <v>0</v>
      </c>
      <c r="T227" s="61">
        <f t="shared" si="32"/>
        <v>0</v>
      </c>
      <c r="U227" s="133">
        <f t="shared" si="33"/>
        <v>0</v>
      </c>
      <c r="V227" s="89">
        <f t="shared" si="35"/>
        <v>3339.739999999998</v>
      </c>
    </row>
    <row r="228" spans="1:22">
      <c r="A228" s="91">
        <v>226</v>
      </c>
      <c r="B228" s="135"/>
      <c r="C228" s="89">
        <f t="shared" si="34"/>
        <v>3339.739999999998</v>
      </c>
      <c r="F228" s="89">
        <f t="shared" si="29"/>
        <v>3339.739999999998</v>
      </c>
      <c r="G228" s="130">
        <f t="shared" si="36"/>
        <v>0.53911564625850339</v>
      </c>
      <c r="H228" s="90">
        <f t="shared" si="27"/>
        <v>1800.5060884353729</v>
      </c>
      <c r="I228" s="59" t="s">
        <v>377</v>
      </c>
      <c r="O228" s="132" t="s">
        <v>224</v>
      </c>
      <c r="P228" s="59" t="s">
        <v>385</v>
      </c>
      <c r="Q228" s="61">
        <f t="shared" si="28"/>
        <v>0</v>
      </c>
      <c r="R228" s="61">
        <f t="shared" si="30"/>
        <v>0</v>
      </c>
      <c r="S228" s="61">
        <f t="shared" si="31"/>
        <v>0</v>
      </c>
      <c r="T228" s="61">
        <f t="shared" si="32"/>
        <v>0</v>
      </c>
      <c r="U228" s="133">
        <f t="shared" si="33"/>
        <v>0</v>
      </c>
      <c r="V228" s="89">
        <f t="shared" si="35"/>
        <v>3339.739999999998</v>
      </c>
    </row>
    <row r="229" spans="1:22">
      <c r="A229" s="91">
        <v>227</v>
      </c>
      <c r="B229" s="135"/>
      <c r="C229" s="89">
        <f t="shared" si="34"/>
        <v>3339.739999999998</v>
      </c>
      <c r="F229" s="89">
        <f t="shared" si="29"/>
        <v>3339.739999999998</v>
      </c>
      <c r="G229" s="130">
        <f t="shared" si="36"/>
        <v>0.53911564625850339</v>
      </c>
      <c r="H229" s="90">
        <f t="shared" si="27"/>
        <v>1800.5060884353729</v>
      </c>
      <c r="I229" s="59" t="s">
        <v>377</v>
      </c>
      <c r="O229" s="132" t="s">
        <v>224</v>
      </c>
      <c r="P229" s="59" t="s">
        <v>385</v>
      </c>
      <c r="Q229" s="61">
        <f t="shared" si="28"/>
        <v>0</v>
      </c>
      <c r="R229" s="61">
        <f t="shared" si="30"/>
        <v>0</v>
      </c>
      <c r="S229" s="61">
        <f t="shared" si="31"/>
        <v>0</v>
      </c>
      <c r="T229" s="61">
        <f t="shared" si="32"/>
        <v>0</v>
      </c>
      <c r="U229" s="133">
        <f t="shared" si="33"/>
        <v>0</v>
      </c>
      <c r="V229" s="89">
        <f t="shared" si="35"/>
        <v>3339.739999999998</v>
      </c>
    </row>
    <row r="230" spans="1:22">
      <c r="A230" s="91">
        <v>228</v>
      </c>
      <c r="B230" s="135"/>
      <c r="C230" s="89">
        <f t="shared" si="34"/>
        <v>3339.739999999998</v>
      </c>
      <c r="F230" s="89">
        <f t="shared" si="29"/>
        <v>3339.739999999998</v>
      </c>
      <c r="G230" s="130">
        <f t="shared" si="36"/>
        <v>0.53911564625850339</v>
      </c>
      <c r="H230" s="90">
        <f t="shared" si="27"/>
        <v>1800.5060884353729</v>
      </c>
      <c r="I230" s="59" t="s">
        <v>377</v>
      </c>
      <c r="O230" s="132" t="s">
        <v>224</v>
      </c>
      <c r="P230" s="59" t="s">
        <v>385</v>
      </c>
      <c r="Q230" s="61">
        <f t="shared" si="28"/>
        <v>0</v>
      </c>
      <c r="R230" s="61">
        <f t="shared" si="30"/>
        <v>0</v>
      </c>
      <c r="S230" s="61">
        <f t="shared" si="31"/>
        <v>0</v>
      </c>
      <c r="T230" s="61">
        <f t="shared" si="32"/>
        <v>0</v>
      </c>
      <c r="U230" s="133">
        <f t="shared" si="33"/>
        <v>0</v>
      </c>
      <c r="V230" s="89">
        <f t="shared" si="35"/>
        <v>3339.739999999998</v>
      </c>
    </row>
    <row r="231" spans="1:22">
      <c r="A231" s="91">
        <v>229</v>
      </c>
      <c r="B231" s="135"/>
      <c r="C231" s="89">
        <f t="shared" si="34"/>
        <v>3339.739999999998</v>
      </c>
      <c r="F231" s="89">
        <f t="shared" si="29"/>
        <v>3339.739999999998</v>
      </c>
      <c r="G231" s="130">
        <f t="shared" si="36"/>
        <v>0.53911564625850339</v>
      </c>
      <c r="H231" s="90">
        <f t="shared" si="27"/>
        <v>1800.5060884353729</v>
      </c>
      <c r="I231" s="59" t="s">
        <v>377</v>
      </c>
      <c r="O231" s="132" t="s">
        <v>224</v>
      </c>
      <c r="P231" s="59" t="s">
        <v>385</v>
      </c>
      <c r="Q231" s="61">
        <f t="shared" si="28"/>
        <v>0</v>
      </c>
      <c r="R231" s="61">
        <f t="shared" si="30"/>
        <v>0</v>
      </c>
      <c r="S231" s="61">
        <f t="shared" si="31"/>
        <v>0</v>
      </c>
      <c r="T231" s="61">
        <f t="shared" si="32"/>
        <v>0</v>
      </c>
      <c r="U231" s="133">
        <f t="shared" si="33"/>
        <v>0</v>
      </c>
      <c r="V231" s="89">
        <f t="shared" si="35"/>
        <v>3339.739999999998</v>
      </c>
    </row>
    <row r="232" spans="1:22">
      <c r="A232" s="91">
        <v>230</v>
      </c>
      <c r="B232" s="135"/>
      <c r="C232" s="89">
        <f t="shared" si="34"/>
        <v>3339.739999999998</v>
      </c>
      <c r="F232" s="89">
        <f t="shared" si="29"/>
        <v>3339.739999999998</v>
      </c>
      <c r="G232" s="130">
        <f t="shared" si="36"/>
        <v>0.53911564625850339</v>
      </c>
      <c r="H232" s="90">
        <f t="shared" si="27"/>
        <v>1800.5060884353729</v>
      </c>
      <c r="I232" s="59" t="s">
        <v>377</v>
      </c>
      <c r="O232" s="132" t="s">
        <v>224</v>
      </c>
      <c r="P232" s="59" t="s">
        <v>385</v>
      </c>
      <c r="Q232" s="61">
        <f t="shared" si="28"/>
        <v>0</v>
      </c>
      <c r="R232" s="61">
        <f t="shared" si="30"/>
        <v>0</v>
      </c>
      <c r="S232" s="61">
        <f t="shared" si="31"/>
        <v>0</v>
      </c>
      <c r="T232" s="61">
        <f t="shared" si="32"/>
        <v>0</v>
      </c>
      <c r="U232" s="133">
        <f t="shared" si="33"/>
        <v>0</v>
      </c>
      <c r="V232" s="89">
        <f t="shared" si="35"/>
        <v>3339.739999999998</v>
      </c>
    </row>
    <row r="233" spans="1:22">
      <c r="A233" s="91">
        <v>231</v>
      </c>
      <c r="B233" s="135"/>
      <c r="C233" s="89">
        <f t="shared" si="34"/>
        <v>3339.739999999998</v>
      </c>
      <c r="F233" s="89">
        <f t="shared" si="29"/>
        <v>3339.739999999998</v>
      </c>
      <c r="G233" s="130">
        <f t="shared" si="36"/>
        <v>0.53911564625850339</v>
      </c>
      <c r="H233" s="90">
        <f t="shared" si="27"/>
        <v>1800.5060884353729</v>
      </c>
      <c r="I233" s="59" t="s">
        <v>377</v>
      </c>
      <c r="O233" s="132" t="s">
        <v>224</v>
      </c>
      <c r="P233" s="59" t="s">
        <v>385</v>
      </c>
      <c r="Q233" s="61">
        <f t="shared" si="28"/>
        <v>0</v>
      </c>
      <c r="R233" s="61">
        <f t="shared" si="30"/>
        <v>0</v>
      </c>
      <c r="S233" s="61">
        <f t="shared" si="31"/>
        <v>0</v>
      </c>
      <c r="T233" s="61">
        <f t="shared" si="32"/>
        <v>0</v>
      </c>
      <c r="U233" s="133">
        <f t="shared" si="33"/>
        <v>0</v>
      </c>
      <c r="V233" s="89">
        <f t="shared" si="35"/>
        <v>3339.739999999998</v>
      </c>
    </row>
    <row r="234" spans="1:22">
      <c r="A234" s="91">
        <v>232</v>
      </c>
      <c r="B234" s="135"/>
      <c r="C234" s="89">
        <f t="shared" si="34"/>
        <v>3339.739999999998</v>
      </c>
      <c r="F234" s="89">
        <f t="shared" si="29"/>
        <v>3339.739999999998</v>
      </c>
      <c r="G234" s="130">
        <f t="shared" si="36"/>
        <v>0.53911564625850339</v>
      </c>
      <c r="H234" s="90">
        <f t="shared" ref="H234:H250" si="37">IF(B234=B233,H233-M233,F234*G234)</f>
        <v>1800.5060884353729</v>
      </c>
      <c r="I234" s="59" t="s">
        <v>377</v>
      </c>
      <c r="O234" s="132" t="s">
        <v>224</v>
      </c>
      <c r="P234" s="59" t="s">
        <v>385</v>
      </c>
      <c r="Q234" s="61">
        <f t="shared" si="28"/>
        <v>0</v>
      </c>
      <c r="R234" s="61">
        <f t="shared" si="30"/>
        <v>0</v>
      </c>
      <c r="S234" s="61">
        <f t="shared" si="31"/>
        <v>0</v>
      </c>
      <c r="T234" s="61">
        <f t="shared" si="32"/>
        <v>0</v>
      </c>
      <c r="U234" s="133">
        <f t="shared" si="33"/>
        <v>0</v>
      </c>
      <c r="V234" s="89">
        <f t="shared" si="35"/>
        <v>3339.739999999998</v>
      </c>
    </row>
    <row r="235" spans="1:22">
      <c r="A235" s="91">
        <v>233</v>
      </c>
      <c r="B235" s="135"/>
      <c r="C235" s="89">
        <f t="shared" si="34"/>
        <v>3339.739999999998</v>
      </c>
      <c r="F235" s="89">
        <f t="shared" si="29"/>
        <v>3339.739999999998</v>
      </c>
      <c r="G235" s="130">
        <f t="shared" si="36"/>
        <v>0.53911564625850339</v>
      </c>
      <c r="H235" s="90">
        <f t="shared" si="37"/>
        <v>1800.5060884353729</v>
      </c>
      <c r="I235" s="59" t="s">
        <v>377</v>
      </c>
      <c r="O235" s="132" t="s">
        <v>224</v>
      </c>
      <c r="P235" s="59" t="s">
        <v>385</v>
      </c>
      <c r="Q235" s="61">
        <f t="shared" si="28"/>
        <v>0</v>
      </c>
      <c r="R235" s="61">
        <f t="shared" si="30"/>
        <v>0</v>
      </c>
      <c r="S235" s="61">
        <f t="shared" si="31"/>
        <v>0</v>
      </c>
      <c r="T235" s="61">
        <f t="shared" si="32"/>
        <v>0</v>
      </c>
      <c r="U235" s="133">
        <f t="shared" si="33"/>
        <v>0</v>
      </c>
      <c r="V235" s="89">
        <f t="shared" si="35"/>
        <v>3339.739999999998</v>
      </c>
    </row>
    <row r="236" spans="1:22">
      <c r="A236" s="91">
        <v>234</v>
      </c>
      <c r="B236" s="135"/>
      <c r="C236" s="89">
        <f t="shared" si="34"/>
        <v>3339.739999999998</v>
      </c>
      <c r="F236" s="89">
        <f t="shared" si="29"/>
        <v>3339.739999999998</v>
      </c>
      <c r="G236" s="130">
        <f t="shared" si="36"/>
        <v>0.53911564625850339</v>
      </c>
      <c r="H236" s="90">
        <f t="shared" si="37"/>
        <v>1800.5060884353729</v>
      </c>
      <c r="I236" s="59" t="s">
        <v>377</v>
      </c>
      <c r="O236" s="132" t="s">
        <v>224</v>
      </c>
      <c r="P236" s="59" t="s">
        <v>385</v>
      </c>
      <c r="Q236" s="61">
        <f t="shared" si="28"/>
        <v>0</v>
      </c>
      <c r="R236" s="61">
        <f t="shared" si="30"/>
        <v>0</v>
      </c>
      <c r="S236" s="61">
        <f t="shared" si="31"/>
        <v>0</v>
      </c>
      <c r="T236" s="61">
        <f t="shared" si="32"/>
        <v>0</v>
      </c>
      <c r="U236" s="133">
        <f t="shared" si="33"/>
        <v>0</v>
      </c>
      <c r="V236" s="89">
        <f t="shared" si="35"/>
        <v>3339.739999999998</v>
      </c>
    </row>
    <row r="237" spans="1:22">
      <c r="A237" s="91">
        <v>235</v>
      </c>
      <c r="B237" s="135"/>
      <c r="C237" s="89">
        <f t="shared" si="34"/>
        <v>3339.739999999998</v>
      </c>
      <c r="F237" s="89">
        <f t="shared" si="29"/>
        <v>3339.739999999998</v>
      </c>
      <c r="G237" s="130">
        <f t="shared" si="36"/>
        <v>0.53911564625850339</v>
      </c>
      <c r="H237" s="90">
        <f t="shared" si="37"/>
        <v>1800.5060884353729</v>
      </c>
      <c r="I237" s="59" t="s">
        <v>377</v>
      </c>
      <c r="O237" s="132" t="s">
        <v>224</v>
      </c>
      <c r="P237" s="59" t="s">
        <v>385</v>
      </c>
      <c r="Q237" s="61">
        <f t="shared" si="28"/>
        <v>0</v>
      </c>
      <c r="R237" s="61">
        <f t="shared" si="30"/>
        <v>0</v>
      </c>
      <c r="S237" s="61">
        <f t="shared" si="31"/>
        <v>0</v>
      </c>
      <c r="T237" s="61">
        <f t="shared" si="32"/>
        <v>0</v>
      </c>
      <c r="U237" s="133">
        <f t="shared" si="33"/>
        <v>0</v>
      </c>
      <c r="V237" s="89">
        <f t="shared" si="35"/>
        <v>3339.739999999998</v>
      </c>
    </row>
    <row r="238" spans="1:22">
      <c r="A238" s="91">
        <v>236</v>
      </c>
      <c r="B238" s="135"/>
      <c r="C238" s="89">
        <f t="shared" si="34"/>
        <v>3339.739999999998</v>
      </c>
      <c r="F238" s="89">
        <f t="shared" si="29"/>
        <v>3339.739999999998</v>
      </c>
      <c r="G238" s="130">
        <f t="shared" si="36"/>
        <v>0.53911564625850339</v>
      </c>
      <c r="H238" s="90">
        <f t="shared" si="37"/>
        <v>1800.5060884353729</v>
      </c>
      <c r="I238" s="59" t="s">
        <v>377</v>
      </c>
      <c r="O238" s="132" t="s">
        <v>224</v>
      </c>
      <c r="P238" s="59" t="s">
        <v>385</v>
      </c>
      <c r="Q238" s="61">
        <f t="shared" si="28"/>
        <v>0</v>
      </c>
      <c r="R238" s="61">
        <f t="shared" si="30"/>
        <v>0</v>
      </c>
      <c r="S238" s="61">
        <f t="shared" si="31"/>
        <v>0</v>
      </c>
      <c r="T238" s="61">
        <f t="shared" si="32"/>
        <v>0</v>
      </c>
      <c r="U238" s="133">
        <f t="shared" si="33"/>
        <v>0</v>
      </c>
      <c r="V238" s="89">
        <f t="shared" si="35"/>
        <v>3339.739999999998</v>
      </c>
    </row>
    <row r="239" spans="1:22">
      <c r="A239" s="91">
        <v>237</v>
      </c>
      <c r="B239" s="135"/>
      <c r="C239" s="89">
        <f t="shared" si="34"/>
        <v>3339.739999999998</v>
      </c>
      <c r="F239" s="89">
        <f t="shared" si="29"/>
        <v>3339.739999999998</v>
      </c>
      <c r="G239" s="130">
        <f t="shared" si="36"/>
        <v>0.53911564625850339</v>
      </c>
      <c r="H239" s="90">
        <f t="shared" si="37"/>
        <v>1800.5060884353729</v>
      </c>
      <c r="I239" s="59" t="s">
        <v>377</v>
      </c>
      <c r="O239" s="132" t="s">
        <v>224</v>
      </c>
      <c r="P239" s="59" t="s">
        <v>385</v>
      </c>
      <c r="Q239" s="61">
        <f t="shared" si="28"/>
        <v>0</v>
      </c>
      <c r="R239" s="61">
        <f t="shared" si="30"/>
        <v>0</v>
      </c>
      <c r="S239" s="61">
        <f t="shared" si="31"/>
        <v>0</v>
      </c>
      <c r="T239" s="61">
        <f t="shared" si="32"/>
        <v>0</v>
      </c>
      <c r="U239" s="133">
        <f t="shared" si="33"/>
        <v>0</v>
      </c>
      <c r="V239" s="89">
        <f t="shared" si="35"/>
        <v>3339.739999999998</v>
      </c>
    </row>
    <row r="240" spans="1:22">
      <c r="A240" s="91">
        <v>238</v>
      </c>
      <c r="B240" s="135"/>
      <c r="C240" s="89">
        <f t="shared" si="34"/>
        <v>3339.739999999998</v>
      </c>
      <c r="F240" s="89">
        <f t="shared" si="29"/>
        <v>3339.739999999998</v>
      </c>
      <c r="G240" s="130">
        <f t="shared" si="36"/>
        <v>0.53911564625850339</v>
      </c>
      <c r="H240" s="90">
        <f t="shared" si="37"/>
        <v>1800.5060884353729</v>
      </c>
      <c r="I240" s="59" t="s">
        <v>377</v>
      </c>
      <c r="O240" s="132" t="s">
        <v>224</v>
      </c>
      <c r="P240" s="59" t="s">
        <v>385</v>
      </c>
      <c r="Q240" s="61">
        <f t="shared" si="28"/>
        <v>0</v>
      </c>
      <c r="R240" s="61">
        <f t="shared" si="30"/>
        <v>0</v>
      </c>
      <c r="S240" s="61">
        <f t="shared" si="31"/>
        <v>0</v>
      </c>
      <c r="T240" s="61">
        <f t="shared" si="32"/>
        <v>0</v>
      </c>
      <c r="U240" s="133">
        <f t="shared" si="33"/>
        <v>0</v>
      </c>
      <c r="V240" s="89">
        <f t="shared" si="35"/>
        <v>3339.739999999998</v>
      </c>
    </row>
    <row r="241" spans="1:22">
      <c r="A241" s="91">
        <v>239</v>
      </c>
      <c r="B241" s="135"/>
      <c r="C241" s="89">
        <f t="shared" si="34"/>
        <v>3339.739999999998</v>
      </c>
      <c r="F241" s="89">
        <f t="shared" si="29"/>
        <v>3339.739999999998</v>
      </c>
      <c r="G241" s="130">
        <f t="shared" si="36"/>
        <v>0.53911564625850339</v>
      </c>
      <c r="H241" s="90">
        <f t="shared" si="37"/>
        <v>1800.5060884353729</v>
      </c>
      <c r="I241" s="59" t="s">
        <v>377</v>
      </c>
      <c r="O241" s="132" t="s">
        <v>224</v>
      </c>
      <c r="P241" s="59" t="s">
        <v>385</v>
      </c>
      <c r="Q241" s="61">
        <f t="shared" si="28"/>
        <v>0</v>
      </c>
      <c r="R241" s="61">
        <f t="shared" si="30"/>
        <v>0</v>
      </c>
      <c r="S241" s="61">
        <f t="shared" si="31"/>
        <v>0</v>
      </c>
      <c r="T241" s="61">
        <f t="shared" si="32"/>
        <v>0</v>
      </c>
      <c r="U241" s="133">
        <f t="shared" si="33"/>
        <v>0</v>
      </c>
      <c r="V241" s="89">
        <f t="shared" si="35"/>
        <v>3339.739999999998</v>
      </c>
    </row>
    <row r="242" spans="1:22">
      <c r="A242" s="91">
        <v>240</v>
      </c>
      <c r="B242" s="135"/>
      <c r="C242" s="89">
        <f t="shared" si="34"/>
        <v>3339.739999999998</v>
      </c>
      <c r="F242" s="89">
        <f t="shared" si="29"/>
        <v>3339.739999999998</v>
      </c>
      <c r="G242" s="130">
        <f t="shared" si="36"/>
        <v>0.53911564625850339</v>
      </c>
      <c r="H242" s="90">
        <f t="shared" si="37"/>
        <v>1800.5060884353729</v>
      </c>
      <c r="I242" s="59" t="s">
        <v>377</v>
      </c>
      <c r="O242" s="132" t="s">
        <v>224</v>
      </c>
      <c r="P242" s="59" t="s">
        <v>385</v>
      </c>
      <c r="Q242" s="61">
        <f t="shared" si="28"/>
        <v>0</v>
      </c>
      <c r="R242" s="61">
        <f t="shared" si="30"/>
        <v>0</v>
      </c>
      <c r="S242" s="61">
        <f t="shared" si="31"/>
        <v>0</v>
      </c>
      <c r="T242" s="61">
        <f t="shared" si="32"/>
        <v>0</v>
      </c>
      <c r="U242" s="133">
        <f t="shared" si="33"/>
        <v>0</v>
      </c>
      <c r="V242" s="89">
        <f t="shared" si="35"/>
        <v>3339.739999999998</v>
      </c>
    </row>
    <row r="243" spans="1:22">
      <c r="A243" s="91">
        <v>241</v>
      </c>
      <c r="B243" s="135"/>
      <c r="C243" s="89">
        <f t="shared" si="34"/>
        <v>3339.739999999998</v>
      </c>
      <c r="F243" s="89">
        <f t="shared" si="29"/>
        <v>3339.739999999998</v>
      </c>
      <c r="G243" s="130">
        <f t="shared" si="36"/>
        <v>0.53911564625850339</v>
      </c>
      <c r="H243" s="90">
        <f t="shared" si="37"/>
        <v>1800.5060884353729</v>
      </c>
      <c r="I243" s="59" t="s">
        <v>377</v>
      </c>
      <c r="O243" s="132" t="s">
        <v>224</v>
      </c>
      <c r="P243" s="59" t="s">
        <v>385</v>
      </c>
      <c r="Q243" s="61">
        <f t="shared" si="28"/>
        <v>0</v>
      </c>
      <c r="R243" s="61">
        <f t="shared" si="30"/>
        <v>0</v>
      </c>
      <c r="S243" s="61">
        <f t="shared" si="31"/>
        <v>0</v>
      </c>
      <c r="T243" s="61">
        <f t="shared" si="32"/>
        <v>0</v>
      </c>
      <c r="U243" s="133">
        <f t="shared" si="33"/>
        <v>0</v>
      </c>
      <c r="V243" s="89">
        <f t="shared" si="35"/>
        <v>3339.739999999998</v>
      </c>
    </row>
    <row r="244" spans="1:22">
      <c r="A244" s="91">
        <v>242</v>
      </c>
      <c r="B244" s="135"/>
      <c r="C244" s="89">
        <f t="shared" si="34"/>
        <v>3339.739999999998</v>
      </c>
      <c r="F244" s="89">
        <f t="shared" si="29"/>
        <v>3339.739999999998</v>
      </c>
      <c r="G244" s="130">
        <f t="shared" si="36"/>
        <v>0.53911564625850339</v>
      </c>
      <c r="H244" s="90">
        <f t="shared" si="37"/>
        <v>1800.5060884353729</v>
      </c>
      <c r="I244" s="59" t="s">
        <v>377</v>
      </c>
      <c r="O244" s="132" t="s">
        <v>224</v>
      </c>
      <c r="P244" s="59" t="s">
        <v>385</v>
      </c>
      <c r="Q244" s="61">
        <f t="shared" ref="Q244:Q293" si="38">IF(P244="Win",(M244*N244)-M244,IF(P244="Refund",0,IF(P244="Loss",-M244)))</f>
        <v>0</v>
      </c>
      <c r="R244" s="61">
        <f t="shared" si="30"/>
        <v>0</v>
      </c>
      <c r="S244" s="61">
        <f t="shared" si="31"/>
        <v>0</v>
      </c>
      <c r="T244" s="61">
        <f t="shared" si="32"/>
        <v>0</v>
      </c>
      <c r="U244" s="133">
        <f t="shared" si="33"/>
        <v>0</v>
      </c>
      <c r="V244" s="89">
        <f t="shared" si="35"/>
        <v>3339.739999999998</v>
      </c>
    </row>
    <row r="245" spans="1:22">
      <c r="A245" s="91">
        <v>243</v>
      </c>
      <c r="B245" s="135"/>
      <c r="C245" s="89">
        <f t="shared" si="34"/>
        <v>3339.739999999998</v>
      </c>
      <c r="F245" s="89">
        <f t="shared" si="29"/>
        <v>3339.739999999998</v>
      </c>
      <c r="G245" s="130">
        <f t="shared" si="36"/>
        <v>0.53911564625850339</v>
      </c>
      <c r="H245" s="90">
        <f t="shared" si="37"/>
        <v>1800.5060884353729</v>
      </c>
      <c r="I245" s="59" t="s">
        <v>377</v>
      </c>
      <c r="O245" s="132" t="s">
        <v>224</v>
      </c>
      <c r="P245" s="59" t="s">
        <v>385</v>
      </c>
      <c r="Q245" s="61">
        <f t="shared" si="38"/>
        <v>0</v>
      </c>
      <c r="R245" s="61">
        <f t="shared" si="30"/>
        <v>0</v>
      </c>
      <c r="S245" s="61">
        <f t="shared" si="31"/>
        <v>0</v>
      </c>
      <c r="T245" s="61">
        <f t="shared" si="32"/>
        <v>0</v>
      </c>
      <c r="U245" s="133">
        <f t="shared" si="33"/>
        <v>0</v>
      </c>
      <c r="V245" s="89">
        <f t="shared" si="35"/>
        <v>3339.739999999998</v>
      </c>
    </row>
    <row r="246" spans="1:22">
      <c r="A246" s="91">
        <v>244</v>
      </c>
      <c r="B246" s="135"/>
      <c r="C246" s="89">
        <f t="shared" si="34"/>
        <v>3339.739999999998</v>
      </c>
      <c r="F246" s="89">
        <f t="shared" si="29"/>
        <v>3339.739999999998</v>
      </c>
      <c r="G246" s="130">
        <f t="shared" si="36"/>
        <v>0.53911564625850339</v>
      </c>
      <c r="H246" s="90">
        <f t="shared" si="37"/>
        <v>1800.5060884353729</v>
      </c>
      <c r="I246" s="59" t="s">
        <v>377</v>
      </c>
      <c r="O246" s="132" t="s">
        <v>224</v>
      </c>
      <c r="P246" s="59" t="s">
        <v>385</v>
      </c>
      <c r="Q246" s="61">
        <f t="shared" si="38"/>
        <v>0</v>
      </c>
      <c r="R246" s="61">
        <f t="shared" si="30"/>
        <v>0</v>
      </c>
      <c r="S246" s="61">
        <f t="shared" si="31"/>
        <v>0</v>
      </c>
      <c r="T246" s="61">
        <f t="shared" si="32"/>
        <v>0</v>
      </c>
      <c r="U246" s="133">
        <f t="shared" si="33"/>
        <v>0</v>
      </c>
      <c r="V246" s="89">
        <f t="shared" si="35"/>
        <v>3339.739999999998</v>
      </c>
    </row>
    <row r="247" spans="1:22">
      <c r="A247" s="91">
        <v>245</v>
      </c>
      <c r="B247" s="135"/>
      <c r="C247" s="89">
        <f t="shared" si="34"/>
        <v>3339.739999999998</v>
      </c>
      <c r="F247" s="89">
        <f t="shared" si="29"/>
        <v>3339.739999999998</v>
      </c>
      <c r="G247" s="130">
        <f t="shared" si="36"/>
        <v>0.53911564625850339</v>
      </c>
      <c r="H247" s="90">
        <f t="shared" si="37"/>
        <v>1800.5060884353729</v>
      </c>
      <c r="I247" s="59" t="s">
        <v>377</v>
      </c>
      <c r="O247" s="132" t="s">
        <v>224</v>
      </c>
      <c r="P247" s="59" t="s">
        <v>385</v>
      </c>
      <c r="Q247" s="61">
        <f t="shared" si="38"/>
        <v>0</v>
      </c>
      <c r="R247" s="61">
        <f t="shared" si="30"/>
        <v>0</v>
      </c>
      <c r="S247" s="61">
        <f t="shared" si="31"/>
        <v>0</v>
      </c>
      <c r="T247" s="61">
        <f t="shared" si="32"/>
        <v>0</v>
      </c>
      <c r="U247" s="133">
        <f t="shared" si="33"/>
        <v>0</v>
      </c>
      <c r="V247" s="89">
        <f t="shared" si="35"/>
        <v>3339.739999999998</v>
      </c>
    </row>
    <row r="248" spans="1:22">
      <c r="A248" s="91">
        <v>246</v>
      </c>
      <c r="B248" s="135"/>
      <c r="C248" s="89">
        <f t="shared" si="34"/>
        <v>3339.739999999998</v>
      </c>
      <c r="F248" s="89">
        <f t="shared" si="29"/>
        <v>3339.739999999998</v>
      </c>
      <c r="G248" s="130">
        <f t="shared" si="36"/>
        <v>0.53911564625850339</v>
      </c>
      <c r="H248" s="90">
        <f t="shared" si="37"/>
        <v>1800.5060884353729</v>
      </c>
      <c r="I248" s="59" t="s">
        <v>377</v>
      </c>
      <c r="O248" s="132" t="s">
        <v>224</v>
      </c>
      <c r="P248" s="59" t="s">
        <v>385</v>
      </c>
      <c r="Q248" s="61">
        <f t="shared" si="38"/>
        <v>0</v>
      </c>
      <c r="R248" s="61">
        <f t="shared" si="30"/>
        <v>0</v>
      </c>
      <c r="S248" s="61">
        <f t="shared" si="31"/>
        <v>0</v>
      </c>
      <c r="T248" s="61">
        <f t="shared" si="32"/>
        <v>0</v>
      </c>
      <c r="U248" s="133">
        <f t="shared" si="33"/>
        <v>0</v>
      </c>
      <c r="V248" s="89">
        <f t="shared" si="35"/>
        <v>3339.739999999998</v>
      </c>
    </row>
    <row r="249" spans="1:22">
      <c r="A249" s="91">
        <v>247</v>
      </c>
      <c r="B249" s="135"/>
      <c r="C249" s="89">
        <f t="shared" si="34"/>
        <v>3339.739999999998</v>
      </c>
      <c r="F249" s="89">
        <f t="shared" si="29"/>
        <v>3339.739999999998</v>
      </c>
      <c r="G249" s="130">
        <f t="shared" si="36"/>
        <v>0.53911564625850339</v>
      </c>
      <c r="H249" s="90">
        <f t="shared" si="37"/>
        <v>1800.5060884353729</v>
      </c>
      <c r="I249" s="59" t="s">
        <v>377</v>
      </c>
      <c r="O249" s="132" t="s">
        <v>224</v>
      </c>
      <c r="P249" s="59" t="s">
        <v>385</v>
      </c>
      <c r="Q249" s="61">
        <f t="shared" si="38"/>
        <v>0</v>
      </c>
      <c r="R249" s="61">
        <f t="shared" si="30"/>
        <v>0</v>
      </c>
      <c r="S249" s="61">
        <f t="shared" si="31"/>
        <v>0</v>
      </c>
      <c r="T249" s="61">
        <f t="shared" si="32"/>
        <v>0</v>
      </c>
      <c r="U249" s="133">
        <f t="shared" si="33"/>
        <v>0</v>
      </c>
      <c r="V249" s="89">
        <f t="shared" si="35"/>
        <v>3339.739999999998</v>
      </c>
    </row>
    <row r="250" spans="1:22">
      <c r="A250" s="91">
        <v>248</v>
      </c>
      <c r="B250" s="135"/>
      <c r="C250" s="89">
        <f t="shared" si="34"/>
        <v>3339.739999999998</v>
      </c>
      <c r="F250" s="89">
        <f t="shared" si="29"/>
        <v>3339.739999999998</v>
      </c>
      <c r="G250" s="130">
        <f t="shared" si="36"/>
        <v>0.53911564625850339</v>
      </c>
      <c r="H250" s="90">
        <f t="shared" si="37"/>
        <v>1800.5060884353729</v>
      </c>
      <c r="I250" s="59" t="s">
        <v>377</v>
      </c>
      <c r="O250" s="132" t="s">
        <v>224</v>
      </c>
      <c r="P250" s="59" t="s">
        <v>385</v>
      </c>
      <c r="Q250" s="61">
        <f t="shared" si="38"/>
        <v>0</v>
      </c>
      <c r="R250" s="61">
        <f t="shared" si="30"/>
        <v>0</v>
      </c>
      <c r="S250" s="61">
        <f t="shared" si="31"/>
        <v>0</v>
      </c>
      <c r="T250" s="61">
        <f t="shared" si="32"/>
        <v>0</v>
      </c>
      <c r="U250" s="133">
        <f t="shared" si="33"/>
        <v>0</v>
      </c>
      <c r="V250" s="89">
        <f t="shared" si="35"/>
        <v>3339.739999999998</v>
      </c>
    </row>
  </sheetData>
  <autoFilter ref="A2:AA170"/>
  <conditionalFormatting sqref="Q3:Q250 T3:U250">
    <cfRule type="cellIs" dxfId="2" priority="1" operator="equal">
      <formula>0</formula>
    </cfRule>
    <cfRule type="cellIs" dxfId="1" priority="2" operator="lessThan">
      <formula>0</formula>
    </cfRule>
    <cfRule type="cellIs" dxfId="0" priority="3" operator="greaterThan">
      <formula>0</formula>
    </cfRule>
  </conditionalFormatting>
  <dataValidations count="1">
    <dataValidation type="list" allowBlank="1" showInputMessage="1" showErrorMessage="1" sqref="P3:P250">
      <formula1>"Win, Loss, Refund"</formula1>
    </dataValidation>
  </dataValidations>
  <pageMargins left="0.7" right="0.7" top="0.75" bottom="0.75" header="0.3" footer="0.3"/>
  <pageSetup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13313" r:id="rId4" name="Button 1">
              <controlPr defaultSize="0" print="0" autoFill="0" autoPict="0" macro="[1]!Rules">
                <anchor moveWithCells="1">
                  <from>
                    <xdr:col>0</xdr:col>
                    <xdr:colOff>228600</xdr:colOff>
                    <xdr:row>0</xdr:row>
                    <xdr:rowOff>0</xdr:rowOff>
                  </from>
                  <to>
                    <xdr:col>5</xdr:col>
                    <xdr:colOff>238125</xdr:colOff>
                    <xdr:row>0</xdr:row>
                    <xdr:rowOff>295275</xdr:rowOff>
                  </to>
                </anchor>
              </controlPr>
            </control>
          </mc:Choice>
        </mc:AlternateContent>
        <mc:AlternateContent xmlns:mc="http://schemas.openxmlformats.org/markup-compatibility/2006">
          <mc:Choice Requires="x14">
            <control shapeId="13314" r:id="rId5" name="Button 2">
              <controlPr defaultSize="0" print="0" autoFill="0" autoPict="0" macro="[1]!Back">
                <anchor moveWithCells="1" sizeWithCells="1">
                  <from>
                    <xdr:col>24</xdr:col>
                    <xdr:colOff>28575</xdr:colOff>
                    <xdr:row>0</xdr:row>
                    <xdr:rowOff>28575</xdr:rowOff>
                  </from>
                  <to>
                    <xdr:col>24</xdr:col>
                    <xdr:colOff>838200</xdr:colOff>
                    <xdr:row>1</xdr:row>
                    <xdr:rowOff>0</xdr:rowOff>
                  </to>
                </anchor>
              </controlPr>
            </control>
          </mc:Choice>
        </mc:AlternateContent>
        <mc:AlternateContent xmlns:mc="http://schemas.openxmlformats.org/markup-compatibility/2006">
          <mc:Choice Requires="x14">
            <control shapeId="13315" r:id="rId6" name="Button 3">
              <controlPr defaultSize="0" print="0" autoFill="0" autoPict="0" macro="[1]!Companies">
                <anchor moveWithCells="1" sizeWithCells="1">
                  <from>
                    <xdr:col>7</xdr:col>
                    <xdr:colOff>371475</xdr:colOff>
                    <xdr:row>0</xdr:row>
                    <xdr:rowOff>19050</xdr:rowOff>
                  </from>
                  <to>
                    <xdr:col>9</xdr:col>
                    <xdr:colOff>381000</xdr:colOff>
                    <xdr:row>1</xdr:row>
                    <xdr:rowOff>19050</xdr:rowOff>
                  </to>
                </anchor>
              </controlPr>
            </control>
          </mc:Choice>
        </mc:AlternateContent>
        <mc:AlternateContent xmlns:mc="http://schemas.openxmlformats.org/markup-compatibility/2006">
          <mc:Choice Requires="x14">
            <control shapeId="13316" r:id="rId7" name="Button 4">
              <controlPr defaultSize="0" print="0" autoFill="0" autoPict="0" macro="[1]!Back">
                <anchor moveWithCells="1" sizeWithCells="1">
                  <from>
                    <xdr:col>26</xdr:col>
                    <xdr:colOff>28575</xdr:colOff>
                    <xdr:row>0</xdr:row>
                    <xdr:rowOff>28575</xdr:rowOff>
                  </from>
                  <to>
                    <xdr:col>26</xdr:col>
                    <xdr:colOff>790575</xdr:colOff>
                    <xdr:row>0</xdr:row>
                    <xdr:rowOff>285750</xdr:rowOff>
                  </to>
                </anchor>
              </controlPr>
            </control>
          </mc:Choice>
        </mc:AlternateContent>
        <mc:AlternateContent xmlns:mc="http://schemas.openxmlformats.org/markup-compatibility/2006">
          <mc:Choice Requires="x14">
            <control shapeId="13317" r:id="rId8" name="Button 5">
              <controlPr defaultSize="0" print="0" autoFill="0" autoPict="0" macro="[1]!Parameters">
                <anchor moveWithCells="1" sizeWithCells="1">
                  <from>
                    <xdr:col>9</xdr:col>
                    <xdr:colOff>838200</xdr:colOff>
                    <xdr:row>0</xdr:row>
                    <xdr:rowOff>0</xdr:rowOff>
                  </from>
                  <to>
                    <xdr:col>10</xdr:col>
                    <xdr:colOff>533400</xdr:colOff>
                    <xdr:row>1</xdr:row>
                    <xdr:rowOff>0</xdr:rowOff>
                  </to>
                </anchor>
              </controlPr>
            </control>
          </mc:Choice>
        </mc:AlternateContent>
        <mc:AlternateContent xmlns:mc="http://schemas.openxmlformats.org/markup-compatibility/2006">
          <mc:Choice Requires="x14">
            <control shapeId="13318" r:id="rId9" name="Button 6">
              <controlPr defaultSize="0" print="0" autoFill="0" autoPict="0" macro="[1]!Back">
                <anchor moveWithCells="1" sizeWithCells="1">
                  <from>
                    <xdr:col>28</xdr:col>
                    <xdr:colOff>0</xdr:colOff>
                    <xdr:row>0</xdr:row>
                    <xdr:rowOff>28575</xdr:rowOff>
                  </from>
                  <to>
                    <xdr:col>28</xdr:col>
                    <xdr:colOff>990600</xdr:colOff>
                    <xdr:row>1</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80" zoomScaleNormal="80" workbookViewId="0">
      <selection activeCell="E6" sqref="E6"/>
    </sheetView>
  </sheetViews>
  <sheetFormatPr defaultRowHeight="12.75"/>
  <cols>
    <col min="1" max="1" width="6.7109375" customWidth="1"/>
    <col min="2" max="2" width="15.85546875" bestFit="1" customWidth="1"/>
    <col min="3" max="3" width="13.5703125" bestFit="1" customWidth="1"/>
    <col min="4" max="4" width="15.85546875" bestFit="1" customWidth="1"/>
    <col min="5" max="5" width="13" bestFit="1" customWidth="1"/>
  </cols>
  <sheetData>
    <row r="1" spans="1:5">
      <c r="A1" s="4" t="s">
        <v>10</v>
      </c>
    </row>
    <row r="2" spans="1:5">
      <c r="A2" s="3" t="s">
        <v>9</v>
      </c>
    </row>
    <row r="4" spans="1:5">
      <c r="B4" t="s">
        <v>5</v>
      </c>
      <c r="C4" t="s">
        <v>1</v>
      </c>
      <c r="D4" t="s">
        <v>3</v>
      </c>
      <c r="E4" t="s">
        <v>6</v>
      </c>
    </row>
    <row r="5" spans="1:5">
      <c r="C5" s="7">
        <f>+E5-D5</f>
        <v>87374.3</v>
      </c>
      <c r="D5" s="7">
        <f>+D6*B6*3</f>
        <v>16625.699999999997</v>
      </c>
      <c r="E5" s="1">
        <v>104000</v>
      </c>
    </row>
    <row r="6" spans="1:5">
      <c r="B6">
        <f>+Strategy!C2</f>
        <v>113.1</v>
      </c>
      <c r="C6" s="41">
        <f>+C5/B6</f>
        <v>772.54022988505756</v>
      </c>
      <c r="D6" s="41">
        <v>49</v>
      </c>
      <c r="E6" s="41">
        <f>+C6+D6*3</f>
        <v>919.54022988505756</v>
      </c>
    </row>
    <row r="7" spans="1:5">
      <c r="A7" s="5" t="s">
        <v>0</v>
      </c>
      <c r="B7" s="5" t="s">
        <v>1</v>
      </c>
      <c r="C7" s="5" t="s">
        <v>2</v>
      </c>
      <c r="D7" s="5" t="s">
        <v>4</v>
      </c>
    </row>
    <row r="8" spans="1:5">
      <c r="A8" s="5">
        <v>1</v>
      </c>
      <c r="B8" s="6">
        <f>+C5</f>
        <v>87374.3</v>
      </c>
      <c r="C8" s="6">
        <v>0</v>
      </c>
      <c r="D8" s="6">
        <f t="shared" ref="D8:D16" si="0">+$D$5</f>
        <v>16625.699999999997</v>
      </c>
    </row>
    <row r="9" spans="1:5">
      <c r="A9" s="5">
        <v>3</v>
      </c>
      <c r="B9" s="6">
        <f>+B8*2-C8-D8+30000</f>
        <v>188122.90000000002</v>
      </c>
      <c r="C9" s="6">
        <f>(+B9-B8)*5%</f>
        <v>5037.4300000000012</v>
      </c>
      <c r="D9" s="6">
        <f t="shared" si="0"/>
        <v>16625.699999999997</v>
      </c>
    </row>
    <row r="10" spans="1:5">
      <c r="A10" s="5">
        <v>6</v>
      </c>
      <c r="B10" s="6">
        <f t="shared" ref="B10:B16" si="1">+B9*2-C9-D9+30000</f>
        <v>384582.67000000004</v>
      </c>
      <c r="C10" s="6">
        <f t="shared" ref="C10:C16" si="2">(+B10-B9)*5%</f>
        <v>9822.9885000000013</v>
      </c>
      <c r="D10" s="6">
        <f t="shared" si="0"/>
        <v>16625.699999999997</v>
      </c>
    </row>
    <row r="11" spans="1:5">
      <c r="A11" s="5">
        <v>9</v>
      </c>
      <c r="B11" s="6">
        <f t="shared" si="1"/>
        <v>772716.65150000015</v>
      </c>
      <c r="C11" s="6">
        <f t="shared" si="2"/>
        <v>19406.699075000008</v>
      </c>
      <c r="D11" s="6">
        <f t="shared" si="0"/>
        <v>16625.699999999997</v>
      </c>
    </row>
    <row r="12" spans="1:5">
      <c r="A12" s="5">
        <v>12</v>
      </c>
      <c r="B12" s="6">
        <f t="shared" si="1"/>
        <v>1539400.9039250005</v>
      </c>
      <c r="C12" s="6">
        <f t="shared" si="2"/>
        <v>38334.212621250015</v>
      </c>
      <c r="D12" s="6">
        <f t="shared" si="0"/>
        <v>16625.699999999997</v>
      </c>
    </row>
    <row r="13" spans="1:5">
      <c r="A13" s="5">
        <v>15</v>
      </c>
      <c r="B13" s="6">
        <f t="shared" si="1"/>
        <v>3053841.8952287505</v>
      </c>
      <c r="C13" s="6">
        <f t="shared" si="2"/>
        <v>75722.04956518751</v>
      </c>
      <c r="D13" s="6">
        <f t="shared" si="0"/>
        <v>16625.699999999997</v>
      </c>
    </row>
    <row r="14" spans="1:5">
      <c r="A14" s="5">
        <v>18</v>
      </c>
      <c r="B14" s="6">
        <f t="shared" si="1"/>
        <v>6045336.0408923132</v>
      </c>
      <c r="C14" s="6">
        <f t="shared" si="2"/>
        <v>149574.70728317814</v>
      </c>
      <c r="D14" s="6">
        <f t="shared" si="0"/>
        <v>16625.699999999997</v>
      </c>
    </row>
    <row r="15" spans="1:5">
      <c r="A15" s="5">
        <v>21</v>
      </c>
      <c r="B15" s="6">
        <f t="shared" si="1"/>
        <v>11954471.674501449</v>
      </c>
      <c r="C15" s="6">
        <f t="shared" si="2"/>
        <v>295456.78168045677</v>
      </c>
      <c r="D15" s="6">
        <f t="shared" si="0"/>
        <v>16625.699999999997</v>
      </c>
    </row>
    <row r="16" spans="1:5">
      <c r="A16" s="5">
        <v>24</v>
      </c>
      <c r="B16" s="6">
        <f t="shared" si="1"/>
        <v>23626860.867322441</v>
      </c>
      <c r="C16" s="6">
        <f t="shared" si="2"/>
        <v>583619.45964104962</v>
      </c>
      <c r="D16" s="6">
        <f t="shared" si="0"/>
        <v>16625.699999999997</v>
      </c>
    </row>
    <row r="17" spans="1:4">
      <c r="B17" s="2">
        <f>+B16</f>
        <v>23626860.867322441</v>
      </c>
      <c r="C17" s="2">
        <f>SUM(C8:C16)</f>
        <v>1176974.328366122</v>
      </c>
      <c r="D17" s="11">
        <f>+B17+C17</f>
        <v>24803835.195688564</v>
      </c>
    </row>
    <row r="18" spans="1:4">
      <c r="B18" s="8">
        <f>+B17*0.2*0.85/12</f>
        <v>334713.86228706792</v>
      </c>
      <c r="D18" s="12"/>
    </row>
    <row r="19" spans="1:4">
      <c r="A19" t="s">
        <v>7</v>
      </c>
    </row>
    <row r="20" spans="1:4">
      <c r="A20" s="3" t="s">
        <v>16</v>
      </c>
    </row>
    <row r="21" spans="1:4">
      <c r="A21" t="s">
        <v>13</v>
      </c>
    </row>
    <row r="22" spans="1:4">
      <c r="A22" t="s">
        <v>14</v>
      </c>
    </row>
    <row r="23" spans="1:4">
      <c r="A23" t="s">
        <v>15</v>
      </c>
    </row>
    <row r="24" spans="1:4">
      <c r="A24" t="s">
        <v>11</v>
      </c>
    </row>
    <row r="25" spans="1:4">
      <c r="A25" t="s">
        <v>12</v>
      </c>
    </row>
    <row r="26" spans="1:4">
      <c r="A26" t="s">
        <v>8</v>
      </c>
    </row>
  </sheetData>
  <hyperlinks>
    <hyperlink ref="A1" r:id="rId1"/>
  </hyperlinks>
  <pageMargins left="0.7" right="0.7" top="0.75" bottom="0.75" header="0.3" footer="0.3"/>
  <pageSetup orientation="portrait" horizontalDpi="300" verticalDpi="3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80" zoomScaleNormal="80" workbookViewId="0">
      <selection activeCell="A22" sqref="A22"/>
    </sheetView>
  </sheetViews>
  <sheetFormatPr defaultRowHeight="12.75"/>
  <cols>
    <col min="1" max="1" width="6.7109375" customWidth="1"/>
    <col min="2" max="2" width="14.85546875" bestFit="1" customWidth="1"/>
    <col min="3" max="3" width="12.42578125" bestFit="1" customWidth="1"/>
    <col min="4" max="4" width="11.140625" bestFit="1" customWidth="1"/>
    <col min="5" max="5" width="10.85546875" bestFit="1" customWidth="1"/>
  </cols>
  <sheetData>
    <row r="1" spans="1:5">
      <c r="A1" s="10" t="s">
        <v>19</v>
      </c>
    </row>
    <row r="2" spans="1:5">
      <c r="A2" s="3" t="s">
        <v>20</v>
      </c>
    </row>
    <row r="4" spans="1:5">
      <c r="B4" t="s">
        <v>5</v>
      </c>
      <c r="C4" t="s">
        <v>1</v>
      </c>
      <c r="D4" t="s">
        <v>3</v>
      </c>
      <c r="E4" t="s">
        <v>6</v>
      </c>
    </row>
    <row r="5" spans="1:5">
      <c r="B5">
        <v>113.1</v>
      </c>
      <c r="C5">
        <v>500</v>
      </c>
      <c r="D5">
        <v>49</v>
      </c>
      <c r="E5">
        <f>+C5+D5*3</f>
        <v>647</v>
      </c>
    </row>
    <row r="6" spans="1:5">
      <c r="C6" s="7">
        <f>+C5*B5</f>
        <v>56550</v>
      </c>
      <c r="D6" s="7">
        <f>+D5*B5*3</f>
        <v>16625.699999999997</v>
      </c>
      <c r="E6" s="1">
        <f>+C6+D6</f>
        <v>73175.7</v>
      </c>
    </row>
    <row r="7" spans="1:5">
      <c r="A7" s="5" t="s">
        <v>0</v>
      </c>
      <c r="B7" s="5" t="s">
        <v>1</v>
      </c>
      <c r="C7" s="5" t="s">
        <v>2</v>
      </c>
      <c r="D7" s="5" t="s">
        <v>4</v>
      </c>
    </row>
    <row r="8" spans="1:5">
      <c r="A8" s="5">
        <v>1</v>
      </c>
      <c r="B8" s="6">
        <f>+C5*B5-C8</f>
        <v>56550</v>
      </c>
      <c r="C8" s="6">
        <v>0</v>
      </c>
      <c r="D8" s="6">
        <f>+$D$6</f>
        <v>16625.699999999997</v>
      </c>
    </row>
    <row r="9" spans="1:5">
      <c r="A9" s="5">
        <v>3</v>
      </c>
      <c r="B9" s="6">
        <f>+B8*2-C8-D8+30000</f>
        <v>126474.3</v>
      </c>
      <c r="C9" s="6">
        <f>(+B9-B8)*5%</f>
        <v>3496.2150000000001</v>
      </c>
      <c r="D9" s="6">
        <f t="shared" ref="D9:D16" si="0">+$D$6</f>
        <v>16625.699999999997</v>
      </c>
    </row>
    <row r="10" spans="1:5">
      <c r="A10" s="5">
        <v>6</v>
      </c>
      <c r="B10" s="6">
        <f t="shared" ref="B10:B16" si="1">+B9*2-C9-D9+30000</f>
        <v>262826.685</v>
      </c>
      <c r="C10" s="6">
        <f t="shared" ref="C10:C16" si="2">(+B10-B9)*5%</f>
        <v>6817.6192500000006</v>
      </c>
      <c r="D10" s="6">
        <f t="shared" si="0"/>
        <v>16625.699999999997</v>
      </c>
    </row>
    <row r="11" spans="1:5">
      <c r="A11" s="5">
        <v>9</v>
      </c>
      <c r="B11" s="6">
        <f t="shared" si="1"/>
        <v>532210.05074999994</v>
      </c>
      <c r="C11" s="6">
        <f t="shared" si="2"/>
        <v>13469.168287499997</v>
      </c>
      <c r="D11" s="6">
        <f t="shared" si="0"/>
        <v>16625.699999999997</v>
      </c>
    </row>
    <row r="12" spans="1:5">
      <c r="A12" s="5">
        <v>12</v>
      </c>
      <c r="B12" s="6">
        <f t="shared" si="1"/>
        <v>1064325.2332124999</v>
      </c>
      <c r="C12" s="6">
        <f t="shared" si="2"/>
        <v>26605.759123124997</v>
      </c>
      <c r="D12" s="6">
        <f t="shared" si="0"/>
        <v>16625.699999999997</v>
      </c>
    </row>
    <row r="13" spans="1:5">
      <c r="A13" s="5">
        <v>15</v>
      </c>
      <c r="B13" s="6">
        <f t="shared" si="1"/>
        <v>2115419.0073018745</v>
      </c>
      <c r="C13" s="6">
        <f t="shared" si="2"/>
        <v>52554.688704468732</v>
      </c>
      <c r="D13" s="6">
        <f t="shared" si="0"/>
        <v>16625.699999999997</v>
      </c>
    </row>
    <row r="14" spans="1:5">
      <c r="A14" s="5">
        <v>18</v>
      </c>
      <c r="B14" s="6">
        <f t="shared" si="1"/>
        <v>4191657.62589928</v>
      </c>
      <c r="C14" s="6">
        <f t="shared" si="2"/>
        <v>103811.93092987029</v>
      </c>
      <c r="D14" s="6">
        <f t="shared" si="0"/>
        <v>16625.699999999997</v>
      </c>
    </row>
    <row r="15" spans="1:5">
      <c r="A15" s="5">
        <v>21</v>
      </c>
      <c r="B15" s="6">
        <f t="shared" si="1"/>
        <v>8292877.6208686894</v>
      </c>
      <c r="C15" s="6">
        <f t="shared" si="2"/>
        <v>205060.99974847049</v>
      </c>
      <c r="D15" s="6">
        <f t="shared" si="0"/>
        <v>16625.699999999997</v>
      </c>
    </row>
    <row r="16" spans="1:5">
      <c r="A16" s="5">
        <v>24</v>
      </c>
      <c r="B16" s="6">
        <f t="shared" si="1"/>
        <v>16394068.541988909</v>
      </c>
      <c r="C16" s="6">
        <f t="shared" si="2"/>
        <v>405059.54605601099</v>
      </c>
      <c r="D16" s="6">
        <f t="shared" si="0"/>
        <v>16625.699999999997</v>
      </c>
    </row>
    <row r="17" spans="1:3">
      <c r="B17" s="2">
        <f>+B16</f>
        <v>16394068.541988909</v>
      </c>
      <c r="C17" s="2">
        <f>SUM(C8:C16)</f>
        <v>816875.92709944549</v>
      </c>
    </row>
    <row r="18" spans="1:3">
      <c r="B18" s="8">
        <f>+B17*0.2*0.85/12</f>
        <v>232249.30434484288</v>
      </c>
    </row>
    <row r="19" spans="1:3">
      <c r="A19" t="s">
        <v>7</v>
      </c>
    </row>
    <row r="20" spans="1:3">
      <c r="A20" s="3" t="s">
        <v>16</v>
      </c>
    </row>
    <row r="21" spans="1:3">
      <c r="A21" t="s">
        <v>13</v>
      </c>
    </row>
    <row r="22" spans="1:3">
      <c r="A22" t="s">
        <v>14</v>
      </c>
    </row>
    <row r="23" spans="1:3">
      <c r="A23" t="s">
        <v>15</v>
      </c>
    </row>
    <row r="24" spans="1:3">
      <c r="A24" t="s">
        <v>11</v>
      </c>
    </row>
    <row r="25" spans="1:3">
      <c r="A25" t="s">
        <v>12</v>
      </c>
    </row>
    <row r="26" spans="1:3">
      <c r="A26" t="s">
        <v>8</v>
      </c>
    </row>
  </sheetData>
  <hyperlinks>
    <hyperlink ref="A1" r:id="rId1" display="Value Betting"/>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zoomScale="80" zoomScaleNormal="80" workbookViewId="0">
      <pane ySplit="1" topLeftCell="A2" activePane="bottomLeft" state="frozen"/>
      <selection pane="bottomLeft" activeCell="D2" sqref="D2"/>
    </sheetView>
  </sheetViews>
  <sheetFormatPr defaultRowHeight="12.75"/>
  <cols>
    <col min="1" max="1" width="2.28515625" customWidth="1"/>
    <col min="2" max="2" width="7.42578125" bestFit="1" customWidth="1"/>
    <col min="3" max="3" width="8.140625" bestFit="1" customWidth="1"/>
    <col min="4" max="4" width="8.85546875" bestFit="1" customWidth="1"/>
    <col min="5" max="5" width="27.28515625" bestFit="1" customWidth="1"/>
  </cols>
  <sheetData>
    <row r="1" spans="1:5">
      <c r="A1" t="s">
        <v>27</v>
      </c>
      <c r="B1" t="s">
        <v>28</v>
      </c>
      <c r="C1" t="s">
        <v>29</v>
      </c>
      <c r="D1" t="s">
        <v>30</v>
      </c>
      <c r="E1" t="s">
        <v>31</v>
      </c>
    </row>
    <row r="2" spans="1:5">
      <c r="A2">
        <v>1</v>
      </c>
      <c r="B2" s="18">
        <v>43598</v>
      </c>
      <c r="C2" t="s">
        <v>32</v>
      </c>
      <c r="D2" s="18">
        <v>43628</v>
      </c>
      <c r="E2" t="s">
        <v>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13"/>
  <sheetViews>
    <sheetView zoomScale="80" zoomScaleNormal="80" workbookViewId="0">
      <pane ySplit="6" topLeftCell="A15" activePane="bottomLeft" state="frozen"/>
      <selection pane="bottomLeft" activeCell="J15" sqref="J15"/>
    </sheetView>
  </sheetViews>
  <sheetFormatPr defaultRowHeight="12.75" outlineLevelRow="1" outlineLevelCol="1"/>
  <cols>
    <col min="1" max="1" width="4.7109375" style="17" customWidth="1"/>
    <col min="2" max="2" width="7.140625" style="25" bestFit="1" customWidth="1"/>
    <col min="3" max="3" width="23.42578125" style="17" customWidth="1"/>
    <col min="4" max="4" width="7" style="25" customWidth="1"/>
    <col min="5" max="5" width="17.7109375" style="27" customWidth="1"/>
    <col min="6" max="6" width="71.140625" style="26" customWidth="1"/>
    <col min="7" max="7" width="46.7109375" style="26" customWidth="1"/>
    <col min="8" max="8" width="4.85546875" style="25" customWidth="1"/>
    <col min="9" max="9" width="10.5703125" style="38" customWidth="1"/>
    <col min="10" max="10" width="10.5703125" style="29" customWidth="1"/>
    <col min="11" max="11" width="10.42578125" style="29" customWidth="1"/>
    <col min="12" max="12" width="10.42578125" style="29" hidden="1" customWidth="1" outlineLevel="1"/>
    <col min="13" max="13" width="16.28515625" style="29" bestFit="1" customWidth="1" collapsed="1"/>
    <col min="14" max="16384" width="9.140625" style="17"/>
  </cols>
  <sheetData>
    <row r="1" spans="1:13" hidden="1" outlineLevel="1">
      <c r="E1" s="25"/>
      <c r="H1" s="25" t="s">
        <v>134</v>
      </c>
      <c r="I1" s="29">
        <f>+Strategy!C2</f>
        <v>113.1</v>
      </c>
      <c r="K1" s="56" t="s">
        <v>290</v>
      </c>
      <c r="L1" s="56"/>
      <c r="M1" s="29">
        <f>SUM(M7:M200)</f>
        <v>11024</v>
      </c>
    </row>
    <row r="2" spans="1:13" hidden="1" outlineLevel="1">
      <c r="E2" s="25"/>
      <c r="H2" s="25" t="s">
        <v>135</v>
      </c>
      <c r="I2" s="29">
        <f>+Strategy!C3</f>
        <v>130.52000000000001</v>
      </c>
    </row>
    <row r="3" spans="1:13" hidden="1" outlineLevel="1">
      <c r="E3" s="25"/>
      <c r="H3" s="25" t="s">
        <v>136</v>
      </c>
      <c r="I3" s="29">
        <f>+Strategy!C4</f>
        <v>101.14</v>
      </c>
    </row>
    <row r="4" spans="1:13" hidden="1" outlineLevel="1">
      <c r="E4" s="25"/>
      <c r="H4" s="25" t="s">
        <v>137</v>
      </c>
      <c r="I4" s="29">
        <v>1</v>
      </c>
    </row>
    <row r="5" spans="1:13" hidden="1" outlineLevel="1">
      <c r="E5" s="25"/>
      <c r="L5" s="58">
        <v>0.02</v>
      </c>
    </row>
    <row r="6" spans="1:13" collapsed="1">
      <c r="A6" s="35" t="s">
        <v>27</v>
      </c>
      <c r="B6" s="37" t="s">
        <v>172</v>
      </c>
      <c r="C6" s="35" t="s">
        <v>41</v>
      </c>
      <c r="D6" s="35" t="s">
        <v>141</v>
      </c>
      <c r="E6" s="57" t="s">
        <v>293</v>
      </c>
      <c r="F6" s="20" t="s">
        <v>171</v>
      </c>
      <c r="G6" s="20" t="s">
        <v>205</v>
      </c>
      <c r="H6" s="37" t="s">
        <v>132</v>
      </c>
      <c r="I6" s="39" t="s">
        <v>181</v>
      </c>
      <c r="J6" s="36" t="s">
        <v>133</v>
      </c>
      <c r="K6" s="38" t="s">
        <v>177</v>
      </c>
      <c r="L6" s="38" t="s">
        <v>355</v>
      </c>
      <c r="M6" s="29" t="s">
        <v>271</v>
      </c>
    </row>
    <row r="7" spans="1:13" ht="153">
      <c r="A7" s="17">
        <v>1</v>
      </c>
      <c r="C7" s="47" t="s">
        <v>87</v>
      </c>
      <c r="D7" s="25" t="s">
        <v>50</v>
      </c>
      <c r="E7" s="27" t="s">
        <v>295</v>
      </c>
      <c r="F7" s="27" t="s">
        <v>294</v>
      </c>
      <c r="G7" s="27" t="s">
        <v>212</v>
      </c>
      <c r="H7" s="25" t="s">
        <v>136</v>
      </c>
      <c r="I7" s="38">
        <v>200</v>
      </c>
      <c r="J7" s="29">
        <v>100</v>
      </c>
      <c r="L7" s="29">
        <f>+K7*(1-$L$5)</f>
        <v>0</v>
      </c>
      <c r="M7" s="29">
        <f>IF(H7="E",L7*$I$1,IF(H7="P",L7*$I$2,IF(H7="U",L7*$I$3,L7*$I$4)))</f>
        <v>0</v>
      </c>
    </row>
    <row r="8" spans="1:13" ht="191.25">
      <c r="A8" s="17">
        <v>2</v>
      </c>
      <c r="B8" s="45"/>
      <c r="C8" s="17" t="s">
        <v>77</v>
      </c>
      <c r="D8" s="25" t="s">
        <v>50</v>
      </c>
      <c r="E8" s="27" t="s">
        <v>297</v>
      </c>
      <c r="F8" s="27" t="s">
        <v>296</v>
      </c>
      <c r="G8" s="27" t="s">
        <v>212</v>
      </c>
      <c r="H8" s="25" t="s">
        <v>135</v>
      </c>
      <c r="I8" s="38">
        <f>6*35</f>
        <v>210</v>
      </c>
      <c r="J8" s="29">
        <v>35</v>
      </c>
      <c r="L8" s="29">
        <f t="shared" ref="L8:L71" si="0">+K8*(1-$L$5)</f>
        <v>0</v>
      </c>
      <c r="M8" s="29">
        <f t="shared" ref="M8:M71" si="1">IF(H8="E",K8*$I$1,IF(H8="P",K8*$I$2,IF(H8="U",K8*$I$3,K8*$I$4)))</f>
        <v>0</v>
      </c>
    </row>
    <row r="9" spans="1:13">
      <c r="A9" s="17">
        <v>3</v>
      </c>
      <c r="C9" s="17" t="s">
        <v>72</v>
      </c>
      <c r="D9" s="25" t="s">
        <v>46</v>
      </c>
      <c r="E9" s="25"/>
      <c r="F9" s="26" t="s">
        <v>101</v>
      </c>
      <c r="L9" s="29">
        <f t="shared" si="0"/>
        <v>0</v>
      </c>
      <c r="M9" s="29">
        <f t="shared" si="1"/>
        <v>0</v>
      </c>
    </row>
    <row r="10" spans="1:13" ht="204">
      <c r="A10" s="17">
        <v>4</v>
      </c>
      <c r="C10" s="47" t="s">
        <v>229</v>
      </c>
      <c r="D10" s="25" t="s">
        <v>50</v>
      </c>
      <c r="E10" s="27" t="s">
        <v>299</v>
      </c>
      <c r="F10" s="27" t="s">
        <v>298</v>
      </c>
      <c r="H10" s="25" t="s">
        <v>134</v>
      </c>
      <c r="I10" s="38">
        <v>125</v>
      </c>
      <c r="J10" s="29">
        <v>125</v>
      </c>
      <c r="L10" s="29">
        <f t="shared" si="0"/>
        <v>0</v>
      </c>
      <c r="M10" s="29">
        <f t="shared" si="1"/>
        <v>0</v>
      </c>
    </row>
    <row r="11" spans="1:13" ht="76.5">
      <c r="A11" s="17">
        <v>5</v>
      </c>
      <c r="B11" s="45"/>
      <c r="C11" s="47" t="s">
        <v>139</v>
      </c>
      <c r="D11" s="25" t="s">
        <v>46</v>
      </c>
      <c r="E11" s="25"/>
      <c r="F11" s="27" t="s">
        <v>173</v>
      </c>
      <c r="G11" s="27"/>
      <c r="H11" s="25" t="s">
        <v>137</v>
      </c>
      <c r="I11" s="38">
        <v>0</v>
      </c>
      <c r="J11" s="29">
        <v>0</v>
      </c>
      <c r="L11" s="29">
        <f t="shared" si="0"/>
        <v>0</v>
      </c>
      <c r="M11" s="29">
        <f t="shared" si="1"/>
        <v>0</v>
      </c>
    </row>
    <row r="12" spans="1:13" ht="191.25">
      <c r="A12" s="17">
        <v>6</v>
      </c>
      <c r="B12" s="45"/>
      <c r="C12" s="47" t="s">
        <v>151</v>
      </c>
      <c r="D12" s="25" t="s">
        <v>50</v>
      </c>
      <c r="E12" s="27" t="s">
        <v>301</v>
      </c>
      <c r="F12" s="27" t="s">
        <v>300</v>
      </c>
      <c r="G12" s="27" t="s">
        <v>215</v>
      </c>
      <c r="H12" s="25" t="s">
        <v>137</v>
      </c>
      <c r="I12" s="38">
        <v>2000</v>
      </c>
      <c r="J12" s="29">
        <v>2000</v>
      </c>
      <c r="L12" s="29">
        <f t="shared" si="0"/>
        <v>0</v>
      </c>
      <c r="M12" s="29">
        <f t="shared" si="1"/>
        <v>0</v>
      </c>
    </row>
    <row r="13" spans="1:13">
      <c r="A13" s="17">
        <v>7</v>
      </c>
      <c r="C13" s="47" t="s">
        <v>254</v>
      </c>
      <c r="D13" s="25" t="s">
        <v>50</v>
      </c>
      <c r="E13" s="27" t="s">
        <v>255</v>
      </c>
      <c r="F13" s="26" t="s">
        <v>255</v>
      </c>
      <c r="H13" s="25" t="s">
        <v>134</v>
      </c>
      <c r="I13" s="38">
        <v>240</v>
      </c>
      <c r="J13" s="29">
        <v>240</v>
      </c>
      <c r="L13" s="29">
        <f t="shared" si="0"/>
        <v>0</v>
      </c>
      <c r="M13" s="29">
        <f t="shared" si="1"/>
        <v>0</v>
      </c>
    </row>
    <row r="14" spans="1:13">
      <c r="A14" s="17">
        <v>8</v>
      </c>
      <c r="C14" s="47" t="s">
        <v>244</v>
      </c>
      <c r="D14" s="25" t="s">
        <v>46</v>
      </c>
      <c r="E14" s="25"/>
      <c r="L14" s="29">
        <f t="shared" si="0"/>
        <v>0</v>
      </c>
      <c r="M14" s="29">
        <f t="shared" si="1"/>
        <v>0</v>
      </c>
    </row>
    <row r="15" spans="1:13" ht="114.75">
      <c r="A15" s="17">
        <v>9</v>
      </c>
      <c r="B15" s="45">
        <v>4</v>
      </c>
      <c r="C15" s="47" t="s">
        <v>49</v>
      </c>
      <c r="D15" s="25" t="s">
        <v>50</v>
      </c>
      <c r="E15" s="27" t="s">
        <v>303</v>
      </c>
      <c r="F15" s="27" t="s">
        <v>302</v>
      </c>
      <c r="G15" s="27" t="s">
        <v>212</v>
      </c>
      <c r="H15" s="25" t="s">
        <v>135</v>
      </c>
      <c r="I15" s="38">
        <v>10</v>
      </c>
      <c r="J15" s="29">
        <v>30</v>
      </c>
      <c r="K15" s="29">
        <v>15</v>
      </c>
      <c r="L15" s="29">
        <f t="shared" si="0"/>
        <v>14.7</v>
      </c>
      <c r="M15" s="29">
        <f t="shared" si="1"/>
        <v>1957.8000000000002</v>
      </c>
    </row>
    <row r="16" spans="1:13" ht="25.5">
      <c r="A16" s="17">
        <v>10</v>
      </c>
      <c r="B16" s="45"/>
      <c r="C16" s="47" t="s">
        <v>32</v>
      </c>
      <c r="D16" s="25" t="s">
        <v>50</v>
      </c>
      <c r="E16" s="27" t="s">
        <v>304</v>
      </c>
      <c r="F16" s="27" t="s">
        <v>98</v>
      </c>
      <c r="G16" s="27"/>
      <c r="H16" s="25" t="s">
        <v>135</v>
      </c>
      <c r="I16" s="38">
        <v>100</v>
      </c>
      <c r="J16" s="29">
        <v>100</v>
      </c>
      <c r="L16" s="29">
        <f t="shared" si="0"/>
        <v>0</v>
      </c>
      <c r="M16" s="29">
        <f t="shared" si="1"/>
        <v>0</v>
      </c>
    </row>
    <row r="17" spans="1:13">
      <c r="A17" s="17">
        <v>11</v>
      </c>
      <c r="C17" s="17" t="s">
        <v>190</v>
      </c>
      <c r="D17" s="25" t="s">
        <v>46</v>
      </c>
      <c r="E17" s="25"/>
      <c r="F17" s="26" t="s">
        <v>191</v>
      </c>
      <c r="L17" s="29">
        <f t="shared" si="0"/>
        <v>0</v>
      </c>
      <c r="M17" s="29">
        <f t="shared" si="1"/>
        <v>0</v>
      </c>
    </row>
    <row r="18" spans="1:13">
      <c r="A18" s="17">
        <v>12</v>
      </c>
      <c r="C18" s="17" t="s">
        <v>196</v>
      </c>
      <c r="D18" s="25" t="s">
        <v>46</v>
      </c>
      <c r="E18" s="25"/>
      <c r="F18" s="26" t="s">
        <v>195</v>
      </c>
      <c r="L18" s="29">
        <f t="shared" si="0"/>
        <v>0</v>
      </c>
      <c r="M18" s="29">
        <f t="shared" si="1"/>
        <v>0</v>
      </c>
    </row>
    <row r="19" spans="1:13">
      <c r="A19" s="17">
        <v>13</v>
      </c>
      <c r="C19" s="47" t="s">
        <v>86</v>
      </c>
      <c r="D19" s="25" t="s">
        <v>46</v>
      </c>
      <c r="E19" s="25"/>
      <c r="F19" s="26" t="s">
        <v>223</v>
      </c>
      <c r="L19" s="29">
        <f t="shared" si="0"/>
        <v>0</v>
      </c>
      <c r="M19" s="29">
        <f t="shared" si="1"/>
        <v>0</v>
      </c>
    </row>
    <row r="20" spans="1:13">
      <c r="A20" s="17">
        <v>14</v>
      </c>
      <c r="C20" s="17" t="s">
        <v>48</v>
      </c>
      <c r="D20" s="25" t="s">
        <v>46</v>
      </c>
      <c r="E20" s="25"/>
      <c r="F20" s="26" t="s">
        <v>103</v>
      </c>
      <c r="L20" s="29">
        <f t="shared" si="0"/>
        <v>0</v>
      </c>
      <c r="M20" s="29">
        <f t="shared" si="1"/>
        <v>0</v>
      </c>
    </row>
    <row r="21" spans="1:13" ht="204">
      <c r="A21" s="17">
        <v>15</v>
      </c>
      <c r="B21" s="45"/>
      <c r="C21" s="17" t="s">
        <v>158</v>
      </c>
      <c r="D21" s="25" t="s">
        <v>46</v>
      </c>
      <c r="E21" s="25"/>
      <c r="F21" s="27" t="s">
        <v>175</v>
      </c>
      <c r="G21" s="27"/>
      <c r="H21" s="25" t="s">
        <v>137</v>
      </c>
      <c r="I21" s="38">
        <v>0</v>
      </c>
      <c r="J21" s="29">
        <v>0</v>
      </c>
      <c r="L21" s="29">
        <f t="shared" si="0"/>
        <v>0</v>
      </c>
      <c r="M21" s="29">
        <f t="shared" si="1"/>
        <v>0</v>
      </c>
    </row>
    <row r="22" spans="1:13">
      <c r="A22" s="17">
        <v>16</v>
      </c>
      <c r="C22" s="47" t="s">
        <v>224</v>
      </c>
      <c r="D22" s="25" t="s">
        <v>46</v>
      </c>
      <c r="E22" s="25"/>
      <c r="L22" s="29">
        <f t="shared" si="0"/>
        <v>0</v>
      </c>
      <c r="M22" s="29">
        <f t="shared" si="1"/>
        <v>0</v>
      </c>
    </row>
    <row r="23" spans="1:13">
      <c r="A23" s="17">
        <v>17</v>
      </c>
      <c r="C23" s="47" t="s">
        <v>130</v>
      </c>
      <c r="D23" s="25" t="s">
        <v>50</v>
      </c>
      <c r="E23" s="27" t="s">
        <v>305</v>
      </c>
      <c r="F23" s="26" t="s">
        <v>131</v>
      </c>
      <c r="H23" s="25" t="s">
        <v>136</v>
      </c>
      <c r="I23" s="38">
        <v>5000</v>
      </c>
      <c r="J23" s="29">
        <v>5000</v>
      </c>
      <c r="L23" s="29">
        <f t="shared" si="0"/>
        <v>0</v>
      </c>
      <c r="M23" s="29">
        <f t="shared" si="1"/>
        <v>0</v>
      </c>
    </row>
    <row r="24" spans="1:13">
      <c r="A24" s="17">
        <v>18</v>
      </c>
      <c r="C24" s="47" t="s">
        <v>249</v>
      </c>
      <c r="D24" s="25" t="s">
        <v>50</v>
      </c>
      <c r="E24" s="27" t="s">
        <v>307</v>
      </c>
      <c r="F24" s="26" t="s">
        <v>250</v>
      </c>
      <c r="H24" s="25" t="s">
        <v>134</v>
      </c>
      <c r="I24" s="38">
        <v>100</v>
      </c>
      <c r="J24" s="29">
        <v>100</v>
      </c>
      <c r="L24" s="29">
        <f t="shared" si="0"/>
        <v>0</v>
      </c>
      <c r="M24" s="29">
        <f t="shared" si="1"/>
        <v>0</v>
      </c>
    </row>
    <row r="25" spans="1:13">
      <c r="A25" s="17">
        <v>19</v>
      </c>
      <c r="B25" s="45"/>
      <c r="C25" s="47" t="s">
        <v>81</v>
      </c>
      <c r="D25" s="25" t="s">
        <v>50</v>
      </c>
      <c r="E25" s="27" t="s">
        <v>306</v>
      </c>
      <c r="F25" s="27" t="s">
        <v>166</v>
      </c>
      <c r="G25" s="27"/>
      <c r="H25" s="25" t="s">
        <v>135</v>
      </c>
      <c r="I25" s="38">
        <v>2000</v>
      </c>
      <c r="J25" s="29">
        <v>1000</v>
      </c>
      <c r="L25" s="29">
        <f t="shared" si="0"/>
        <v>0</v>
      </c>
      <c r="M25" s="29">
        <f t="shared" si="1"/>
        <v>0</v>
      </c>
    </row>
    <row r="26" spans="1:13">
      <c r="A26" s="17">
        <v>20</v>
      </c>
      <c r="C26" s="17" t="s">
        <v>140</v>
      </c>
      <c r="D26" s="25" t="s">
        <v>46</v>
      </c>
      <c r="E26" s="25"/>
      <c r="H26" s="25" t="s">
        <v>137</v>
      </c>
      <c r="L26" s="29">
        <f t="shared" si="0"/>
        <v>0</v>
      </c>
      <c r="M26" s="29">
        <f t="shared" si="1"/>
        <v>0</v>
      </c>
    </row>
    <row r="27" spans="1:13">
      <c r="A27" s="17">
        <v>21</v>
      </c>
      <c r="C27" s="47" t="s">
        <v>121</v>
      </c>
      <c r="D27" s="25" t="s">
        <v>50</v>
      </c>
      <c r="E27" s="27" t="s">
        <v>308</v>
      </c>
      <c r="F27" s="27" t="s">
        <v>122</v>
      </c>
      <c r="H27" s="25" t="s">
        <v>134</v>
      </c>
      <c r="I27" s="38">
        <v>0</v>
      </c>
      <c r="J27" s="29">
        <v>100</v>
      </c>
      <c r="L27" s="29">
        <f t="shared" si="0"/>
        <v>0</v>
      </c>
      <c r="M27" s="29">
        <f t="shared" si="1"/>
        <v>0</v>
      </c>
    </row>
    <row r="28" spans="1:13">
      <c r="A28" s="17">
        <v>22</v>
      </c>
      <c r="C28" s="17" t="s">
        <v>197</v>
      </c>
      <c r="D28" s="25" t="s">
        <v>46</v>
      </c>
      <c r="E28" s="25"/>
      <c r="L28" s="29">
        <f t="shared" si="0"/>
        <v>0</v>
      </c>
      <c r="M28" s="29">
        <f t="shared" si="1"/>
        <v>0</v>
      </c>
    </row>
    <row r="29" spans="1:13">
      <c r="A29" s="17">
        <v>23</v>
      </c>
      <c r="C29" s="17" t="s">
        <v>73</v>
      </c>
      <c r="D29" s="25" t="s">
        <v>46</v>
      </c>
      <c r="E29" s="25"/>
      <c r="F29" s="26" t="s">
        <v>104</v>
      </c>
      <c r="L29" s="29">
        <f t="shared" si="0"/>
        <v>0</v>
      </c>
      <c r="M29" s="29">
        <f t="shared" si="1"/>
        <v>0</v>
      </c>
    </row>
    <row r="30" spans="1:13" ht="204">
      <c r="A30" s="17">
        <v>24</v>
      </c>
      <c r="C30" s="47" t="s">
        <v>230</v>
      </c>
      <c r="D30" s="25" t="s">
        <v>50</v>
      </c>
      <c r="E30" s="27" t="s">
        <v>310</v>
      </c>
      <c r="F30" s="27" t="s">
        <v>309</v>
      </c>
      <c r="H30" s="25" t="s">
        <v>134</v>
      </c>
      <c r="I30" s="38">
        <v>100</v>
      </c>
      <c r="J30" s="29">
        <v>100</v>
      </c>
      <c r="L30" s="29">
        <f t="shared" si="0"/>
        <v>0</v>
      </c>
      <c r="M30" s="29">
        <f t="shared" si="1"/>
        <v>0</v>
      </c>
    </row>
    <row r="31" spans="1:13">
      <c r="A31" s="17">
        <v>25</v>
      </c>
      <c r="B31" s="55"/>
      <c r="C31" s="17" t="s">
        <v>55</v>
      </c>
      <c r="D31" s="25" t="s">
        <v>46</v>
      </c>
      <c r="E31" s="25"/>
      <c r="F31" s="31" t="s">
        <v>105</v>
      </c>
      <c r="G31" s="31"/>
      <c r="L31" s="29">
        <f t="shared" si="0"/>
        <v>0</v>
      </c>
      <c r="M31" s="29">
        <f t="shared" si="1"/>
        <v>0</v>
      </c>
    </row>
    <row r="32" spans="1:13">
      <c r="A32" s="17">
        <v>26</v>
      </c>
      <c r="C32" s="17" t="s">
        <v>53</v>
      </c>
      <c r="D32" s="25" t="s">
        <v>46</v>
      </c>
      <c r="E32" s="25"/>
      <c r="F32" s="26" t="s">
        <v>103</v>
      </c>
      <c r="L32" s="29">
        <f t="shared" si="0"/>
        <v>0</v>
      </c>
      <c r="M32" s="29">
        <f t="shared" si="1"/>
        <v>0</v>
      </c>
    </row>
    <row r="33" spans="1:13" ht="51">
      <c r="A33" s="17">
        <v>27</v>
      </c>
      <c r="B33" s="45"/>
      <c r="C33" s="17" t="s">
        <v>57</v>
      </c>
      <c r="D33" s="25" t="s">
        <v>46</v>
      </c>
      <c r="E33" s="25"/>
      <c r="F33" s="27" t="s">
        <v>174</v>
      </c>
      <c r="G33" s="27"/>
      <c r="H33" s="25" t="s">
        <v>137</v>
      </c>
      <c r="I33" s="38">
        <v>0</v>
      </c>
      <c r="J33" s="29">
        <v>0</v>
      </c>
      <c r="L33" s="29">
        <f t="shared" si="0"/>
        <v>0</v>
      </c>
      <c r="M33" s="29">
        <f t="shared" si="1"/>
        <v>0</v>
      </c>
    </row>
    <row r="34" spans="1:13" ht="242.25">
      <c r="A34" s="17">
        <v>28</v>
      </c>
      <c r="C34" s="47" t="s">
        <v>95</v>
      </c>
      <c r="D34" s="25" t="s">
        <v>50</v>
      </c>
      <c r="E34" s="27" t="s">
        <v>312</v>
      </c>
      <c r="F34" s="27" t="s">
        <v>311</v>
      </c>
      <c r="G34" s="27" t="s">
        <v>215</v>
      </c>
      <c r="H34" s="25" t="s">
        <v>137</v>
      </c>
      <c r="I34" s="38">
        <v>10000</v>
      </c>
      <c r="J34" s="29">
        <v>10000</v>
      </c>
      <c r="L34" s="29">
        <f t="shared" si="0"/>
        <v>0</v>
      </c>
      <c r="M34" s="29">
        <f t="shared" si="1"/>
        <v>0</v>
      </c>
    </row>
    <row r="35" spans="1:13" ht="114.75">
      <c r="A35" s="17">
        <v>29</v>
      </c>
      <c r="B35" s="45"/>
      <c r="C35" s="17" t="s">
        <v>143</v>
      </c>
      <c r="D35" s="25" t="s">
        <v>50</v>
      </c>
      <c r="E35" s="27" t="s">
        <v>314</v>
      </c>
      <c r="F35" s="27" t="s">
        <v>313</v>
      </c>
      <c r="G35" s="27" t="s">
        <v>215</v>
      </c>
      <c r="H35" s="25" t="s">
        <v>137</v>
      </c>
      <c r="I35" s="38">
        <v>10000</v>
      </c>
      <c r="J35" s="29">
        <v>10000</v>
      </c>
      <c r="L35" s="29">
        <f t="shared" si="0"/>
        <v>0</v>
      </c>
      <c r="M35" s="29">
        <f t="shared" si="1"/>
        <v>0</v>
      </c>
    </row>
    <row r="36" spans="1:13" ht="25.5">
      <c r="A36" s="17">
        <v>30</v>
      </c>
      <c r="C36" s="47" t="s">
        <v>128</v>
      </c>
      <c r="D36" s="25" t="s">
        <v>50</v>
      </c>
      <c r="E36" s="27" t="s">
        <v>315</v>
      </c>
      <c r="F36" s="27" t="s">
        <v>129</v>
      </c>
      <c r="H36" s="25" t="s">
        <v>134</v>
      </c>
      <c r="I36" s="38">
        <v>200</v>
      </c>
      <c r="J36" s="29">
        <v>205</v>
      </c>
      <c r="L36" s="29">
        <f t="shared" si="0"/>
        <v>0</v>
      </c>
      <c r="M36" s="29">
        <f t="shared" si="1"/>
        <v>0</v>
      </c>
    </row>
    <row r="37" spans="1:13">
      <c r="A37" s="17">
        <v>31</v>
      </c>
      <c r="C37" s="17" t="s">
        <v>188</v>
      </c>
      <c r="D37" s="25" t="s">
        <v>50</v>
      </c>
      <c r="E37" s="27" t="s">
        <v>189</v>
      </c>
      <c r="F37" s="26" t="s">
        <v>189</v>
      </c>
      <c r="H37" s="25" t="s">
        <v>135</v>
      </c>
      <c r="I37" s="38">
        <v>10</v>
      </c>
      <c r="J37" s="29">
        <v>10</v>
      </c>
      <c r="L37" s="29">
        <f t="shared" si="0"/>
        <v>0</v>
      </c>
      <c r="M37" s="29">
        <f t="shared" si="1"/>
        <v>0</v>
      </c>
    </row>
    <row r="38" spans="1:13">
      <c r="A38" s="17">
        <v>32</v>
      </c>
      <c r="C38" s="47" t="s">
        <v>119</v>
      </c>
      <c r="D38" s="25" t="s">
        <v>50</v>
      </c>
      <c r="E38" s="27" t="s">
        <v>310</v>
      </c>
      <c r="F38" s="26" t="s">
        <v>120</v>
      </c>
      <c r="H38" s="25" t="s">
        <v>134</v>
      </c>
      <c r="I38" s="38">
        <v>100</v>
      </c>
      <c r="J38" s="29">
        <v>100</v>
      </c>
      <c r="L38" s="29">
        <f t="shared" si="0"/>
        <v>0</v>
      </c>
      <c r="M38" s="29">
        <f t="shared" si="1"/>
        <v>0</v>
      </c>
    </row>
    <row r="39" spans="1:13" ht="25.5">
      <c r="A39" s="17">
        <v>33</v>
      </c>
      <c r="B39" s="45"/>
      <c r="C39" s="17" t="s">
        <v>79</v>
      </c>
      <c r="D39" s="25" t="s">
        <v>50</v>
      </c>
      <c r="E39" s="27" t="s">
        <v>316</v>
      </c>
      <c r="F39" s="27" t="s">
        <v>99</v>
      </c>
      <c r="G39" s="27"/>
      <c r="H39" s="25" t="s">
        <v>135</v>
      </c>
      <c r="I39" s="38">
        <v>130</v>
      </c>
      <c r="J39" s="29">
        <v>25</v>
      </c>
      <c r="L39" s="29">
        <f t="shared" si="0"/>
        <v>0</v>
      </c>
      <c r="M39" s="29">
        <f t="shared" si="1"/>
        <v>0</v>
      </c>
    </row>
    <row r="40" spans="1:13">
      <c r="A40" s="17">
        <v>34</v>
      </c>
      <c r="C40" s="17" t="s">
        <v>71</v>
      </c>
      <c r="D40" s="25" t="s">
        <v>46</v>
      </c>
      <c r="E40" s="25"/>
      <c r="F40" s="26" t="s">
        <v>101</v>
      </c>
      <c r="L40" s="29">
        <f t="shared" si="0"/>
        <v>0</v>
      </c>
      <c r="M40" s="29">
        <f t="shared" si="1"/>
        <v>0</v>
      </c>
    </row>
    <row r="41" spans="1:13">
      <c r="A41" s="17">
        <v>35</v>
      </c>
      <c r="C41" s="47" t="s">
        <v>252</v>
      </c>
      <c r="D41" s="25" t="s">
        <v>50</v>
      </c>
      <c r="E41" s="27" t="s">
        <v>318</v>
      </c>
      <c r="F41" s="27" t="s">
        <v>317</v>
      </c>
      <c r="H41" s="25" t="s">
        <v>134</v>
      </c>
      <c r="I41" s="38">
        <v>100</v>
      </c>
      <c r="J41" s="29">
        <v>100</v>
      </c>
      <c r="L41" s="29">
        <f t="shared" si="0"/>
        <v>0</v>
      </c>
      <c r="M41" s="29">
        <f t="shared" si="1"/>
        <v>0</v>
      </c>
    </row>
    <row r="42" spans="1:13" ht="89.25">
      <c r="A42" s="17">
        <v>36</v>
      </c>
      <c r="B42" s="45"/>
      <c r="C42" s="17" t="s">
        <v>144</v>
      </c>
      <c r="D42" s="25" t="s">
        <v>50</v>
      </c>
      <c r="E42" s="27" t="s">
        <v>319</v>
      </c>
      <c r="F42" s="27" t="s">
        <v>145</v>
      </c>
      <c r="G42" s="27" t="s">
        <v>215</v>
      </c>
      <c r="H42" s="25" t="s">
        <v>137</v>
      </c>
      <c r="I42" s="38">
        <v>15000</v>
      </c>
      <c r="J42" s="29">
        <v>15000</v>
      </c>
      <c r="L42" s="29">
        <f t="shared" si="0"/>
        <v>0</v>
      </c>
      <c r="M42" s="29">
        <f t="shared" si="1"/>
        <v>0</v>
      </c>
    </row>
    <row r="43" spans="1:13">
      <c r="A43" s="17">
        <v>37</v>
      </c>
      <c r="B43" s="45"/>
      <c r="C43" s="17" t="s">
        <v>59</v>
      </c>
      <c r="D43" s="25" t="s">
        <v>50</v>
      </c>
      <c r="E43" s="27" t="s">
        <v>189</v>
      </c>
      <c r="F43" s="27" t="s">
        <v>100</v>
      </c>
      <c r="G43" s="27"/>
      <c r="H43" s="25" t="s">
        <v>135</v>
      </c>
      <c r="I43" s="38">
        <v>10</v>
      </c>
      <c r="J43" s="29">
        <v>10</v>
      </c>
      <c r="L43" s="29">
        <f t="shared" si="0"/>
        <v>0</v>
      </c>
      <c r="M43" s="29">
        <f t="shared" si="1"/>
        <v>0</v>
      </c>
    </row>
    <row r="44" spans="1:13">
      <c r="A44" s="17">
        <v>38</v>
      </c>
      <c r="C44" s="17" t="s">
        <v>45</v>
      </c>
      <c r="D44" s="25" t="s">
        <v>46</v>
      </c>
      <c r="E44" s="25"/>
      <c r="F44" s="26" t="s">
        <v>102</v>
      </c>
      <c r="L44" s="29">
        <f t="shared" si="0"/>
        <v>0</v>
      </c>
      <c r="M44" s="29">
        <f t="shared" si="1"/>
        <v>0</v>
      </c>
    </row>
    <row r="45" spans="1:13">
      <c r="A45" s="17">
        <v>39</v>
      </c>
      <c r="B45" s="45"/>
      <c r="C45" s="47" t="s">
        <v>67</v>
      </c>
      <c r="D45" s="25" t="s">
        <v>46</v>
      </c>
      <c r="E45" s="25"/>
      <c r="F45" s="27" t="s">
        <v>106</v>
      </c>
      <c r="G45" s="27"/>
      <c r="L45" s="29">
        <f t="shared" si="0"/>
        <v>0</v>
      </c>
      <c r="M45" s="29">
        <f t="shared" si="1"/>
        <v>0</v>
      </c>
    </row>
    <row r="46" spans="1:13">
      <c r="A46" s="17">
        <v>40</v>
      </c>
      <c r="C46" s="47" t="s">
        <v>203</v>
      </c>
      <c r="D46" s="25" t="s">
        <v>50</v>
      </c>
      <c r="E46" s="27" t="s">
        <v>320</v>
      </c>
      <c r="F46" s="26" t="s">
        <v>204</v>
      </c>
      <c r="H46" s="25" t="s">
        <v>134</v>
      </c>
      <c r="I46" s="38">
        <v>100</v>
      </c>
      <c r="J46" s="29">
        <v>100</v>
      </c>
      <c r="L46" s="29">
        <f t="shared" si="0"/>
        <v>0</v>
      </c>
      <c r="M46" s="29">
        <f t="shared" si="1"/>
        <v>0</v>
      </c>
    </row>
    <row r="47" spans="1:13" ht="165.75">
      <c r="A47" s="17">
        <v>41</v>
      </c>
      <c r="B47" s="45"/>
      <c r="C47" s="17" t="s">
        <v>146</v>
      </c>
      <c r="D47" s="25" t="s">
        <v>46</v>
      </c>
      <c r="E47" s="25"/>
      <c r="F47" s="27" t="s">
        <v>176</v>
      </c>
      <c r="G47" s="27"/>
      <c r="H47" s="25" t="s">
        <v>137</v>
      </c>
      <c r="J47" s="29">
        <v>0</v>
      </c>
      <c r="L47" s="29">
        <f t="shared" si="0"/>
        <v>0</v>
      </c>
      <c r="M47" s="29">
        <f t="shared" si="1"/>
        <v>0</v>
      </c>
    </row>
    <row r="48" spans="1:13" ht="140.25">
      <c r="A48" s="17">
        <v>42</v>
      </c>
      <c r="B48" s="45"/>
      <c r="C48" s="17" t="s">
        <v>147</v>
      </c>
      <c r="D48" s="25" t="s">
        <v>46</v>
      </c>
      <c r="E48" s="25"/>
      <c r="F48" s="27" t="s">
        <v>148</v>
      </c>
      <c r="G48" s="27"/>
      <c r="H48" s="25" t="s">
        <v>137</v>
      </c>
      <c r="J48" s="29">
        <v>0</v>
      </c>
      <c r="L48" s="29">
        <f t="shared" si="0"/>
        <v>0</v>
      </c>
      <c r="M48" s="29">
        <f t="shared" si="1"/>
        <v>0</v>
      </c>
    </row>
    <row r="49" spans="1:13">
      <c r="A49" s="17">
        <v>43</v>
      </c>
      <c r="C49" s="47" t="s">
        <v>117</v>
      </c>
      <c r="D49" s="25" t="s">
        <v>50</v>
      </c>
      <c r="E49" s="27" t="s">
        <v>321</v>
      </c>
      <c r="F49" s="26" t="s">
        <v>118</v>
      </c>
      <c r="H49" s="25" t="s">
        <v>134</v>
      </c>
      <c r="I49" s="38">
        <f>50/0.25</f>
        <v>200</v>
      </c>
      <c r="J49" s="29">
        <v>50</v>
      </c>
      <c r="L49" s="29">
        <f t="shared" si="0"/>
        <v>0</v>
      </c>
      <c r="M49" s="29">
        <f t="shared" si="1"/>
        <v>0</v>
      </c>
    </row>
    <row r="50" spans="1:13">
      <c r="A50" s="17">
        <v>44</v>
      </c>
      <c r="C50" s="47" t="s">
        <v>247</v>
      </c>
      <c r="D50" s="25" t="s">
        <v>50</v>
      </c>
      <c r="E50" s="27" t="s">
        <v>322</v>
      </c>
      <c r="F50" s="26" t="s">
        <v>248</v>
      </c>
      <c r="H50" s="25" t="s">
        <v>135</v>
      </c>
      <c r="I50" s="38">
        <v>30</v>
      </c>
      <c r="J50" s="29">
        <v>10</v>
      </c>
      <c r="L50" s="29">
        <f t="shared" si="0"/>
        <v>0</v>
      </c>
      <c r="M50" s="29">
        <f t="shared" si="1"/>
        <v>0</v>
      </c>
    </row>
    <row r="51" spans="1:13">
      <c r="A51" s="17">
        <v>45</v>
      </c>
      <c r="B51" s="45"/>
      <c r="C51" s="17" t="s">
        <v>91</v>
      </c>
      <c r="D51" s="25" t="s">
        <v>50</v>
      </c>
      <c r="E51" s="27" t="s">
        <v>189</v>
      </c>
      <c r="F51" s="27" t="s">
        <v>100</v>
      </c>
      <c r="G51" s="27"/>
      <c r="H51" s="25" t="s">
        <v>135</v>
      </c>
      <c r="I51" s="38">
        <v>10</v>
      </c>
      <c r="J51" s="29">
        <v>10</v>
      </c>
      <c r="L51" s="29">
        <f t="shared" si="0"/>
        <v>0</v>
      </c>
      <c r="M51" s="29">
        <f t="shared" si="1"/>
        <v>0</v>
      </c>
    </row>
    <row r="52" spans="1:13">
      <c r="A52" s="17">
        <v>46</v>
      </c>
      <c r="C52" s="17" t="s">
        <v>78</v>
      </c>
      <c r="D52" s="25" t="s">
        <v>46</v>
      </c>
      <c r="E52" s="25"/>
      <c r="F52" s="26" t="s">
        <v>101</v>
      </c>
      <c r="L52" s="29">
        <f t="shared" si="0"/>
        <v>0</v>
      </c>
      <c r="M52" s="29">
        <f t="shared" si="1"/>
        <v>0</v>
      </c>
    </row>
    <row r="53" spans="1:13">
      <c r="A53" s="17">
        <v>47</v>
      </c>
      <c r="C53" s="17" t="s">
        <v>68</v>
      </c>
      <c r="D53" s="25" t="s">
        <v>50</v>
      </c>
      <c r="E53" s="27" t="s">
        <v>323</v>
      </c>
      <c r="F53" s="26" t="s">
        <v>69</v>
      </c>
      <c r="H53" s="25" t="s">
        <v>135</v>
      </c>
      <c r="I53" s="38">
        <v>10</v>
      </c>
      <c r="J53" s="29">
        <v>10</v>
      </c>
      <c r="L53" s="29">
        <f t="shared" si="0"/>
        <v>0</v>
      </c>
      <c r="M53" s="29">
        <f t="shared" si="1"/>
        <v>0</v>
      </c>
    </row>
    <row r="54" spans="1:13">
      <c r="A54" s="17">
        <v>48</v>
      </c>
      <c r="C54" s="47" t="s">
        <v>253</v>
      </c>
      <c r="D54" s="25" t="s">
        <v>46</v>
      </c>
      <c r="E54" s="25"/>
      <c r="L54" s="29">
        <f t="shared" si="0"/>
        <v>0</v>
      </c>
      <c r="M54" s="29">
        <f t="shared" si="1"/>
        <v>0</v>
      </c>
    </row>
    <row r="55" spans="1:13">
      <c r="A55" s="17">
        <v>49</v>
      </c>
      <c r="C55" s="17" t="s">
        <v>54</v>
      </c>
      <c r="D55" s="25" t="s">
        <v>46</v>
      </c>
      <c r="E55" s="25"/>
      <c r="F55" s="26" t="s">
        <v>102</v>
      </c>
      <c r="L55" s="29">
        <f t="shared" si="0"/>
        <v>0</v>
      </c>
      <c r="M55" s="29">
        <f t="shared" si="1"/>
        <v>0</v>
      </c>
    </row>
    <row r="56" spans="1:13">
      <c r="A56" s="17">
        <v>50</v>
      </c>
      <c r="C56" s="17" t="s">
        <v>194</v>
      </c>
      <c r="D56" s="25" t="s">
        <v>46</v>
      </c>
      <c r="E56" s="25"/>
      <c r="F56" s="26" t="s">
        <v>195</v>
      </c>
      <c r="L56" s="29">
        <f t="shared" si="0"/>
        <v>0</v>
      </c>
      <c r="M56" s="29">
        <f t="shared" si="1"/>
        <v>0</v>
      </c>
    </row>
    <row r="57" spans="1:13" ht="216.75">
      <c r="A57" s="17">
        <v>51</v>
      </c>
      <c r="B57" s="45"/>
      <c r="C57" s="17" t="s">
        <v>154</v>
      </c>
      <c r="D57" s="25" t="s">
        <v>50</v>
      </c>
      <c r="E57" s="27" t="s">
        <v>325</v>
      </c>
      <c r="F57" s="27" t="s">
        <v>324</v>
      </c>
      <c r="G57" s="27" t="s">
        <v>215</v>
      </c>
      <c r="H57" s="25" t="s">
        <v>137</v>
      </c>
      <c r="I57" s="38">
        <v>10000</v>
      </c>
      <c r="J57" s="29">
        <v>10000</v>
      </c>
      <c r="L57" s="29">
        <f t="shared" si="0"/>
        <v>0</v>
      </c>
      <c r="M57" s="29">
        <f t="shared" si="1"/>
        <v>0</v>
      </c>
    </row>
    <row r="58" spans="1:13">
      <c r="A58" s="17">
        <v>52</v>
      </c>
      <c r="C58" s="47" t="s">
        <v>240</v>
      </c>
      <c r="D58" s="25" t="s">
        <v>50</v>
      </c>
      <c r="E58" s="27" t="s">
        <v>326</v>
      </c>
      <c r="F58" s="26" t="s">
        <v>241</v>
      </c>
      <c r="H58" s="25" t="s">
        <v>136</v>
      </c>
      <c r="I58" s="38">
        <v>0</v>
      </c>
      <c r="J58" s="29">
        <v>200</v>
      </c>
      <c r="L58" s="29">
        <f t="shared" si="0"/>
        <v>0</v>
      </c>
      <c r="M58" s="29">
        <f t="shared" si="1"/>
        <v>0</v>
      </c>
    </row>
    <row r="59" spans="1:13" ht="51">
      <c r="A59" s="17">
        <v>53</v>
      </c>
      <c r="C59" s="47" t="s">
        <v>231</v>
      </c>
      <c r="D59" s="25" t="s">
        <v>50</v>
      </c>
      <c r="E59" s="27" t="s">
        <v>328</v>
      </c>
      <c r="F59" s="27" t="s">
        <v>327</v>
      </c>
      <c r="H59" s="25" t="s">
        <v>134</v>
      </c>
      <c r="I59" s="38">
        <v>100</v>
      </c>
      <c r="J59" s="29">
        <v>20</v>
      </c>
      <c r="L59" s="29">
        <f t="shared" si="0"/>
        <v>0</v>
      </c>
      <c r="M59" s="29">
        <f t="shared" si="1"/>
        <v>0</v>
      </c>
    </row>
    <row r="60" spans="1:13" ht="38.25">
      <c r="A60" s="17">
        <v>54</v>
      </c>
      <c r="C60" s="47" t="s">
        <v>227</v>
      </c>
      <c r="D60" s="25" t="s">
        <v>50</v>
      </c>
      <c r="E60" s="27" t="s">
        <v>228</v>
      </c>
      <c r="F60" s="26" t="s">
        <v>228</v>
      </c>
      <c r="H60" s="25" t="s">
        <v>134</v>
      </c>
      <c r="I60" s="38">
        <v>0</v>
      </c>
      <c r="J60" s="29">
        <v>10</v>
      </c>
      <c r="L60" s="29">
        <f t="shared" si="0"/>
        <v>0</v>
      </c>
      <c r="M60" s="29">
        <f t="shared" si="1"/>
        <v>0</v>
      </c>
    </row>
    <row r="61" spans="1:13">
      <c r="A61" s="17">
        <v>55</v>
      </c>
      <c r="B61" s="45"/>
      <c r="C61" s="17" t="s">
        <v>80</v>
      </c>
      <c r="D61" s="25" t="s">
        <v>50</v>
      </c>
      <c r="E61" s="27" t="s">
        <v>329</v>
      </c>
      <c r="F61" s="27" t="s">
        <v>107</v>
      </c>
      <c r="G61" s="27"/>
      <c r="H61" s="25" t="s">
        <v>135</v>
      </c>
      <c r="I61" s="38">
        <v>20</v>
      </c>
      <c r="J61" s="29">
        <v>20</v>
      </c>
      <c r="L61" s="29">
        <f t="shared" si="0"/>
        <v>0</v>
      </c>
      <c r="M61" s="29">
        <f t="shared" si="1"/>
        <v>0</v>
      </c>
    </row>
    <row r="62" spans="1:13">
      <c r="A62" s="17">
        <v>56</v>
      </c>
      <c r="C62" s="17" t="s">
        <v>83</v>
      </c>
      <c r="D62" s="25" t="s">
        <v>50</v>
      </c>
      <c r="E62" s="26" t="s">
        <v>330</v>
      </c>
      <c r="F62" s="26" t="s">
        <v>108</v>
      </c>
      <c r="H62" s="25" t="s">
        <v>134</v>
      </c>
      <c r="I62" s="38">
        <v>10</v>
      </c>
      <c r="J62" s="29">
        <v>10</v>
      </c>
      <c r="L62" s="29">
        <f t="shared" si="0"/>
        <v>0</v>
      </c>
      <c r="M62" s="29">
        <f t="shared" si="1"/>
        <v>0</v>
      </c>
    </row>
    <row r="63" spans="1:13">
      <c r="A63" s="17">
        <v>57</v>
      </c>
      <c r="C63" s="47" t="s">
        <v>115</v>
      </c>
      <c r="D63" s="25" t="s">
        <v>50</v>
      </c>
      <c r="E63" s="26" t="s">
        <v>331</v>
      </c>
      <c r="F63" s="26" t="s">
        <v>116</v>
      </c>
      <c r="H63" s="25" t="s">
        <v>135</v>
      </c>
      <c r="I63" s="38">
        <v>100</v>
      </c>
      <c r="J63" s="29">
        <v>100</v>
      </c>
      <c r="L63" s="29">
        <f t="shared" si="0"/>
        <v>0</v>
      </c>
      <c r="M63" s="29">
        <f t="shared" si="1"/>
        <v>0</v>
      </c>
    </row>
    <row r="64" spans="1:13">
      <c r="A64" s="17">
        <v>58</v>
      </c>
      <c r="C64" s="17" t="s">
        <v>82</v>
      </c>
      <c r="D64" s="25" t="s">
        <v>46</v>
      </c>
      <c r="E64" s="25"/>
      <c r="F64" s="26" t="s">
        <v>101</v>
      </c>
      <c r="L64" s="29">
        <f t="shared" si="0"/>
        <v>0</v>
      </c>
      <c r="M64" s="29">
        <f t="shared" si="1"/>
        <v>0</v>
      </c>
    </row>
    <row r="65" spans="1:13">
      <c r="A65" s="17">
        <v>59</v>
      </c>
      <c r="C65" s="17" t="s">
        <v>162</v>
      </c>
      <c r="D65" s="25" t="s">
        <v>46</v>
      </c>
      <c r="E65" s="25"/>
      <c r="F65" s="26" t="s">
        <v>163</v>
      </c>
      <c r="H65" s="25" t="s">
        <v>137</v>
      </c>
      <c r="I65" s="38">
        <v>0</v>
      </c>
      <c r="J65" s="29">
        <v>0</v>
      </c>
      <c r="L65" s="29">
        <f t="shared" si="0"/>
        <v>0</v>
      </c>
      <c r="M65" s="29">
        <f t="shared" si="1"/>
        <v>0</v>
      </c>
    </row>
    <row r="66" spans="1:13">
      <c r="A66" s="17">
        <v>60</v>
      </c>
      <c r="C66" s="17" t="s">
        <v>58</v>
      </c>
      <c r="D66" s="25" t="s">
        <v>46</v>
      </c>
      <c r="E66" s="25"/>
      <c r="F66" s="26" t="s">
        <v>102</v>
      </c>
      <c r="L66" s="29">
        <f t="shared" si="0"/>
        <v>0</v>
      </c>
      <c r="M66" s="29">
        <f t="shared" si="1"/>
        <v>0</v>
      </c>
    </row>
    <row r="67" spans="1:13">
      <c r="A67" s="17">
        <v>61</v>
      </c>
      <c r="C67" s="47" t="s">
        <v>84</v>
      </c>
      <c r="D67" s="25" t="s">
        <v>50</v>
      </c>
      <c r="E67" s="26" t="s">
        <v>332</v>
      </c>
      <c r="F67" s="26" t="s">
        <v>85</v>
      </c>
      <c r="H67" s="25" t="s">
        <v>134</v>
      </c>
      <c r="I67" s="38">
        <v>50</v>
      </c>
      <c r="J67" s="29">
        <v>50</v>
      </c>
      <c r="L67" s="29">
        <f t="shared" si="0"/>
        <v>0</v>
      </c>
      <c r="M67" s="29">
        <f t="shared" si="1"/>
        <v>0</v>
      </c>
    </row>
    <row r="68" spans="1:13">
      <c r="A68" s="17">
        <v>62</v>
      </c>
      <c r="C68" s="17" t="s">
        <v>74</v>
      </c>
      <c r="D68" s="25" t="s">
        <v>46</v>
      </c>
      <c r="E68" s="25"/>
      <c r="F68" s="26" t="s">
        <v>101</v>
      </c>
      <c r="L68" s="29">
        <f t="shared" si="0"/>
        <v>0</v>
      </c>
      <c r="M68" s="29">
        <f t="shared" si="1"/>
        <v>0</v>
      </c>
    </row>
    <row r="69" spans="1:13">
      <c r="A69" s="17">
        <v>63</v>
      </c>
      <c r="C69" s="47" t="s">
        <v>236</v>
      </c>
      <c r="D69" s="25" t="s">
        <v>46</v>
      </c>
      <c r="E69" s="25"/>
      <c r="F69" s="26" t="s">
        <v>237</v>
      </c>
      <c r="L69" s="29">
        <f t="shared" si="0"/>
        <v>0</v>
      </c>
      <c r="M69" s="29">
        <f t="shared" si="1"/>
        <v>0</v>
      </c>
    </row>
    <row r="70" spans="1:13" ht="25.5">
      <c r="A70" s="17">
        <v>64</v>
      </c>
      <c r="C70" s="47" t="s">
        <v>242</v>
      </c>
      <c r="D70" s="25" t="s">
        <v>50</v>
      </c>
      <c r="E70" s="27" t="s">
        <v>243</v>
      </c>
      <c r="F70" s="27" t="s">
        <v>291</v>
      </c>
      <c r="G70" s="31" t="s">
        <v>292</v>
      </c>
      <c r="H70" s="25" t="s">
        <v>135</v>
      </c>
      <c r="I70" s="38">
        <v>50</v>
      </c>
      <c r="J70" s="29">
        <v>50</v>
      </c>
      <c r="L70" s="29">
        <f t="shared" si="0"/>
        <v>0</v>
      </c>
      <c r="M70" s="29">
        <f t="shared" si="1"/>
        <v>0</v>
      </c>
    </row>
    <row r="71" spans="1:13">
      <c r="A71" s="17">
        <v>65</v>
      </c>
      <c r="C71" s="17" t="s">
        <v>165</v>
      </c>
      <c r="D71" s="25" t="s">
        <v>46</v>
      </c>
      <c r="E71" s="25"/>
      <c r="H71" s="25" t="s">
        <v>137</v>
      </c>
      <c r="I71" s="38">
        <v>0</v>
      </c>
      <c r="J71" s="29">
        <v>0</v>
      </c>
      <c r="L71" s="29">
        <f t="shared" si="0"/>
        <v>0</v>
      </c>
      <c r="M71" s="29">
        <f t="shared" si="1"/>
        <v>0</v>
      </c>
    </row>
    <row r="72" spans="1:13" ht="127.5">
      <c r="A72" s="17">
        <v>66</v>
      </c>
      <c r="C72" s="47" t="s">
        <v>221</v>
      </c>
      <c r="D72" s="25" t="s">
        <v>50</v>
      </c>
      <c r="E72" s="27" t="s">
        <v>334</v>
      </c>
      <c r="F72" s="27" t="s">
        <v>222</v>
      </c>
      <c r="H72" s="25" t="s">
        <v>137</v>
      </c>
      <c r="I72" s="38">
        <v>1000</v>
      </c>
      <c r="J72" s="29">
        <v>2000</v>
      </c>
      <c r="L72" s="29">
        <f t="shared" ref="L72:L112" si="2">+K72*(1-$L$5)</f>
        <v>0</v>
      </c>
      <c r="M72" s="29">
        <f t="shared" ref="M72:M112" si="3">IF(H72="E",K72*$I$1,IF(H72="P",K72*$I$2,IF(H72="U",K72*$I$3,K72*$I$4)))</f>
        <v>0</v>
      </c>
    </row>
    <row r="73" spans="1:13">
      <c r="A73" s="17">
        <v>67</v>
      </c>
      <c r="C73" s="17" t="s">
        <v>64</v>
      </c>
      <c r="D73" s="25" t="s">
        <v>46</v>
      </c>
      <c r="E73" s="25"/>
      <c r="F73" s="26" t="s">
        <v>101</v>
      </c>
      <c r="L73" s="29">
        <f t="shared" si="2"/>
        <v>0</v>
      </c>
      <c r="M73" s="29">
        <f t="shared" si="3"/>
        <v>0</v>
      </c>
    </row>
    <row r="74" spans="1:13">
      <c r="A74" s="17">
        <v>68</v>
      </c>
      <c r="C74" s="17" t="s">
        <v>63</v>
      </c>
      <c r="D74" s="25" t="s">
        <v>46</v>
      </c>
      <c r="E74" s="25"/>
      <c r="F74" s="26" t="s">
        <v>101</v>
      </c>
      <c r="L74" s="29">
        <f t="shared" si="2"/>
        <v>0</v>
      </c>
      <c r="M74" s="29">
        <f t="shared" si="3"/>
        <v>0</v>
      </c>
    </row>
    <row r="75" spans="1:13">
      <c r="A75" s="17">
        <v>69</v>
      </c>
      <c r="C75" s="17" t="s">
        <v>153</v>
      </c>
      <c r="D75" s="25" t="s">
        <v>46</v>
      </c>
      <c r="E75" s="25"/>
      <c r="H75" s="25" t="s">
        <v>137</v>
      </c>
      <c r="I75" s="38">
        <v>0</v>
      </c>
      <c r="J75" s="29">
        <v>0</v>
      </c>
      <c r="L75" s="29">
        <f t="shared" si="2"/>
        <v>0</v>
      </c>
      <c r="M75" s="29">
        <f t="shared" si="3"/>
        <v>0</v>
      </c>
    </row>
    <row r="76" spans="1:13">
      <c r="A76" s="17">
        <v>70</v>
      </c>
      <c r="B76" s="45"/>
      <c r="C76" s="17" t="s">
        <v>65</v>
      </c>
      <c r="D76" s="25" t="s">
        <v>50</v>
      </c>
      <c r="E76" s="27" t="s">
        <v>333</v>
      </c>
      <c r="F76" s="27" t="s">
        <v>100</v>
      </c>
      <c r="G76" s="27"/>
      <c r="H76" s="25" t="s">
        <v>135</v>
      </c>
      <c r="I76" s="38">
        <v>10</v>
      </c>
      <c r="J76" s="29">
        <v>10</v>
      </c>
      <c r="L76" s="29">
        <f t="shared" si="2"/>
        <v>0</v>
      </c>
      <c r="M76" s="29">
        <f t="shared" si="3"/>
        <v>0</v>
      </c>
    </row>
    <row r="77" spans="1:13">
      <c r="A77" s="17">
        <v>71</v>
      </c>
      <c r="C77" s="17" t="s">
        <v>62</v>
      </c>
      <c r="D77" s="25" t="s">
        <v>46</v>
      </c>
      <c r="E77" s="25"/>
      <c r="F77" s="26" t="s">
        <v>101</v>
      </c>
      <c r="L77" s="29">
        <f t="shared" si="2"/>
        <v>0</v>
      </c>
      <c r="M77" s="29">
        <f t="shared" si="3"/>
        <v>0</v>
      </c>
    </row>
    <row r="78" spans="1:13" ht="242.25">
      <c r="A78" s="17">
        <v>72</v>
      </c>
      <c r="B78" s="25">
        <v>5</v>
      </c>
      <c r="C78" s="47" t="s">
        <v>245</v>
      </c>
      <c r="D78" s="25" t="s">
        <v>50</v>
      </c>
      <c r="E78" s="27" t="s">
        <v>246</v>
      </c>
      <c r="F78" s="27" t="s">
        <v>335</v>
      </c>
      <c r="G78" s="26" t="s">
        <v>215</v>
      </c>
      <c r="H78" s="25" t="s">
        <v>134</v>
      </c>
      <c r="I78" s="38">
        <v>10</v>
      </c>
      <c r="J78" s="29">
        <v>10</v>
      </c>
      <c r="K78" s="29">
        <v>25</v>
      </c>
      <c r="L78" s="29">
        <f t="shared" si="2"/>
        <v>24.5</v>
      </c>
      <c r="M78" s="29">
        <f t="shared" si="3"/>
        <v>2827.5</v>
      </c>
    </row>
    <row r="79" spans="1:13">
      <c r="A79" s="17">
        <v>73</v>
      </c>
      <c r="C79" s="47" t="s">
        <v>123</v>
      </c>
      <c r="D79" s="25" t="s">
        <v>50</v>
      </c>
      <c r="E79" s="26" t="s">
        <v>251</v>
      </c>
      <c r="F79" s="26" t="s">
        <v>251</v>
      </c>
      <c r="H79" s="25" t="s">
        <v>135</v>
      </c>
      <c r="I79" s="38">
        <v>25</v>
      </c>
      <c r="J79" s="29">
        <v>25</v>
      </c>
      <c r="L79" s="29">
        <f t="shared" si="2"/>
        <v>0</v>
      </c>
      <c r="M79" s="29">
        <f t="shared" si="3"/>
        <v>0</v>
      </c>
    </row>
    <row r="80" spans="1:13">
      <c r="A80" s="17">
        <v>74</v>
      </c>
      <c r="C80" s="47" t="s">
        <v>52</v>
      </c>
      <c r="D80" s="25" t="s">
        <v>46</v>
      </c>
      <c r="E80" s="25"/>
      <c r="L80" s="29">
        <f t="shared" si="2"/>
        <v>0</v>
      </c>
      <c r="M80" s="29">
        <f t="shared" si="3"/>
        <v>0</v>
      </c>
    </row>
    <row r="81" spans="1:13">
      <c r="A81" s="17">
        <v>75</v>
      </c>
      <c r="C81" s="47" t="s">
        <v>225</v>
      </c>
      <c r="D81" s="25" t="s">
        <v>46</v>
      </c>
      <c r="E81" s="25"/>
      <c r="F81" s="26" t="s">
        <v>226</v>
      </c>
      <c r="L81" s="29">
        <f t="shared" si="2"/>
        <v>0</v>
      </c>
      <c r="M81" s="29">
        <f t="shared" si="3"/>
        <v>0</v>
      </c>
    </row>
    <row r="82" spans="1:13" ht="76.5">
      <c r="A82" s="17">
        <v>76</v>
      </c>
      <c r="B82" s="45"/>
      <c r="C82" s="17" t="s">
        <v>155</v>
      </c>
      <c r="D82" s="25" t="s">
        <v>46</v>
      </c>
      <c r="E82" s="25"/>
      <c r="F82" s="27" t="s">
        <v>178</v>
      </c>
      <c r="G82" s="27"/>
      <c r="H82" s="25" t="s">
        <v>137</v>
      </c>
      <c r="I82" s="38">
        <v>0</v>
      </c>
      <c r="J82" s="29">
        <v>0</v>
      </c>
      <c r="L82" s="29">
        <f t="shared" si="2"/>
        <v>0</v>
      </c>
      <c r="M82" s="29">
        <f t="shared" si="3"/>
        <v>0</v>
      </c>
    </row>
    <row r="83" spans="1:13" ht="267.75">
      <c r="A83" s="17">
        <v>77</v>
      </c>
      <c r="B83" s="45"/>
      <c r="C83" s="17" t="s">
        <v>152</v>
      </c>
      <c r="D83" s="25" t="s">
        <v>50</v>
      </c>
      <c r="E83" s="27" t="s">
        <v>336</v>
      </c>
      <c r="F83" s="27" t="s">
        <v>337</v>
      </c>
      <c r="G83" s="27" t="s">
        <v>215</v>
      </c>
      <c r="H83" s="25" t="s">
        <v>137</v>
      </c>
      <c r="I83" s="38">
        <v>100</v>
      </c>
      <c r="J83" s="29">
        <v>100</v>
      </c>
      <c r="L83" s="29">
        <f t="shared" si="2"/>
        <v>0</v>
      </c>
      <c r="M83" s="29">
        <f t="shared" si="3"/>
        <v>0</v>
      </c>
    </row>
    <row r="84" spans="1:13">
      <c r="A84" s="17">
        <v>78</v>
      </c>
      <c r="B84" s="45"/>
      <c r="C84" s="17" t="s">
        <v>90</v>
      </c>
      <c r="D84" s="25" t="s">
        <v>46</v>
      </c>
      <c r="E84" s="25"/>
      <c r="F84" s="27" t="s">
        <v>89</v>
      </c>
      <c r="G84" s="27"/>
      <c r="L84" s="29">
        <f t="shared" si="2"/>
        <v>0</v>
      </c>
      <c r="M84" s="29">
        <f t="shared" si="3"/>
        <v>0</v>
      </c>
    </row>
    <row r="85" spans="1:13" ht="127.5">
      <c r="A85" s="17">
        <v>79</v>
      </c>
      <c r="C85" s="47" t="s">
        <v>234</v>
      </c>
      <c r="D85" s="25" t="s">
        <v>50</v>
      </c>
      <c r="E85" s="27" t="s">
        <v>338</v>
      </c>
      <c r="F85" s="27" t="s">
        <v>235</v>
      </c>
      <c r="H85" s="25" t="s">
        <v>135</v>
      </c>
      <c r="I85" s="38">
        <v>400</v>
      </c>
      <c r="J85" s="29">
        <v>100</v>
      </c>
      <c r="L85" s="29">
        <f t="shared" si="2"/>
        <v>0</v>
      </c>
      <c r="M85" s="29">
        <f t="shared" si="3"/>
        <v>0</v>
      </c>
    </row>
    <row r="86" spans="1:13">
      <c r="A86" s="17">
        <v>80</v>
      </c>
      <c r="C86" s="17" t="s">
        <v>92</v>
      </c>
      <c r="D86" s="25" t="s">
        <v>46</v>
      </c>
      <c r="E86" s="25"/>
      <c r="F86" s="26" t="s">
        <v>102</v>
      </c>
      <c r="L86" s="29">
        <f t="shared" si="2"/>
        <v>0</v>
      </c>
      <c r="M86" s="29">
        <f t="shared" si="3"/>
        <v>0</v>
      </c>
    </row>
    <row r="87" spans="1:13">
      <c r="A87" s="17">
        <v>81</v>
      </c>
      <c r="C87" s="47" t="s">
        <v>97</v>
      </c>
      <c r="D87" s="25" t="s">
        <v>50</v>
      </c>
      <c r="E87" s="26" t="s">
        <v>339</v>
      </c>
      <c r="F87" s="26" t="s">
        <v>114</v>
      </c>
      <c r="H87" s="25" t="s">
        <v>134</v>
      </c>
      <c r="I87" s="38">
        <v>120</v>
      </c>
      <c r="J87" s="29">
        <v>120</v>
      </c>
      <c r="L87" s="29">
        <f t="shared" si="2"/>
        <v>0</v>
      </c>
      <c r="M87" s="29">
        <f t="shared" si="3"/>
        <v>0</v>
      </c>
    </row>
    <row r="88" spans="1:13" ht="63.75">
      <c r="A88" s="17">
        <v>82</v>
      </c>
      <c r="B88" s="45"/>
      <c r="C88" s="17" t="s">
        <v>164</v>
      </c>
      <c r="D88" s="25" t="s">
        <v>46</v>
      </c>
      <c r="E88" s="25"/>
      <c r="F88" s="27" t="s">
        <v>179</v>
      </c>
      <c r="G88" s="27"/>
      <c r="H88" s="25" t="s">
        <v>137</v>
      </c>
      <c r="I88" s="38">
        <v>0</v>
      </c>
      <c r="J88" s="29">
        <v>0</v>
      </c>
      <c r="L88" s="29">
        <f t="shared" si="2"/>
        <v>0</v>
      </c>
      <c r="M88" s="29">
        <f t="shared" si="3"/>
        <v>0</v>
      </c>
    </row>
    <row r="89" spans="1:13" ht="38.25">
      <c r="A89" s="17">
        <v>83</v>
      </c>
      <c r="B89" s="45"/>
      <c r="C89" s="17" t="s">
        <v>156</v>
      </c>
      <c r="D89" s="25" t="s">
        <v>50</v>
      </c>
      <c r="E89" s="27" t="s">
        <v>340</v>
      </c>
      <c r="F89" s="27" t="s">
        <v>157</v>
      </c>
      <c r="G89" s="27" t="s">
        <v>215</v>
      </c>
      <c r="H89" s="25" t="s">
        <v>137</v>
      </c>
      <c r="I89" s="38">
        <v>250</v>
      </c>
      <c r="J89" s="40">
        <v>0</v>
      </c>
      <c r="L89" s="29">
        <f t="shared" si="2"/>
        <v>0</v>
      </c>
      <c r="M89" s="29">
        <f t="shared" si="3"/>
        <v>0</v>
      </c>
    </row>
    <row r="90" spans="1:13" ht="102">
      <c r="A90" s="17">
        <v>84</v>
      </c>
      <c r="B90" s="45">
        <v>2</v>
      </c>
      <c r="C90" s="17" t="s">
        <v>51</v>
      </c>
      <c r="D90" s="25" t="s">
        <v>50</v>
      </c>
      <c r="E90" s="27" t="s">
        <v>342</v>
      </c>
      <c r="F90" s="27" t="s">
        <v>341</v>
      </c>
      <c r="G90" s="27" t="s">
        <v>215</v>
      </c>
      <c r="H90" s="25" t="s">
        <v>134</v>
      </c>
      <c r="I90" s="38">
        <v>5</v>
      </c>
      <c r="J90" s="29">
        <v>20</v>
      </c>
      <c r="K90" s="29">
        <v>9</v>
      </c>
      <c r="L90" s="29">
        <f t="shared" si="2"/>
        <v>8.82</v>
      </c>
      <c r="M90" s="29">
        <f t="shared" si="3"/>
        <v>1017.9</v>
      </c>
    </row>
    <row r="91" spans="1:13" ht="38.25">
      <c r="A91" s="17">
        <v>85</v>
      </c>
      <c r="B91" s="25">
        <v>1</v>
      </c>
      <c r="C91" s="17" t="s">
        <v>186</v>
      </c>
      <c r="D91" s="25" t="s">
        <v>50</v>
      </c>
      <c r="E91" s="26" t="s">
        <v>343</v>
      </c>
      <c r="F91" s="26" t="s">
        <v>187</v>
      </c>
      <c r="G91" s="27" t="s">
        <v>206</v>
      </c>
      <c r="H91" s="25" t="s">
        <v>135</v>
      </c>
      <c r="I91" s="38">
        <v>10</v>
      </c>
      <c r="J91" s="29">
        <v>10</v>
      </c>
      <c r="K91" s="29">
        <v>25</v>
      </c>
      <c r="L91" s="29">
        <f t="shared" si="2"/>
        <v>24.5</v>
      </c>
      <c r="M91" s="29">
        <f t="shared" si="3"/>
        <v>3263.0000000000005</v>
      </c>
    </row>
    <row r="92" spans="1:13">
      <c r="A92" s="17">
        <v>86</v>
      </c>
      <c r="C92" s="17" t="s">
        <v>124</v>
      </c>
      <c r="D92" s="25" t="s">
        <v>50</v>
      </c>
      <c r="E92" s="26" t="s">
        <v>344</v>
      </c>
      <c r="F92" s="26" t="s">
        <v>125</v>
      </c>
      <c r="H92" s="25" t="s">
        <v>134</v>
      </c>
      <c r="I92" s="38">
        <f>400/0.25</f>
        <v>1600</v>
      </c>
      <c r="J92" s="29">
        <v>400</v>
      </c>
      <c r="L92" s="29">
        <f t="shared" si="2"/>
        <v>0</v>
      </c>
      <c r="M92" s="29">
        <f t="shared" si="3"/>
        <v>0</v>
      </c>
    </row>
    <row r="93" spans="1:13">
      <c r="A93" s="17">
        <v>87</v>
      </c>
      <c r="C93" s="47" t="s">
        <v>94</v>
      </c>
      <c r="D93" s="25" t="s">
        <v>50</v>
      </c>
      <c r="E93" s="26" t="s">
        <v>345</v>
      </c>
      <c r="F93" s="26" t="s">
        <v>112</v>
      </c>
      <c r="H93" s="25" t="s">
        <v>136</v>
      </c>
      <c r="I93" s="38">
        <v>200</v>
      </c>
      <c r="J93" s="29">
        <v>200</v>
      </c>
      <c r="L93" s="29">
        <f t="shared" si="2"/>
        <v>0</v>
      </c>
      <c r="M93" s="29">
        <f t="shared" si="3"/>
        <v>0</v>
      </c>
    </row>
    <row r="94" spans="1:13">
      <c r="A94" s="17">
        <v>88</v>
      </c>
      <c r="B94" s="45"/>
      <c r="C94" s="17" t="s">
        <v>70</v>
      </c>
      <c r="D94" s="25" t="s">
        <v>50</v>
      </c>
      <c r="E94" s="27" t="s">
        <v>346</v>
      </c>
      <c r="F94" s="27" t="s">
        <v>109</v>
      </c>
      <c r="G94" s="27"/>
      <c r="H94" s="25" t="s">
        <v>135</v>
      </c>
      <c r="I94" s="38">
        <v>10</v>
      </c>
      <c r="J94" s="29">
        <v>10</v>
      </c>
      <c r="L94" s="29">
        <f t="shared" si="2"/>
        <v>0</v>
      </c>
      <c r="M94" s="29">
        <f t="shared" si="3"/>
        <v>0</v>
      </c>
    </row>
    <row r="95" spans="1:13">
      <c r="A95" s="17">
        <v>89</v>
      </c>
      <c r="C95" s="17" t="s">
        <v>93</v>
      </c>
      <c r="D95" s="25" t="s">
        <v>46</v>
      </c>
      <c r="E95" s="25"/>
      <c r="F95" s="26" t="s">
        <v>102</v>
      </c>
      <c r="L95" s="29">
        <f t="shared" si="2"/>
        <v>0</v>
      </c>
      <c r="M95" s="29">
        <f t="shared" si="3"/>
        <v>0</v>
      </c>
    </row>
    <row r="96" spans="1:13">
      <c r="A96" s="17">
        <v>90</v>
      </c>
      <c r="C96" s="17" t="s">
        <v>149</v>
      </c>
      <c r="D96" s="25" t="s">
        <v>46</v>
      </c>
      <c r="E96" s="25"/>
      <c r="H96" s="25" t="s">
        <v>137</v>
      </c>
      <c r="J96" s="29">
        <v>0</v>
      </c>
      <c r="L96" s="29">
        <f t="shared" si="2"/>
        <v>0</v>
      </c>
      <c r="M96" s="29">
        <f t="shared" si="3"/>
        <v>0</v>
      </c>
    </row>
    <row r="97" spans="1:13" ht="140.25">
      <c r="A97" s="17">
        <v>91</v>
      </c>
      <c r="C97" s="47" t="s">
        <v>218</v>
      </c>
      <c r="D97" s="25" t="s">
        <v>50</v>
      </c>
      <c r="E97" s="27" t="s">
        <v>348</v>
      </c>
      <c r="F97" s="27" t="s">
        <v>347</v>
      </c>
      <c r="I97" s="38">
        <v>2000</v>
      </c>
      <c r="L97" s="29">
        <f t="shared" si="2"/>
        <v>0</v>
      </c>
      <c r="M97" s="29">
        <f t="shared" si="3"/>
        <v>0</v>
      </c>
    </row>
    <row r="98" spans="1:13" ht="165.75">
      <c r="A98" s="17">
        <v>92</v>
      </c>
      <c r="B98" s="45"/>
      <c r="C98" s="17" t="s">
        <v>150</v>
      </c>
      <c r="D98" s="25" t="s">
        <v>50</v>
      </c>
      <c r="E98" s="27" t="s">
        <v>350</v>
      </c>
      <c r="F98" s="27" t="s">
        <v>349</v>
      </c>
      <c r="G98" s="27" t="s">
        <v>215</v>
      </c>
      <c r="H98" s="25" t="s">
        <v>137</v>
      </c>
      <c r="I98" s="38">
        <v>300</v>
      </c>
      <c r="J98" s="29">
        <v>1300</v>
      </c>
      <c r="L98" s="29">
        <f t="shared" si="2"/>
        <v>0</v>
      </c>
      <c r="M98" s="29">
        <f t="shared" si="3"/>
        <v>0</v>
      </c>
    </row>
    <row r="99" spans="1:13">
      <c r="A99" s="17">
        <v>93</v>
      </c>
      <c r="B99" s="45"/>
      <c r="C99" s="17" t="s">
        <v>88</v>
      </c>
      <c r="D99" s="25" t="s">
        <v>46</v>
      </c>
      <c r="E99" s="25"/>
      <c r="F99" s="27" t="s">
        <v>89</v>
      </c>
      <c r="G99" s="27"/>
      <c r="L99" s="29">
        <f t="shared" si="2"/>
        <v>0</v>
      </c>
      <c r="M99" s="29">
        <f t="shared" si="3"/>
        <v>0</v>
      </c>
    </row>
    <row r="100" spans="1:13">
      <c r="A100" s="17">
        <v>94</v>
      </c>
      <c r="C100" s="17" t="s">
        <v>56</v>
      </c>
      <c r="D100" s="25" t="s">
        <v>46</v>
      </c>
      <c r="E100" s="25"/>
      <c r="F100" s="26" t="s">
        <v>110</v>
      </c>
      <c r="L100" s="29">
        <f t="shared" si="2"/>
        <v>0</v>
      </c>
      <c r="M100" s="29">
        <f t="shared" si="3"/>
        <v>0</v>
      </c>
    </row>
    <row r="101" spans="1:13" ht="25.5">
      <c r="A101" s="17">
        <v>95</v>
      </c>
      <c r="C101" s="17" t="s">
        <v>161</v>
      </c>
      <c r="D101" s="25" t="s">
        <v>46</v>
      </c>
      <c r="E101" s="25"/>
      <c r="F101" s="27" t="s">
        <v>180</v>
      </c>
      <c r="H101" s="25" t="s">
        <v>137</v>
      </c>
      <c r="I101" s="38">
        <v>0</v>
      </c>
      <c r="J101" s="29">
        <v>0</v>
      </c>
      <c r="L101" s="29">
        <f t="shared" si="2"/>
        <v>0</v>
      </c>
      <c r="M101" s="29">
        <f t="shared" si="3"/>
        <v>0</v>
      </c>
    </row>
    <row r="102" spans="1:13">
      <c r="A102" s="17">
        <v>96</v>
      </c>
      <c r="C102" s="47" t="s">
        <v>126</v>
      </c>
      <c r="D102" s="25" t="s">
        <v>50</v>
      </c>
      <c r="E102" s="26" t="s">
        <v>310</v>
      </c>
      <c r="F102" s="26" t="s">
        <v>127</v>
      </c>
      <c r="H102" s="25" t="s">
        <v>134</v>
      </c>
      <c r="I102" s="38">
        <v>100</v>
      </c>
      <c r="J102" s="29">
        <v>100</v>
      </c>
      <c r="L102" s="29">
        <f t="shared" si="2"/>
        <v>0</v>
      </c>
      <c r="M102" s="29">
        <f t="shared" si="3"/>
        <v>0</v>
      </c>
    </row>
    <row r="103" spans="1:13" ht="114.75">
      <c r="A103" s="17">
        <v>97</v>
      </c>
      <c r="C103" s="47" t="s">
        <v>232</v>
      </c>
      <c r="D103" s="25" t="s">
        <v>50</v>
      </c>
      <c r="E103" s="26" t="s">
        <v>310</v>
      </c>
      <c r="F103" s="27" t="s">
        <v>233</v>
      </c>
      <c r="H103" s="25" t="s">
        <v>134</v>
      </c>
      <c r="I103" s="38">
        <v>100</v>
      </c>
      <c r="J103" s="29">
        <v>100</v>
      </c>
      <c r="L103" s="29">
        <f t="shared" si="2"/>
        <v>0</v>
      </c>
      <c r="M103" s="29">
        <f t="shared" si="3"/>
        <v>0</v>
      </c>
    </row>
    <row r="104" spans="1:13" ht="140.25">
      <c r="A104" s="17">
        <v>98</v>
      </c>
      <c r="C104" s="47" t="s">
        <v>216</v>
      </c>
      <c r="D104" s="25" t="s">
        <v>50</v>
      </c>
      <c r="E104" s="26" t="s">
        <v>310</v>
      </c>
      <c r="F104" s="27" t="s">
        <v>217</v>
      </c>
      <c r="H104" s="25" t="s">
        <v>134</v>
      </c>
      <c r="I104" s="38">
        <v>100</v>
      </c>
      <c r="J104" s="29">
        <v>100</v>
      </c>
      <c r="L104" s="29">
        <f t="shared" si="2"/>
        <v>0</v>
      </c>
      <c r="M104" s="29">
        <f t="shared" si="3"/>
        <v>0</v>
      </c>
    </row>
    <row r="105" spans="1:13">
      <c r="A105" s="17">
        <v>99</v>
      </c>
      <c r="C105" s="17" t="s">
        <v>192</v>
      </c>
      <c r="D105" s="25" t="s">
        <v>50</v>
      </c>
      <c r="E105" s="26" t="s">
        <v>351</v>
      </c>
      <c r="F105" s="26" t="s">
        <v>193</v>
      </c>
      <c r="H105" s="25" t="s">
        <v>135</v>
      </c>
      <c r="I105" s="38">
        <v>25</v>
      </c>
      <c r="J105" s="29">
        <v>25</v>
      </c>
      <c r="L105" s="29">
        <f t="shared" si="2"/>
        <v>0</v>
      </c>
      <c r="M105" s="29">
        <f t="shared" si="3"/>
        <v>0</v>
      </c>
    </row>
    <row r="106" spans="1:13">
      <c r="A106" s="17">
        <v>100</v>
      </c>
      <c r="C106" s="17" t="s">
        <v>75</v>
      </c>
      <c r="D106" s="25" t="s">
        <v>46</v>
      </c>
      <c r="E106" s="25"/>
      <c r="F106" s="26" t="s">
        <v>111</v>
      </c>
      <c r="L106" s="29">
        <f t="shared" si="2"/>
        <v>0</v>
      </c>
      <c r="M106" s="29">
        <f t="shared" si="3"/>
        <v>0</v>
      </c>
    </row>
    <row r="107" spans="1:13">
      <c r="A107" s="17">
        <v>101</v>
      </c>
      <c r="C107" s="17" t="s">
        <v>61</v>
      </c>
      <c r="D107" s="25" t="s">
        <v>46</v>
      </c>
      <c r="E107" s="25"/>
      <c r="F107" s="26" t="s">
        <v>103</v>
      </c>
      <c r="L107" s="29">
        <f t="shared" si="2"/>
        <v>0</v>
      </c>
      <c r="M107" s="29">
        <f t="shared" si="3"/>
        <v>0</v>
      </c>
    </row>
    <row r="108" spans="1:13">
      <c r="A108" s="17">
        <v>102</v>
      </c>
      <c r="C108" s="17" t="s">
        <v>159</v>
      </c>
      <c r="D108" s="25" t="s">
        <v>46</v>
      </c>
      <c r="E108" s="25"/>
      <c r="F108" s="26" t="s">
        <v>160</v>
      </c>
      <c r="H108" s="25" t="s">
        <v>137</v>
      </c>
      <c r="I108" s="38">
        <v>0</v>
      </c>
      <c r="J108" s="29">
        <v>0</v>
      </c>
      <c r="L108" s="29">
        <f t="shared" si="2"/>
        <v>0</v>
      </c>
      <c r="M108" s="29">
        <f t="shared" si="3"/>
        <v>0</v>
      </c>
    </row>
    <row r="109" spans="1:13" ht="153">
      <c r="A109" s="17">
        <v>103</v>
      </c>
      <c r="C109" s="17" t="s">
        <v>66</v>
      </c>
      <c r="D109" s="25" t="s">
        <v>50</v>
      </c>
      <c r="E109" s="27" t="s">
        <v>353</v>
      </c>
      <c r="F109" s="27" t="s">
        <v>352</v>
      </c>
      <c r="H109" s="25" t="s">
        <v>134</v>
      </c>
      <c r="I109" s="38">
        <v>25</v>
      </c>
      <c r="J109" s="29">
        <v>25</v>
      </c>
      <c r="L109" s="29">
        <f t="shared" si="2"/>
        <v>0</v>
      </c>
      <c r="M109" s="29">
        <f t="shared" si="3"/>
        <v>0</v>
      </c>
    </row>
    <row r="110" spans="1:13">
      <c r="A110" s="17">
        <v>104</v>
      </c>
      <c r="B110" s="25">
        <v>3</v>
      </c>
      <c r="C110" s="47" t="s">
        <v>47</v>
      </c>
      <c r="D110" s="25" t="s">
        <v>50</v>
      </c>
      <c r="E110" s="26" t="s">
        <v>303</v>
      </c>
      <c r="F110" s="26" t="s">
        <v>289</v>
      </c>
      <c r="H110" s="25" t="s">
        <v>135</v>
      </c>
      <c r="I110" s="38">
        <v>10</v>
      </c>
      <c r="J110" s="29">
        <v>30</v>
      </c>
      <c r="K110" s="29">
        <v>15</v>
      </c>
      <c r="L110" s="29">
        <f t="shared" si="2"/>
        <v>14.7</v>
      </c>
      <c r="M110" s="29">
        <f t="shared" si="3"/>
        <v>1957.8000000000002</v>
      </c>
    </row>
    <row r="111" spans="1:13" ht="25.5">
      <c r="A111" s="17">
        <v>105</v>
      </c>
      <c r="C111" s="47" t="s">
        <v>238</v>
      </c>
      <c r="D111" s="25" t="s">
        <v>46</v>
      </c>
      <c r="E111" s="25"/>
      <c r="F111" s="27" t="s">
        <v>239</v>
      </c>
      <c r="L111" s="29">
        <f t="shared" si="2"/>
        <v>0</v>
      </c>
      <c r="M111" s="29">
        <f t="shared" si="3"/>
        <v>0</v>
      </c>
    </row>
    <row r="112" spans="1:13">
      <c r="A112" s="17">
        <v>106</v>
      </c>
      <c r="C112" s="47" t="s">
        <v>96</v>
      </c>
      <c r="D112" s="25" t="s">
        <v>50</v>
      </c>
      <c r="E112" s="26" t="s">
        <v>354</v>
      </c>
      <c r="F112" s="26" t="s">
        <v>113</v>
      </c>
      <c r="H112" s="25" t="s">
        <v>134</v>
      </c>
      <c r="I112" s="38">
        <v>150</v>
      </c>
      <c r="J112" s="29">
        <v>150</v>
      </c>
      <c r="L112" s="29">
        <f t="shared" si="2"/>
        <v>0</v>
      </c>
      <c r="M112" s="29">
        <f t="shared" si="3"/>
        <v>0</v>
      </c>
    </row>
    <row r="113" spans="5:5">
      <c r="E113" s="25"/>
    </row>
  </sheetData>
  <autoFilter ref="A6:M113"/>
  <sortState ref="A8:K114">
    <sortCondition ref="C8:C114"/>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Strategy</vt:lpstr>
      <vt:lpstr>Matched Bets Projections</vt:lpstr>
      <vt:lpstr>Betin Bets</vt:lpstr>
      <vt:lpstr>Value Bets Projections</vt:lpstr>
      <vt:lpstr>Arbitrage Bets Projections</vt:lpstr>
      <vt:lpstr>Notices</vt:lpstr>
      <vt:lpstr>Eligibility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NDIRANGU</dc:creator>
  <cp:lastModifiedBy>NDIRANGU</cp:lastModifiedBy>
  <dcterms:created xsi:type="dcterms:W3CDTF">2019-05-09T07:27:42Z</dcterms:created>
  <dcterms:modified xsi:type="dcterms:W3CDTF">2019-05-24T19:05:12Z</dcterms:modified>
</cp:coreProperties>
</file>