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g\Desktop\UNDERGRID_SHORTAGE\"/>
    </mc:Choice>
  </mc:AlternateContent>
  <xr:revisionPtr revIDLastSave="0" documentId="13_ncr:1_{54C2D179-D12A-4FFC-A830-49EFB760076B}" xr6:coauthVersionLast="47" xr6:coauthVersionMax="47" xr10:uidLastSave="{00000000-0000-0000-0000-000000000000}"/>
  <bookViews>
    <workbookView xWindow="8148" yWindow="1212" windowWidth="13824" windowHeight="7260" activeTab="1" xr2:uid="{F59598CF-9CCA-46FE-B8FF-A4A8AA02AE87}"/>
  </bookViews>
  <sheets>
    <sheet name="welfare" sheetId="1" r:id="rId1"/>
    <sheet name="undergrid" sheetId="2" r:id="rId2"/>
    <sheet name="Costs" sheetId="5" r:id="rId3"/>
    <sheet name="Graphs" sheetId="3" r:id="rId4"/>
    <sheet name="Merit Order" sheetId="8" state="hidden" r:id="rId5"/>
    <sheet name="Battery" sheetId="4" r:id="rId6"/>
    <sheet name="Welfare Calc" sheetId="7" r:id="rId7"/>
    <sheet name="Merit Order Usage" sheetId="9" r:id="rId8"/>
    <sheet name="DieselGenerator" sheetId="6" r:id="rId9"/>
  </sheets>
  <definedNames>
    <definedName name="genPV">#REF!</definedName>
    <definedName name="load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3" l="1"/>
  <c r="N8" i="3"/>
  <c r="N9" i="3"/>
  <c r="N10" i="3"/>
  <c r="N11" i="3"/>
  <c r="N12" i="3"/>
  <c r="N13" i="3"/>
  <c r="V13" i="3" s="1"/>
  <c r="N14" i="3"/>
  <c r="V14" i="3" s="1"/>
  <c r="N15" i="3"/>
  <c r="V15" i="3" s="1"/>
  <c r="N16" i="3"/>
  <c r="V16" i="3" s="1"/>
  <c r="N17" i="3"/>
  <c r="V17" i="3" s="1"/>
  <c r="N18" i="3"/>
  <c r="V18" i="3" s="1"/>
  <c r="N19" i="3"/>
  <c r="V19" i="3" s="1"/>
  <c r="N20" i="3"/>
  <c r="V20" i="3" s="1"/>
  <c r="N21" i="3"/>
  <c r="V21" i="3" s="1"/>
  <c r="N22" i="3"/>
  <c r="V22" i="3" s="1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V36" i="3" s="1"/>
  <c r="N37" i="3"/>
  <c r="V37" i="3" s="1"/>
  <c r="N38" i="3"/>
  <c r="V38" i="3" s="1"/>
  <c r="N39" i="3"/>
  <c r="V39" i="3" s="1"/>
  <c r="N40" i="3"/>
  <c r="V40" i="3" s="1"/>
  <c r="N41" i="3"/>
  <c r="V41" i="3" s="1"/>
  <c r="N42" i="3"/>
  <c r="V42" i="3" s="1"/>
  <c r="N43" i="3"/>
  <c r="V43" i="3" s="1"/>
  <c r="N44" i="3"/>
  <c r="V44" i="3" s="1"/>
  <c r="N45" i="3"/>
  <c r="V45" i="3" s="1"/>
  <c r="N46" i="3"/>
  <c r="V46" i="3" s="1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V61" i="3" s="1"/>
  <c r="N62" i="3"/>
  <c r="V62" i="3" s="1"/>
  <c r="N63" i="3"/>
  <c r="V63" i="3" s="1"/>
  <c r="N64" i="3"/>
  <c r="V64" i="3" s="1"/>
  <c r="N65" i="3"/>
  <c r="V65" i="3" s="1"/>
  <c r="N66" i="3"/>
  <c r="V66" i="3" s="1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V85" i="3" s="1"/>
  <c r="N86" i="3"/>
  <c r="V86" i="3" s="1"/>
  <c r="N87" i="3"/>
  <c r="V87" i="3" s="1"/>
  <c r="N88" i="3"/>
  <c r="V88" i="3" s="1"/>
  <c r="N89" i="3"/>
  <c r="V89" i="3" s="1"/>
  <c r="N90" i="3"/>
  <c r="V90" i="3" s="1"/>
  <c r="N91" i="3"/>
  <c r="V91" i="3" s="1"/>
  <c r="N92" i="3"/>
  <c r="V92" i="3" s="1"/>
  <c r="N93" i="3"/>
  <c r="V93" i="3" s="1"/>
  <c r="N94" i="3"/>
  <c r="V94" i="3" s="1"/>
  <c r="N95" i="3"/>
  <c r="V95" i="3" s="1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V109" i="3" s="1"/>
  <c r="N110" i="3"/>
  <c r="V110" i="3" s="1"/>
  <c r="N111" i="3"/>
  <c r="V111" i="3" s="1"/>
  <c r="N112" i="3"/>
  <c r="V112" i="3" s="1"/>
  <c r="N113" i="3"/>
  <c r="V113" i="3" s="1"/>
  <c r="N114" i="3"/>
  <c r="V114" i="3" s="1"/>
  <c r="N115" i="3"/>
  <c r="V115" i="3" s="1"/>
  <c r="N116" i="3"/>
  <c r="V116" i="3" s="1"/>
  <c r="N117" i="3"/>
  <c r="V117" i="3" s="1"/>
  <c r="N118" i="3"/>
  <c r="V118" i="3" s="1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V133" i="3" s="1"/>
  <c r="N134" i="3"/>
  <c r="V134" i="3" s="1"/>
  <c r="N135" i="3"/>
  <c r="V135" i="3" s="1"/>
  <c r="N136" i="3"/>
  <c r="V136" i="3" s="1"/>
  <c r="N137" i="3"/>
  <c r="V137" i="3" s="1"/>
  <c r="N138" i="3"/>
  <c r="V138" i="3" s="1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V156" i="3" s="1"/>
  <c r="N157" i="3"/>
  <c r="V157" i="3" s="1"/>
  <c r="N158" i="3"/>
  <c r="V158" i="3" s="1"/>
  <c r="N159" i="3"/>
  <c r="V159" i="3" s="1"/>
  <c r="N160" i="3"/>
  <c r="V160" i="3" s="1"/>
  <c r="N161" i="3"/>
  <c r="V161" i="3" s="1"/>
  <c r="N162" i="3"/>
  <c r="V162" i="3" s="1"/>
  <c r="N163" i="3"/>
  <c r="V163" i="3" s="1"/>
  <c r="N164" i="3"/>
  <c r="V164" i="3" s="1"/>
  <c r="N165" i="3"/>
  <c r="V165" i="3" s="1"/>
  <c r="N166" i="3"/>
  <c r="V166" i="3" s="1"/>
  <c r="N167" i="3"/>
  <c r="N168" i="3"/>
  <c r="N169" i="3"/>
  <c r="N170" i="3"/>
  <c r="N171" i="3"/>
  <c r="N172" i="3"/>
  <c r="N173" i="3"/>
  <c r="N6" i="3"/>
  <c r="B7" i="7"/>
  <c r="H9" i="7"/>
  <c r="I9" i="7"/>
  <c r="AQ17" i="2"/>
  <c r="AQ16" i="2"/>
  <c r="AQ15" i="2"/>
  <c r="B40" i="9"/>
  <c r="B42" i="9" s="1"/>
  <c r="A36" i="9"/>
  <c r="A47" i="9" s="1"/>
  <c r="A25" i="9"/>
  <c r="I21" i="9"/>
  <c r="H21" i="9"/>
  <c r="C21" i="9"/>
  <c r="B21" i="9"/>
  <c r="I17" i="9"/>
  <c r="H17" i="9"/>
  <c r="C17" i="9"/>
  <c r="I16" i="9"/>
  <c r="C16" i="9"/>
  <c r="I15" i="9"/>
  <c r="H15" i="9"/>
  <c r="C15" i="9"/>
  <c r="B15" i="9"/>
  <c r="I14" i="9"/>
  <c r="H14" i="9"/>
  <c r="C14" i="9"/>
  <c r="B14" i="9"/>
  <c r="BZ15" i="3"/>
  <c r="I11" i="8"/>
  <c r="I9" i="8"/>
  <c r="I8" i="8"/>
  <c r="B41" i="8"/>
  <c r="C34" i="8"/>
  <c r="C36" i="8" s="1"/>
  <c r="B31" i="8"/>
  <c r="B42" i="8" s="1"/>
  <c r="B30" i="8"/>
  <c r="B19" i="8"/>
  <c r="J15" i="8"/>
  <c r="I15" i="8"/>
  <c r="D15" i="8"/>
  <c r="C15" i="8"/>
  <c r="J11" i="8"/>
  <c r="D11" i="8"/>
  <c r="J10" i="8"/>
  <c r="D10" i="8"/>
  <c r="J9" i="8"/>
  <c r="D9" i="8"/>
  <c r="J8" i="8"/>
  <c r="D8" i="8"/>
  <c r="C4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D9" i="7"/>
  <c r="E9" i="7"/>
  <c r="G9" i="7"/>
  <c r="J9" i="7"/>
  <c r="K9" i="7"/>
  <c r="C9" i="7"/>
  <c r="B10" i="7"/>
  <c r="BT40" i="3"/>
  <c r="BT44" i="3" s="1"/>
  <c r="BT47" i="3" s="1"/>
  <c r="CA21" i="3"/>
  <c r="BZ21" i="3"/>
  <c r="BT42" i="3" l="1"/>
  <c r="A37" i="9"/>
  <c r="A48" i="9" s="1"/>
  <c r="B44" i="9"/>
  <c r="B47" i="9" s="1"/>
  <c r="C38" i="8"/>
  <c r="C41" i="8" s="1"/>
  <c r="AP24" i="2"/>
  <c r="AP21" i="2"/>
  <c r="AP22" i="2" s="1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2" i="2"/>
  <c r="BS36" i="3" l="1"/>
  <c r="BU21" i="3"/>
  <c r="BT21" i="3"/>
  <c r="BS25" i="3"/>
  <c r="CA17" i="3"/>
  <c r="BZ17" i="3"/>
  <c r="BZ14" i="3"/>
  <c r="BU17" i="3"/>
  <c r="CA16" i="3"/>
  <c r="CA15" i="3"/>
  <c r="CA14" i="3"/>
  <c r="BU15" i="3"/>
  <c r="BU16" i="3"/>
  <c r="BU14" i="3"/>
  <c r="BT15" i="3"/>
  <c r="C9" i="8" s="1"/>
  <c r="BT14" i="3"/>
  <c r="C8" i="8" s="1"/>
  <c r="BS37" i="3" l="1"/>
  <c r="BS48" i="3" s="1"/>
  <c r="BS47" i="3"/>
  <c r="AP3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T11" i="3"/>
  <c r="T10" i="3"/>
  <c r="T9" i="3"/>
  <c r="T8" i="3"/>
  <c r="T7" i="3"/>
  <c r="T6" i="3"/>
  <c r="U6" i="3"/>
  <c r="U7" i="3"/>
  <c r="U8" i="3"/>
  <c r="U9" i="3"/>
  <c r="U10" i="3"/>
  <c r="U11" i="3"/>
  <c r="W2" i="5"/>
  <c r="X2" i="5" s="1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2" i="5"/>
  <c r="AG1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C31" i="6"/>
  <c r="D14" i="6"/>
  <c r="D17" i="6" s="1"/>
  <c r="D20" i="6" s="1"/>
  <c r="H7" i="6"/>
  <c r="H8" i="6" s="1"/>
  <c r="I8" i="6" s="1"/>
  <c r="I4" i="6"/>
  <c r="H4" i="6"/>
  <c r="I3" i="6"/>
  <c r="H3" i="6"/>
  <c r="D23" i="6" l="1"/>
  <c r="I5" i="6"/>
  <c r="A2" i="5" l="1"/>
  <c r="C2" i="5"/>
  <c r="F2" i="5"/>
  <c r="H2" i="5" s="1"/>
  <c r="J2" i="5"/>
  <c r="L2" i="5"/>
  <c r="N2" i="5"/>
  <c r="P2" i="5"/>
  <c r="R2" i="5"/>
  <c r="J10" i="7" s="1"/>
  <c r="U2" i="5"/>
  <c r="Y2" i="5"/>
  <c r="AB2" i="5"/>
  <c r="I10" i="7" s="1"/>
  <c r="AD2" i="5"/>
  <c r="AF2" i="5"/>
  <c r="A3" i="5"/>
  <c r="C3" i="5"/>
  <c r="F3" i="5"/>
  <c r="H3" i="5" s="1"/>
  <c r="J3" i="5"/>
  <c r="AE3" i="5" s="1"/>
  <c r="L3" i="5"/>
  <c r="N3" i="5"/>
  <c r="P3" i="5"/>
  <c r="R3" i="5"/>
  <c r="U3" i="5"/>
  <c r="W3" i="5"/>
  <c r="X3" i="5" s="1"/>
  <c r="Y3" i="5"/>
  <c r="AB3" i="5"/>
  <c r="I11" i="7" s="1"/>
  <c r="AF3" i="5"/>
  <c r="A4" i="5"/>
  <c r="C4" i="5"/>
  <c r="F4" i="5"/>
  <c r="H4" i="5" s="1"/>
  <c r="J4" i="5"/>
  <c r="AE4" i="5" s="1"/>
  <c r="L4" i="5"/>
  <c r="N4" i="5"/>
  <c r="P4" i="5"/>
  <c r="R4" i="5"/>
  <c r="U4" i="5"/>
  <c r="W4" i="5"/>
  <c r="X4" i="5" s="1"/>
  <c r="Y4" i="5"/>
  <c r="AB4" i="5"/>
  <c r="I12" i="7" s="1"/>
  <c r="AF4" i="5"/>
  <c r="A5" i="5"/>
  <c r="C5" i="5"/>
  <c r="F5" i="5"/>
  <c r="H5" i="5" s="1"/>
  <c r="J5" i="5"/>
  <c r="L5" i="5"/>
  <c r="N5" i="5"/>
  <c r="P5" i="5"/>
  <c r="R5" i="5"/>
  <c r="U5" i="5"/>
  <c r="W5" i="5"/>
  <c r="X5" i="5" s="1"/>
  <c r="Y5" i="5"/>
  <c r="AB5" i="5"/>
  <c r="I13" i="7" s="1"/>
  <c r="AF5" i="5"/>
  <c r="A6" i="5"/>
  <c r="C6" i="5"/>
  <c r="F6" i="5"/>
  <c r="H6" i="5" s="1"/>
  <c r="J6" i="5"/>
  <c r="AE6" i="5" s="1"/>
  <c r="L6" i="5"/>
  <c r="N6" i="5"/>
  <c r="P6" i="5"/>
  <c r="R6" i="5"/>
  <c r="U6" i="5"/>
  <c r="W6" i="5"/>
  <c r="Y6" i="5"/>
  <c r="AB6" i="5"/>
  <c r="I14" i="7" s="1"/>
  <c r="AF6" i="5"/>
  <c r="A7" i="5"/>
  <c r="C7" i="5"/>
  <c r="F7" i="5"/>
  <c r="H7" i="5" s="1"/>
  <c r="J7" i="5"/>
  <c r="AE7" i="5" s="1"/>
  <c r="L7" i="5"/>
  <c r="N7" i="5"/>
  <c r="P7" i="5"/>
  <c r="R7" i="5"/>
  <c r="U7" i="5"/>
  <c r="W7" i="5"/>
  <c r="Y7" i="5"/>
  <c r="AB7" i="5"/>
  <c r="I15" i="7" s="1"/>
  <c r="AF7" i="5"/>
  <c r="A8" i="5"/>
  <c r="C8" i="5"/>
  <c r="F8" i="5"/>
  <c r="H8" i="5" s="1"/>
  <c r="J8" i="5"/>
  <c r="AE8" i="5" s="1"/>
  <c r="L8" i="5"/>
  <c r="N8" i="5"/>
  <c r="P8" i="5"/>
  <c r="R8" i="5"/>
  <c r="U8" i="5"/>
  <c r="W8" i="5"/>
  <c r="Y8" i="5"/>
  <c r="AB8" i="5"/>
  <c r="I16" i="7" s="1"/>
  <c r="AF8" i="5"/>
  <c r="A9" i="5"/>
  <c r="C9" i="5"/>
  <c r="F9" i="5"/>
  <c r="H9" i="5" s="1"/>
  <c r="J9" i="5"/>
  <c r="L9" i="5"/>
  <c r="N9" i="5"/>
  <c r="P9" i="5"/>
  <c r="R9" i="5"/>
  <c r="U9" i="5"/>
  <c r="W9" i="5"/>
  <c r="X9" i="5" s="1"/>
  <c r="Y9" i="5"/>
  <c r="AB9" i="5"/>
  <c r="I17" i="7" s="1"/>
  <c r="AF9" i="5"/>
  <c r="A10" i="5"/>
  <c r="C10" i="5"/>
  <c r="F10" i="5"/>
  <c r="H10" i="5" s="1"/>
  <c r="J10" i="5"/>
  <c r="AE10" i="5" s="1"/>
  <c r="L10" i="5"/>
  <c r="N10" i="5"/>
  <c r="P10" i="5"/>
  <c r="R10" i="5"/>
  <c r="U10" i="5"/>
  <c r="W10" i="5"/>
  <c r="X10" i="5" s="1"/>
  <c r="Y10" i="5"/>
  <c r="AB10" i="5"/>
  <c r="I18" i="7" s="1"/>
  <c r="AF10" i="5"/>
  <c r="A11" i="5"/>
  <c r="C11" i="5"/>
  <c r="F11" i="5"/>
  <c r="H11" i="5" s="1"/>
  <c r="J11" i="5"/>
  <c r="AE11" i="5" s="1"/>
  <c r="L11" i="5"/>
  <c r="N11" i="5"/>
  <c r="P11" i="5"/>
  <c r="R11" i="5"/>
  <c r="U11" i="5"/>
  <c r="W11" i="5"/>
  <c r="X11" i="5" s="1"/>
  <c r="Y11" i="5"/>
  <c r="AB11" i="5"/>
  <c r="I19" i="7" s="1"/>
  <c r="AF11" i="5"/>
  <c r="A12" i="5"/>
  <c r="C12" i="5"/>
  <c r="F12" i="5"/>
  <c r="H12" i="5" s="1"/>
  <c r="J12" i="5"/>
  <c r="AE12" i="5" s="1"/>
  <c r="L12" i="5"/>
  <c r="N12" i="5"/>
  <c r="P12" i="5"/>
  <c r="R12" i="5"/>
  <c r="U12" i="5"/>
  <c r="W12" i="5"/>
  <c r="X12" i="5" s="1"/>
  <c r="Y12" i="5"/>
  <c r="AB12" i="5"/>
  <c r="I20" i="7" s="1"/>
  <c r="AF12" i="5"/>
  <c r="A13" i="5"/>
  <c r="C13" i="5"/>
  <c r="F13" i="5"/>
  <c r="H13" i="5" s="1"/>
  <c r="J13" i="5"/>
  <c r="L13" i="5"/>
  <c r="N13" i="5"/>
  <c r="P13" i="5"/>
  <c r="R13" i="5"/>
  <c r="U13" i="5"/>
  <c r="W13" i="5"/>
  <c r="X13" i="5" s="1"/>
  <c r="Y13" i="5"/>
  <c r="AB13" i="5"/>
  <c r="I21" i="7" s="1"/>
  <c r="AF13" i="5"/>
  <c r="A14" i="5"/>
  <c r="C14" i="5"/>
  <c r="F14" i="5"/>
  <c r="H14" i="5" s="1"/>
  <c r="J14" i="5"/>
  <c r="AE14" i="5" s="1"/>
  <c r="L14" i="5"/>
  <c r="N14" i="5"/>
  <c r="P14" i="5"/>
  <c r="R14" i="5"/>
  <c r="U14" i="5"/>
  <c r="W14" i="5"/>
  <c r="X14" i="5" s="1"/>
  <c r="Y14" i="5"/>
  <c r="AB14" i="5"/>
  <c r="I22" i="7" s="1"/>
  <c r="AF14" i="5"/>
  <c r="A15" i="5"/>
  <c r="C15" i="5"/>
  <c r="F15" i="5"/>
  <c r="H15" i="5" s="1"/>
  <c r="J15" i="5"/>
  <c r="AE15" i="5" s="1"/>
  <c r="L15" i="5"/>
  <c r="N15" i="5"/>
  <c r="P15" i="5"/>
  <c r="R15" i="5"/>
  <c r="U15" i="5"/>
  <c r="W15" i="5"/>
  <c r="X15" i="5" s="1"/>
  <c r="Y15" i="5"/>
  <c r="AB15" i="5"/>
  <c r="I23" i="7" s="1"/>
  <c r="AF15" i="5"/>
  <c r="A16" i="5"/>
  <c r="C16" i="5"/>
  <c r="F16" i="5"/>
  <c r="H16" i="5" s="1"/>
  <c r="J16" i="5"/>
  <c r="AE16" i="5" s="1"/>
  <c r="L16" i="5"/>
  <c r="N16" i="5"/>
  <c r="P16" i="5"/>
  <c r="R16" i="5"/>
  <c r="U16" i="5"/>
  <c r="W16" i="5"/>
  <c r="X16" i="5" s="1"/>
  <c r="Y16" i="5"/>
  <c r="AB16" i="5"/>
  <c r="I24" i="7" s="1"/>
  <c r="AF16" i="5"/>
  <c r="A17" i="5"/>
  <c r="C17" i="5"/>
  <c r="F17" i="5"/>
  <c r="H17" i="5" s="1"/>
  <c r="J17" i="5"/>
  <c r="L17" i="5"/>
  <c r="N17" i="5"/>
  <c r="P17" i="5"/>
  <c r="R17" i="5"/>
  <c r="U17" i="5"/>
  <c r="W17" i="5"/>
  <c r="X17" i="5" s="1"/>
  <c r="Y17" i="5"/>
  <c r="AB17" i="5"/>
  <c r="I25" i="7" s="1"/>
  <c r="AF17" i="5"/>
  <c r="A18" i="5"/>
  <c r="C18" i="5"/>
  <c r="F18" i="5"/>
  <c r="H18" i="5" s="1"/>
  <c r="J18" i="5"/>
  <c r="AE18" i="5" s="1"/>
  <c r="L18" i="5"/>
  <c r="N18" i="5"/>
  <c r="P18" i="5"/>
  <c r="R18" i="5"/>
  <c r="U18" i="5"/>
  <c r="W18" i="5"/>
  <c r="X18" i="5" s="1"/>
  <c r="Y18" i="5"/>
  <c r="AB18" i="5"/>
  <c r="I26" i="7" s="1"/>
  <c r="AF18" i="5"/>
  <c r="A19" i="5"/>
  <c r="C19" i="5"/>
  <c r="F19" i="5"/>
  <c r="H19" i="5" s="1"/>
  <c r="J19" i="5"/>
  <c r="AE19" i="5" s="1"/>
  <c r="L19" i="5"/>
  <c r="N19" i="5"/>
  <c r="P19" i="5"/>
  <c r="R19" i="5"/>
  <c r="U19" i="5"/>
  <c r="W19" i="5"/>
  <c r="X19" i="5" s="1"/>
  <c r="Y19" i="5"/>
  <c r="AB19" i="5"/>
  <c r="I27" i="7" s="1"/>
  <c r="AF19" i="5"/>
  <c r="A20" i="5"/>
  <c r="C20" i="5"/>
  <c r="F20" i="5"/>
  <c r="H20" i="5" s="1"/>
  <c r="J20" i="5"/>
  <c r="AE20" i="5" s="1"/>
  <c r="L20" i="5"/>
  <c r="N20" i="5"/>
  <c r="P20" i="5"/>
  <c r="R20" i="5"/>
  <c r="U20" i="5"/>
  <c r="W20" i="5"/>
  <c r="X20" i="5" s="1"/>
  <c r="Y20" i="5"/>
  <c r="AB20" i="5"/>
  <c r="I28" i="7" s="1"/>
  <c r="AF20" i="5"/>
  <c r="A21" i="5"/>
  <c r="C21" i="5"/>
  <c r="F21" i="5"/>
  <c r="H21" i="5" s="1"/>
  <c r="J21" i="5"/>
  <c r="L21" i="5"/>
  <c r="N21" i="5"/>
  <c r="P21" i="5"/>
  <c r="R21" i="5"/>
  <c r="U21" i="5"/>
  <c r="W21" i="5"/>
  <c r="X21" i="5" s="1"/>
  <c r="Y21" i="5"/>
  <c r="AB21" i="5"/>
  <c r="I29" i="7" s="1"/>
  <c r="AF21" i="5"/>
  <c r="A22" i="5"/>
  <c r="C22" i="5"/>
  <c r="F22" i="5"/>
  <c r="H22" i="5" s="1"/>
  <c r="J22" i="5"/>
  <c r="AE22" i="5" s="1"/>
  <c r="L22" i="5"/>
  <c r="N22" i="5"/>
  <c r="P22" i="5"/>
  <c r="R22" i="5"/>
  <c r="U22" i="5"/>
  <c r="W22" i="5"/>
  <c r="Y22" i="5"/>
  <c r="AB22" i="5"/>
  <c r="I30" i="7" s="1"/>
  <c r="AF22" i="5"/>
  <c r="A23" i="5"/>
  <c r="C23" i="5"/>
  <c r="F23" i="5"/>
  <c r="H23" i="5" s="1"/>
  <c r="J23" i="5"/>
  <c r="AE23" i="5" s="1"/>
  <c r="L23" i="5"/>
  <c r="N23" i="5"/>
  <c r="P23" i="5"/>
  <c r="R23" i="5"/>
  <c r="U23" i="5"/>
  <c r="W23" i="5"/>
  <c r="Y23" i="5"/>
  <c r="AB23" i="5"/>
  <c r="I31" i="7" s="1"/>
  <c r="AF23" i="5"/>
  <c r="A24" i="5"/>
  <c r="C24" i="5"/>
  <c r="F24" i="5"/>
  <c r="H24" i="5" s="1"/>
  <c r="J24" i="5"/>
  <c r="AE24" i="5" s="1"/>
  <c r="L24" i="5"/>
  <c r="N24" i="5"/>
  <c r="P24" i="5"/>
  <c r="R24" i="5"/>
  <c r="U24" i="5"/>
  <c r="W24" i="5"/>
  <c r="Y24" i="5"/>
  <c r="AB24" i="5"/>
  <c r="I32" i="7" s="1"/>
  <c r="AF24" i="5"/>
  <c r="A25" i="5"/>
  <c r="C25" i="5"/>
  <c r="F25" i="5"/>
  <c r="H25" i="5" s="1"/>
  <c r="J25" i="5"/>
  <c r="AE25" i="5" s="1"/>
  <c r="L25" i="5"/>
  <c r="N25" i="5"/>
  <c r="P25" i="5"/>
  <c r="R25" i="5"/>
  <c r="U25" i="5"/>
  <c r="W25" i="5"/>
  <c r="X25" i="5" s="1"/>
  <c r="Y25" i="5"/>
  <c r="AB25" i="5"/>
  <c r="I33" i="7" s="1"/>
  <c r="AF25" i="5"/>
  <c r="A26" i="5"/>
  <c r="C26" i="5"/>
  <c r="F26" i="5"/>
  <c r="H26" i="5" s="1"/>
  <c r="J26" i="5"/>
  <c r="AE26" i="5" s="1"/>
  <c r="L26" i="5"/>
  <c r="N26" i="5"/>
  <c r="P26" i="5"/>
  <c r="R26" i="5"/>
  <c r="U26" i="5"/>
  <c r="W26" i="5"/>
  <c r="X26" i="5" s="1"/>
  <c r="Y26" i="5"/>
  <c r="AB26" i="5"/>
  <c r="I34" i="7" s="1"/>
  <c r="AF26" i="5"/>
  <c r="A27" i="5"/>
  <c r="C27" i="5"/>
  <c r="F27" i="5"/>
  <c r="H27" i="5" s="1"/>
  <c r="J27" i="5"/>
  <c r="AE27" i="5" s="1"/>
  <c r="L27" i="5"/>
  <c r="N27" i="5"/>
  <c r="P27" i="5"/>
  <c r="R27" i="5"/>
  <c r="U27" i="5"/>
  <c r="W27" i="5"/>
  <c r="X27" i="5" s="1"/>
  <c r="Y27" i="5"/>
  <c r="AB27" i="5"/>
  <c r="I35" i="7" s="1"/>
  <c r="AF27" i="5"/>
  <c r="A28" i="5"/>
  <c r="C28" i="5"/>
  <c r="F28" i="5"/>
  <c r="H28" i="5" s="1"/>
  <c r="J28" i="5"/>
  <c r="AE28" i="5" s="1"/>
  <c r="L28" i="5"/>
  <c r="N28" i="5"/>
  <c r="P28" i="5"/>
  <c r="R28" i="5"/>
  <c r="U28" i="5"/>
  <c r="W28" i="5"/>
  <c r="X28" i="5" s="1"/>
  <c r="Y28" i="5"/>
  <c r="AB28" i="5"/>
  <c r="I36" i="7" s="1"/>
  <c r="AF28" i="5"/>
  <c r="A29" i="5"/>
  <c r="C29" i="5"/>
  <c r="F29" i="5"/>
  <c r="H29" i="5" s="1"/>
  <c r="J29" i="5"/>
  <c r="AE29" i="5" s="1"/>
  <c r="L29" i="5"/>
  <c r="N29" i="5"/>
  <c r="P29" i="5"/>
  <c r="R29" i="5"/>
  <c r="U29" i="5"/>
  <c r="W29" i="5"/>
  <c r="X29" i="5" s="1"/>
  <c r="Y29" i="5"/>
  <c r="AB29" i="5"/>
  <c r="I37" i="7" s="1"/>
  <c r="AF29" i="5"/>
  <c r="A30" i="5"/>
  <c r="C30" i="5"/>
  <c r="F30" i="5"/>
  <c r="H30" i="5" s="1"/>
  <c r="J30" i="5"/>
  <c r="AE30" i="5" s="1"/>
  <c r="L30" i="5"/>
  <c r="N30" i="5"/>
  <c r="P30" i="5"/>
  <c r="R30" i="5"/>
  <c r="U30" i="5"/>
  <c r="W30" i="5"/>
  <c r="X30" i="5" s="1"/>
  <c r="Y30" i="5"/>
  <c r="AB30" i="5"/>
  <c r="I38" i="7" s="1"/>
  <c r="AF30" i="5"/>
  <c r="A31" i="5"/>
  <c r="C31" i="5"/>
  <c r="F31" i="5"/>
  <c r="H31" i="5" s="1"/>
  <c r="J31" i="5"/>
  <c r="AE31" i="5" s="1"/>
  <c r="L31" i="5"/>
  <c r="N31" i="5"/>
  <c r="P31" i="5"/>
  <c r="R31" i="5"/>
  <c r="U31" i="5"/>
  <c r="W31" i="5"/>
  <c r="X31" i="5" s="1"/>
  <c r="Y31" i="5"/>
  <c r="AB31" i="5"/>
  <c r="I39" i="7" s="1"/>
  <c r="AF31" i="5"/>
  <c r="A32" i="5"/>
  <c r="C32" i="5"/>
  <c r="F32" i="5"/>
  <c r="H32" i="5" s="1"/>
  <c r="J32" i="5"/>
  <c r="AE32" i="5" s="1"/>
  <c r="L32" i="5"/>
  <c r="N32" i="5"/>
  <c r="P32" i="5"/>
  <c r="R32" i="5"/>
  <c r="U32" i="5"/>
  <c r="W32" i="5"/>
  <c r="X32" i="5" s="1"/>
  <c r="Y32" i="5"/>
  <c r="AB32" i="5"/>
  <c r="I40" i="7" s="1"/>
  <c r="AF32" i="5"/>
  <c r="A33" i="5"/>
  <c r="C33" i="5"/>
  <c r="F33" i="5"/>
  <c r="H33" i="5" s="1"/>
  <c r="J33" i="5"/>
  <c r="AE33" i="5" s="1"/>
  <c r="L33" i="5"/>
  <c r="N33" i="5"/>
  <c r="P33" i="5"/>
  <c r="R33" i="5"/>
  <c r="U33" i="5"/>
  <c r="W33" i="5"/>
  <c r="X33" i="5" s="1"/>
  <c r="Y33" i="5"/>
  <c r="AB33" i="5"/>
  <c r="I41" i="7" s="1"/>
  <c r="AF33" i="5"/>
  <c r="A34" i="5"/>
  <c r="C34" i="5"/>
  <c r="F34" i="5"/>
  <c r="H34" i="5" s="1"/>
  <c r="J34" i="5"/>
  <c r="AE34" i="5" s="1"/>
  <c r="L34" i="5"/>
  <c r="N34" i="5"/>
  <c r="P34" i="5"/>
  <c r="R34" i="5"/>
  <c r="U34" i="5"/>
  <c r="W34" i="5"/>
  <c r="X34" i="5" s="1"/>
  <c r="Y34" i="5"/>
  <c r="AB34" i="5"/>
  <c r="I42" i="7" s="1"/>
  <c r="AF34" i="5"/>
  <c r="A35" i="5"/>
  <c r="C35" i="5"/>
  <c r="F35" i="5"/>
  <c r="H35" i="5" s="1"/>
  <c r="J35" i="5"/>
  <c r="AE35" i="5" s="1"/>
  <c r="L35" i="5"/>
  <c r="N35" i="5"/>
  <c r="P35" i="5"/>
  <c r="R35" i="5"/>
  <c r="U35" i="5"/>
  <c r="W35" i="5"/>
  <c r="X35" i="5" s="1"/>
  <c r="Y35" i="5"/>
  <c r="AB35" i="5"/>
  <c r="I43" i="7" s="1"/>
  <c r="AF35" i="5"/>
  <c r="A36" i="5"/>
  <c r="C36" i="5"/>
  <c r="F36" i="5"/>
  <c r="H36" i="5" s="1"/>
  <c r="J36" i="5"/>
  <c r="AE36" i="5" s="1"/>
  <c r="L36" i="5"/>
  <c r="N36" i="5"/>
  <c r="P36" i="5"/>
  <c r="R36" i="5"/>
  <c r="U36" i="5"/>
  <c r="W36" i="5"/>
  <c r="X36" i="5" s="1"/>
  <c r="Y36" i="5"/>
  <c r="AB36" i="5"/>
  <c r="I44" i="7" s="1"/>
  <c r="AF36" i="5"/>
  <c r="A37" i="5"/>
  <c r="C37" i="5"/>
  <c r="F37" i="5"/>
  <c r="H37" i="5" s="1"/>
  <c r="J37" i="5"/>
  <c r="AE37" i="5" s="1"/>
  <c r="L37" i="5"/>
  <c r="N37" i="5"/>
  <c r="P37" i="5"/>
  <c r="R37" i="5"/>
  <c r="U37" i="5"/>
  <c r="W37" i="5"/>
  <c r="X37" i="5" s="1"/>
  <c r="Y37" i="5"/>
  <c r="AB37" i="5"/>
  <c r="I45" i="7" s="1"/>
  <c r="AF37" i="5"/>
  <c r="A38" i="5"/>
  <c r="C38" i="5"/>
  <c r="F38" i="5"/>
  <c r="H38" i="5" s="1"/>
  <c r="J38" i="5"/>
  <c r="AE38" i="5" s="1"/>
  <c r="L38" i="5"/>
  <c r="N38" i="5"/>
  <c r="P38" i="5"/>
  <c r="R38" i="5"/>
  <c r="U38" i="5"/>
  <c r="W38" i="5"/>
  <c r="X38" i="5" s="1"/>
  <c r="Y38" i="5"/>
  <c r="AB38" i="5"/>
  <c r="I46" i="7" s="1"/>
  <c r="AF38" i="5"/>
  <c r="A39" i="5"/>
  <c r="C39" i="5"/>
  <c r="F39" i="5"/>
  <c r="H39" i="5" s="1"/>
  <c r="J39" i="5"/>
  <c r="AE39" i="5" s="1"/>
  <c r="L39" i="5"/>
  <c r="N39" i="5"/>
  <c r="P39" i="5"/>
  <c r="R39" i="5"/>
  <c r="U39" i="5"/>
  <c r="W39" i="5"/>
  <c r="X39" i="5" s="1"/>
  <c r="Y39" i="5"/>
  <c r="AB39" i="5"/>
  <c r="I47" i="7" s="1"/>
  <c r="AF39" i="5"/>
  <c r="A40" i="5"/>
  <c r="C40" i="5"/>
  <c r="F40" i="5"/>
  <c r="H40" i="5" s="1"/>
  <c r="J40" i="5"/>
  <c r="AE40" i="5" s="1"/>
  <c r="L40" i="5"/>
  <c r="N40" i="5"/>
  <c r="P40" i="5"/>
  <c r="R40" i="5"/>
  <c r="U40" i="5"/>
  <c r="W40" i="5"/>
  <c r="X40" i="5" s="1"/>
  <c r="Y40" i="5"/>
  <c r="AB40" i="5"/>
  <c r="I48" i="7" s="1"/>
  <c r="AF40" i="5"/>
  <c r="A41" i="5"/>
  <c r="C41" i="5"/>
  <c r="F41" i="5"/>
  <c r="H41" i="5" s="1"/>
  <c r="J41" i="5"/>
  <c r="AE41" i="5" s="1"/>
  <c r="L41" i="5"/>
  <c r="N41" i="5"/>
  <c r="P41" i="5"/>
  <c r="R41" i="5"/>
  <c r="U41" i="5"/>
  <c r="W41" i="5"/>
  <c r="X41" i="5" s="1"/>
  <c r="Y41" i="5"/>
  <c r="AB41" i="5"/>
  <c r="I49" i="7" s="1"/>
  <c r="AF41" i="5"/>
  <c r="A42" i="5"/>
  <c r="C42" i="5"/>
  <c r="F42" i="5"/>
  <c r="H42" i="5" s="1"/>
  <c r="J42" i="5"/>
  <c r="AE42" i="5" s="1"/>
  <c r="L42" i="5"/>
  <c r="N42" i="5"/>
  <c r="P42" i="5"/>
  <c r="R42" i="5"/>
  <c r="U42" i="5"/>
  <c r="W42" i="5"/>
  <c r="X42" i="5" s="1"/>
  <c r="Y42" i="5"/>
  <c r="AB42" i="5"/>
  <c r="I50" i="7" s="1"/>
  <c r="AF42" i="5"/>
  <c r="A43" i="5"/>
  <c r="C43" i="5"/>
  <c r="F43" i="5"/>
  <c r="H43" i="5" s="1"/>
  <c r="J43" i="5"/>
  <c r="AE43" i="5" s="1"/>
  <c r="L43" i="5"/>
  <c r="N43" i="5"/>
  <c r="P43" i="5"/>
  <c r="R43" i="5"/>
  <c r="U43" i="5"/>
  <c r="W43" i="5"/>
  <c r="X43" i="5" s="1"/>
  <c r="Y43" i="5"/>
  <c r="AB43" i="5"/>
  <c r="I51" i="7" s="1"/>
  <c r="AF43" i="5"/>
  <c r="A44" i="5"/>
  <c r="C44" i="5"/>
  <c r="F44" i="5"/>
  <c r="H44" i="5" s="1"/>
  <c r="J44" i="5"/>
  <c r="AE44" i="5" s="1"/>
  <c r="L44" i="5"/>
  <c r="N44" i="5"/>
  <c r="P44" i="5"/>
  <c r="R44" i="5"/>
  <c r="U44" i="5"/>
  <c r="W44" i="5"/>
  <c r="X44" i="5" s="1"/>
  <c r="Y44" i="5"/>
  <c r="AB44" i="5"/>
  <c r="I52" i="7" s="1"/>
  <c r="AF44" i="5"/>
  <c r="A45" i="5"/>
  <c r="C45" i="5"/>
  <c r="F45" i="5"/>
  <c r="H45" i="5" s="1"/>
  <c r="J45" i="5"/>
  <c r="AE45" i="5" s="1"/>
  <c r="L45" i="5"/>
  <c r="N45" i="5"/>
  <c r="P45" i="5"/>
  <c r="R45" i="5"/>
  <c r="U45" i="5"/>
  <c r="W45" i="5"/>
  <c r="X45" i="5" s="1"/>
  <c r="Y45" i="5"/>
  <c r="AB45" i="5"/>
  <c r="I53" i="7" s="1"/>
  <c r="AF45" i="5"/>
  <c r="A46" i="5"/>
  <c r="C46" i="5"/>
  <c r="F46" i="5"/>
  <c r="H46" i="5" s="1"/>
  <c r="J46" i="5"/>
  <c r="AE46" i="5" s="1"/>
  <c r="L46" i="5"/>
  <c r="N46" i="5"/>
  <c r="P46" i="5"/>
  <c r="R46" i="5"/>
  <c r="U46" i="5"/>
  <c r="W46" i="5"/>
  <c r="Y46" i="5"/>
  <c r="AB46" i="5"/>
  <c r="I54" i="7" s="1"/>
  <c r="AF46" i="5"/>
  <c r="A47" i="5"/>
  <c r="C47" i="5"/>
  <c r="F47" i="5"/>
  <c r="H47" i="5" s="1"/>
  <c r="J47" i="5"/>
  <c r="AE47" i="5" s="1"/>
  <c r="L47" i="5"/>
  <c r="N47" i="5"/>
  <c r="P47" i="5"/>
  <c r="R47" i="5"/>
  <c r="U47" i="5"/>
  <c r="W47" i="5"/>
  <c r="X47" i="5" s="1"/>
  <c r="Y47" i="5"/>
  <c r="AB47" i="5"/>
  <c r="I55" i="7" s="1"/>
  <c r="AF47" i="5"/>
  <c r="A48" i="5"/>
  <c r="C48" i="5"/>
  <c r="F48" i="5"/>
  <c r="H48" i="5" s="1"/>
  <c r="J48" i="5"/>
  <c r="AE48" i="5" s="1"/>
  <c r="L48" i="5"/>
  <c r="N48" i="5"/>
  <c r="P48" i="5"/>
  <c r="R48" i="5"/>
  <c r="U48" i="5"/>
  <c r="W48" i="5"/>
  <c r="Y48" i="5"/>
  <c r="AB48" i="5"/>
  <c r="I56" i="7" s="1"/>
  <c r="AF48" i="5"/>
  <c r="A49" i="5"/>
  <c r="C49" i="5"/>
  <c r="F49" i="5"/>
  <c r="H49" i="5" s="1"/>
  <c r="J49" i="5"/>
  <c r="AE49" i="5" s="1"/>
  <c r="L49" i="5"/>
  <c r="N49" i="5"/>
  <c r="P49" i="5"/>
  <c r="R49" i="5"/>
  <c r="U49" i="5"/>
  <c r="W49" i="5"/>
  <c r="X49" i="5" s="1"/>
  <c r="Y49" i="5"/>
  <c r="AB49" i="5"/>
  <c r="I57" i="7" s="1"/>
  <c r="AF49" i="5"/>
  <c r="A50" i="5"/>
  <c r="C50" i="5"/>
  <c r="F50" i="5"/>
  <c r="H50" i="5" s="1"/>
  <c r="J50" i="5"/>
  <c r="AE50" i="5" s="1"/>
  <c r="L50" i="5"/>
  <c r="N50" i="5"/>
  <c r="P50" i="5"/>
  <c r="R50" i="5"/>
  <c r="U50" i="5"/>
  <c r="W50" i="5"/>
  <c r="X50" i="5" s="1"/>
  <c r="Y50" i="5"/>
  <c r="AB50" i="5"/>
  <c r="I58" i="7" s="1"/>
  <c r="AF50" i="5"/>
  <c r="A51" i="5"/>
  <c r="C51" i="5"/>
  <c r="F51" i="5"/>
  <c r="H51" i="5" s="1"/>
  <c r="J51" i="5"/>
  <c r="AE51" i="5" s="1"/>
  <c r="L51" i="5"/>
  <c r="N51" i="5"/>
  <c r="P51" i="5"/>
  <c r="R51" i="5"/>
  <c r="U51" i="5"/>
  <c r="W51" i="5"/>
  <c r="X51" i="5" s="1"/>
  <c r="Y51" i="5"/>
  <c r="AB51" i="5"/>
  <c r="I59" i="7" s="1"/>
  <c r="AF51" i="5"/>
  <c r="A52" i="5"/>
  <c r="C52" i="5"/>
  <c r="F52" i="5"/>
  <c r="H52" i="5" s="1"/>
  <c r="J52" i="5"/>
  <c r="AE52" i="5" s="1"/>
  <c r="L52" i="5"/>
  <c r="N52" i="5"/>
  <c r="P52" i="5"/>
  <c r="R52" i="5"/>
  <c r="U52" i="5"/>
  <c r="W52" i="5"/>
  <c r="X52" i="5" s="1"/>
  <c r="Y52" i="5"/>
  <c r="AB52" i="5"/>
  <c r="I60" i="7" s="1"/>
  <c r="AF52" i="5"/>
  <c r="A53" i="5"/>
  <c r="C53" i="5"/>
  <c r="F53" i="5"/>
  <c r="H53" i="5" s="1"/>
  <c r="J53" i="5"/>
  <c r="AE53" i="5" s="1"/>
  <c r="L53" i="5"/>
  <c r="N53" i="5"/>
  <c r="P53" i="5"/>
  <c r="R53" i="5"/>
  <c r="U53" i="5"/>
  <c r="W53" i="5"/>
  <c r="X53" i="5" s="1"/>
  <c r="Y53" i="5"/>
  <c r="AB53" i="5"/>
  <c r="I61" i="7" s="1"/>
  <c r="AF53" i="5"/>
  <c r="A54" i="5"/>
  <c r="C54" i="5"/>
  <c r="F54" i="5"/>
  <c r="H54" i="5" s="1"/>
  <c r="J54" i="5"/>
  <c r="AE54" i="5" s="1"/>
  <c r="L54" i="5"/>
  <c r="N54" i="5"/>
  <c r="P54" i="5"/>
  <c r="R54" i="5"/>
  <c r="U54" i="5"/>
  <c r="W54" i="5"/>
  <c r="X54" i="5" s="1"/>
  <c r="Y54" i="5"/>
  <c r="AB54" i="5"/>
  <c r="I62" i="7" s="1"/>
  <c r="AF54" i="5"/>
  <c r="A55" i="5"/>
  <c r="C55" i="5"/>
  <c r="F55" i="5"/>
  <c r="H55" i="5" s="1"/>
  <c r="J55" i="5"/>
  <c r="AE55" i="5" s="1"/>
  <c r="L55" i="5"/>
  <c r="N55" i="5"/>
  <c r="P55" i="5"/>
  <c r="R55" i="5"/>
  <c r="U55" i="5"/>
  <c r="W55" i="5"/>
  <c r="X55" i="5" s="1"/>
  <c r="Y55" i="5"/>
  <c r="AB55" i="5"/>
  <c r="I63" i="7" s="1"/>
  <c r="AF55" i="5"/>
  <c r="A56" i="5"/>
  <c r="C56" i="5"/>
  <c r="F56" i="5"/>
  <c r="H56" i="5" s="1"/>
  <c r="J56" i="5"/>
  <c r="AE56" i="5" s="1"/>
  <c r="L56" i="5"/>
  <c r="N56" i="5"/>
  <c r="P56" i="5"/>
  <c r="R56" i="5"/>
  <c r="U56" i="5"/>
  <c r="W56" i="5"/>
  <c r="Y56" i="5"/>
  <c r="AB56" i="5"/>
  <c r="I64" i="7" s="1"/>
  <c r="AF56" i="5"/>
  <c r="A57" i="5"/>
  <c r="C57" i="5"/>
  <c r="F57" i="5"/>
  <c r="H57" i="5" s="1"/>
  <c r="J57" i="5"/>
  <c r="AE57" i="5" s="1"/>
  <c r="L57" i="5"/>
  <c r="N57" i="5"/>
  <c r="P57" i="5"/>
  <c r="R57" i="5"/>
  <c r="U57" i="5"/>
  <c r="W57" i="5"/>
  <c r="X57" i="5" s="1"/>
  <c r="Y57" i="5"/>
  <c r="AB57" i="5"/>
  <c r="I65" i="7" s="1"/>
  <c r="AF57" i="5"/>
  <c r="A58" i="5"/>
  <c r="C58" i="5"/>
  <c r="F58" i="5"/>
  <c r="H58" i="5" s="1"/>
  <c r="J58" i="5"/>
  <c r="AE58" i="5" s="1"/>
  <c r="L58" i="5"/>
  <c r="N58" i="5"/>
  <c r="P58" i="5"/>
  <c r="R58" i="5"/>
  <c r="U58" i="5"/>
  <c r="W58" i="5"/>
  <c r="X58" i="5" s="1"/>
  <c r="Y58" i="5"/>
  <c r="AB58" i="5"/>
  <c r="I66" i="7" s="1"/>
  <c r="AF58" i="5"/>
  <c r="A59" i="5"/>
  <c r="C59" i="5"/>
  <c r="F59" i="5"/>
  <c r="H59" i="5" s="1"/>
  <c r="J59" i="5"/>
  <c r="AE59" i="5" s="1"/>
  <c r="L59" i="5"/>
  <c r="N59" i="5"/>
  <c r="P59" i="5"/>
  <c r="R59" i="5"/>
  <c r="U59" i="5"/>
  <c r="W59" i="5"/>
  <c r="X59" i="5" s="1"/>
  <c r="Y59" i="5"/>
  <c r="AB59" i="5"/>
  <c r="I67" i="7" s="1"/>
  <c r="AF59" i="5"/>
  <c r="A60" i="5"/>
  <c r="C60" i="5"/>
  <c r="F60" i="5"/>
  <c r="H60" i="5" s="1"/>
  <c r="J60" i="5"/>
  <c r="AE60" i="5" s="1"/>
  <c r="L60" i="5"/>
  <c r="N60" i="5"/>
  <c r="P60" i="5"/>
  <c r="R60" i="5"/>
  <c r="U60" i="5"/>
  <c r="W60" i="5"/>
  <c r="X60" i="5" s="1"/>
  <c r="Y60" i="5"/>
  <c r="AB60" i="5"/>
  <c r="I68" i="7" s="1"/>
  <c r="AF60" i="5"/>
  <c r="A61" i="5"/>
  <c r="C61" i="5"/>
  <c r="F61" i="5"/>
  <c r="H61" i="5" s="1"/>
  <c r="J61" i="5"/>
  <c r="AE61" i="5" s="1"/>
  <c r="L61" i="5"/>
  <c r="N61" i="5"/>
  <c r="P61" i="5"/>
  <c r="R61" i="5"/>
  <c r="U61" i="5"/>
  <c r="W61" i="5"/>
  <c r="X61" i="5" s="1"/>
  <c r="Y61" i="5"/>
  <c r="AB61" i="5"/>
  <c r="I69" i="7" s="1"/>
  <c r="AF61" i="5"/>
  <c r="A62" i="5"/>
  <c r="C62" i="5"/>
  <c r="F62" i="5"/>
  <c r="H62" i="5" s="1"/>
  <c r="J62" i="5"/>
  <c r="AE62" i="5" s="1"/>
  <c r="L62" i="5"/>
  <c r="N62" i="5"/>
  <c r="P62" i="5"/>
  <c r="R62" i="5"/>
  <c r="U62" i="5"/>
  <c r="W62" i="5"/>
  <c r="X62" i="5" s="1"/>
  <c r="Y62" i="5"/>
  <c r="AB62" i="5"/>
  <c r="I70" i="7" s="1"/>
  <c r="AF62" i="5"/>
  <c r="A63" i="5"/>
  <c r="C63" i="5"/>
  <c r="F63" i="5"/>
  <c r="H63" i="5" s="1"/>
  <c r="J63" i="5"/>
  <c r="AE63" i="5" s="1"/>
  <c r="L63" i="5"/>
  <c r="N63" i="5"/>
  <c r="P63" i="5"/>
  <c r="R63" i="5"/>
  <c r="U63" i="5"/>
  <c r="W63" i="5"/>
  <c r="X63" i="5" s="1"/>
  <c r="Y63" i="5"/>
  <c r="AB63" i="5"/>
  <c r="I71" i="7" s="1"/>
  <c r="AF63" i="5"/>
  <c r="A64" i="5"/>
  <c r="C64" i="5"/>
  <c r="F64" i="5"/>
  <c r="H64" i="5" s="1"/>
  <c r="J64" i="5"/>
  <c r="AE64" i="5" s="1"/>
  <c r="L64" i="5"/>
  <c r="N64" i="5"/>
  <c r="P64" i="5"/>
  <c r="R64" i="5"/>
  <c r="U64" i="5"/>
  <c r="W64" i="5"/>
  <c r="Y64" i="5"/>
  <c r="AB64" i="5"/>
  <c r="I72" i="7" s="1"/>
  <c r="AF64" i="5"/>
  <c r="A65" i="5"/>
  <c r="C65" i="5"/>
  <c r="F65" i="5"/>
  <c r="H65" i="5" s="1"/>
  <c r="J65" i="5"/>
  <c r="AE65" i="5" s="1"/>
  <c r="L65" i="5"/>
  <c r="N65" i="5"/>
  <c r="P65" i="5"/>
  <c r="R65" i="5"/>
  <c r="U65" i="5"/>
  <c r="W65" i="5"/>
  <c r="X65" i="5" s="1"/>
  <c r="Y65" i="5"/>
  <c r="AB65" i="5"/>
  <c r="I73" i="7" s="1"/>
  <c r="AF65" i="5"/>
  <c r="A66" i="5"/>
  <c r="C66" i="5"/>
  <c r="F66" i="5"/>
  <c r="H66" i="5" s="1"/>
  <c r="J66" i="5"/>
  <c r="AE66" i="5" s="1"/>
  <c r="L66" i="5"/>
  <c r="N66" i="5"/>
  <c r="P66" i="5"/>
  <c r="R66" i="5"/>
  <c r="U66" i="5"/>
  <c r="W66" i="5"/>
  <c r="X66" i="5" s="1"/>
  <c r="Y66" i="5"/>
  <c r="AB66" i="5"/>
  <c r="I74" i="7" s="1"/>
  <c r="AF66" i="5"/>
  <c r="A67" i="5"/>
  <c r="C67" i="5"/>
  <c r="F67" i="5"/>
  <c r="H67" i="5" s="1"/>
  <c r="J67" i="5"/>
  <c r="AE67" i="5" s="1"/>
  <c r="L67" i="5"/>
  <c r="N67" i="5"/>
  <c r="P67" i="5"/>
  <c r="R67" i="5"/>
  <c r="U67" i="5"/>
  <c r="W67" i="5"/>
  <c r="X67" i="5" s="1"/>
  <c r="Y67" i="5"/>
  <c r="AB67" i="5"/>
  <c r="I75" i="7" s="1"/>
  <c r="AF67" i="5"/>
  <c r="A68" i="5"/>
  <c r="C68" i="5"/>
  <c r="F68" i="5"/>
  <c r="H68" i="5" s="1"/>
  <c r="J68" i="5"/>
  <c r="AE68" i="5" s="1"/>
  <c r="L68" i="5"/>
  <c r="N68" i="5"/>
  <c r="P68" i="5"/>
  <c r="R68" i="5"/>
  <c r="U68" i="5"/>
  <c r="W68" i="5"/>
  <c r="Y68" i="5"/>
  <c r="AB68" i="5"/>
  <c r="I76" i="7" s="1"/>
  <c r="AF68" i="5"/>
  <c r="A69" i="5"/>
  <c r="C69" i="5"/>
  <c r="F69" i="5"/>
  <c r="H69" i="5" s="1"/>
  <c r="J69" i="5"/>
  <c r="AE69" i="5" s="1"/>
  <c r="L69" i="5"/>
  <c r="N69" i="5"/>
  <c r="P69" i="5"/>
  <c r="R69" i="5"/>
  <c r="U69" i="5"/>
  <c r="W69" i="5"/>
  <c r="X69" i="5" s="1"/>
  <c r="Y69" i="5"/>
  <c r="AB69" i="5"/>
  <c r="I77" i="7" s="1"/>
  <c r="AF69" i="5"/>
  <c r="A70" i="5"/>
  <c r="C70" i="5"/>
  <c r="F70" i="5"/>
  <c r="H70" i="5" s="1"/>
  <c r="J70" i="5"/>
  <c r="AE70" i="5" s="1"/>
  <c r="L70" i="5"/>
  <c r="N70" i="5"/>
  <c r="P70" i="5"/>
  <c r="R70" i="5"/>
  <c r="U70" i="5"/>
  <c r="W70" i="5"/>
  <c r="Y70" i="5"/>
  <c r="AB70" i="5"/>
  <c r="I78" i="7" s="1"/>
  <c r="AF70" i="5"/>
  <c r="A71" i="5"/>
  <c r="C71" i="5"/>
  <c r="F71" i="5"/>
  <c r="H71" i="5" s="1"/>
  <c r="J71" i="5"/>
  <c r="AE71" i="5" s="1"/>
  <c r="L71" i="5"/>
  <c r="N71" i="5"/>
  <c r="P71" i="5"/>
  <c r="R71" i="5"/>
  <c r="U71" i="5"/>
  <c r="W71" i="5"/>
  <c r="X71" i="5" s="1"/>
  <c r="Y71" i="5"/>
  <c r="AB71" i="5"/>
  <c r="I79" i="7" s="1"/>
  <c r="AF71" i="5"/>
  <c r="A72" i="5"/>
  <c r="C72" i="5"/>
  <c r="F72" i="5"/>
  <c r="H72" i="5" s="1"/>
  <c r="J72" i="5"/>
  <c r="AE72" i="5" s="1"/>
  <c r="L72" i="5"/>
  <c r="N72" i="5"/>
  <c r="P72" i="5"/>
  <c r="R72" i="5"/>
  <c r="U72" i="5"/>
  <c r="W72" i="5"/>
  <c r="Y72" i="5"/>
  <c r="AB72" i="5"/>
  <c r="I80" i="7" s="1"/>
  <c r="AF72" i="5"/>
  <c r="A73" i="5"/>
  <c r="C73" i="5"/>
  <c r="F73" i="5"/>
  <c r="H73" i="5" s="1"/>
  <c r="J73" i="5"/>
  <c r="AE73" i="5" s="1"/>
  <c r="L73" i="5"/>
  <c r="N73" i="5"/>
  <c r="P73" i="5"/>
  <c r="R73" i="5"/>
  <c r="U73" i="5"/>
  <c r="W73" i="5"/>
  <c r="X73" i="5" s="1"/>
  <c r="Y73" i="5"/>
  <c r="AB73" i="5"/>
  <c r="I81" i="7" s="1"/>
  <c r="AF73" i="5"/>
  <c r="A74" i="5"/>
  <c r="C74" i="5"/>
  <c r="F74" i="5"/>
  <c r="H74" i="5" s="1"/>
  <c r="J74" i="5"/>
  <c r="AE74" i="5" s="1"/>
  <c r="L74" i="5"/>
  <c r="N74" i="5"/>
  <c r="P74" i="5"/>
  <c r="R74" i="5"/>
  <c r="U74" i="5"/>
  <c r="W74" i="5"/>
  <c r="X74" i="5" s="1"/>
  <c r="Y74" i="5"/>
  <c r="AB74" i="5"/>
  <c r="I82" i="7" s="1"/>
  <c r="AF74" i="5"/>
  <c r="A75" i="5"/>
  <c r="C75" i="5"/>
  <c r="F75" i="5"/>
  <c r="H75" i="5" s="1"/>
  <c r="J75" i="5"/>
  <c r="AE75" i="5" s="1"/>
  <c r="L75" i="5"/>
  <c r="N75" i="5"/>
  <c r="P75" i="5"/>
  <c r="R75" i="5"/>
  <c r="U75" i="5"/>
  <c r="W75" i="5"/>
  <c r="X75" i="5" s="1"/>
  <c r="Y75" i="5"/>
  <c r="AB75" i="5"/>
  <c r="I83" i="7" s="1"/>
  <c r="AF75" i="5"/>
  <c r="A76" i="5"/>
  <c r="C76" i="5"/>
  <c r="F76" i="5"/>
  <c r="H76" i="5" s="1"/>
  <c r="J76" i="5"/>
  <c r="AE76" i="5" s="1"/>
  <c r="L76" i="5"/>
  <c r="N76" i="5"/>
  <c r="P76" i="5"/>
  <c r="R76" i="5"/>
  <c r="U76" i="5"/>
  <c r="W76" i="5"/>
  <c r="Y76" i="5"/>
  <c r="AB76" i="5"/>
  <c r="I84" i="7" s="1"/>
  <c r="AF76" i="5"/>
  <c r="A77" i="5"/>
  <c r="C77" i="5"/>
  <c r="F77" i="5"/>
  <c r="H77" i="5" s="1"/>
  <c r="J77" i="5"/>
  <c r="AE77" i="5" s="1"/>
  <c r="L77" i="5"/>
  <c r="N77" i="5"/>
  <c r="P77" i="5"/>
  <c r="R77" i="5"/>
  <c r="U77" i="5"/>
  <c r="W77" i="5"/>
  <c r="X77" i="5" s="1"/>
  <c r="Y77" i="5"/>
  <c r="AB77" i="5"/>
  <c r="I85" i="7" s="1"/>
  <c r="AF77" i="5"/>
  <c r="A78" i="5"/>
  <c r="C78" i="5"/>
  <c r="F78" i="5"/>
  <c r="H78" i="5" s="1"/>
  <c r="J78" i="5"/>
  <c r="AE78" i="5" s="1"/>
  <c r="L78" i="5"/>
  <c r="N78" i="5"/>
  <c r="P78" i="5"/>
  <c r="R78" i="5"/>
  <c r="U78" i="5"/>
  <c r="W78" i="5"/>
  <c r="X78" i="5" s="1"/>
  <c r="Y78" i="5"/>
  <c r="AB78" i="5"/>
  <c r="I86" i="7" s="1"/>
  <c r="AF78" i="5"/>
  <c r="A79" i="5"/>
  <c r="C79" i="5"/>
  <c r="F79" i="5"/>
  <c r="H79" i="5" s="1"/>
  <c r="J79" i="5"/>
  <c r="AE79" i="5" s="1"/>
  <c r="L79" i="5"/>
  <c r="N79" i="5"/>
  <c r="P79" i="5"/>
  <c r="R79" i="5"/>
  <c r="U79" i="5"/>
  <c r="W79" i="5"/>
  <c r="X79" i="5" s="1"/>
  <c r="Y79" i="5"/>
  <c r="AB79" i="5"/>
  <c r="I87" i="7" s="1"/>
  <c r="AF79" i="5"/>
  <c r="A80" i="5"/>
  <c r="C80" i="5"/>
  <c r="F80" i="5"/>
  <c r="H80" i="5" s="1"/>
  <c r="J80" i="5"/>
  <c r="AE80" i="5" s="1"/>
  <c r="L80" i="5"/>
  <c r="N80" i="5"/>
  <c r="P80" i="5"/>
  <c r="R80" i="5"/>
  <c r="U80" i="5"/>
  <c r="W80" i="5"/>
  <c r="Y80" i="5"/>
  <c r="AB80" i="5"/>
  <c r="I88" i="7" s="1"/>
  <c r="AF80" i="5"/>
  <c r="A81" i="5"/>
  <c r="C81" i="5"/>
  <c r="F81" i="5"/>
  <c r="H81" i="5" s="1"/>
  <c r="J81" i="5"/>
  <c r="AE81" i="5" s="1"/>
  <c r="L81" i="5"/>
  <c r="N81" i="5"/>
  <c r="P81" i="5"/>
  <c r="R81" i="5"/>
  <c r="U81" i="5"/>
  <c r="W81" i="5"/>
  <c r="X81" i="5" s="1"/>
  <c r="Y81" i="5"/>
  <c r="AB81" i="5"/>
  <c r="I89" i="7" s="1"/>
  <c r="AF81" i="5"/>
  <c r="A82" i="5"/>
  <c r="C82" i="5"/>
  <c r="F82" i="5"/>
  <c r="H82" i="5" s="1"/>
  <c r="J82" i="5"/>
  <c r="AE82" i="5" s="1"/>
  <c r="L82" i="5"/>
  <c r="N82" i="5"/>
  <c r="P82" i="5"/>
  <c r="R82" i="5"/>
  <c r="U82" i="5"/>
  <c r="W82" i="5"/>
  <c r="X82" i="5" s="1"/>
  <c r="Y82" i="5"/>
  <c r="AB82" i="5"/>
  <c r="I90" i="7" s="1"/>
  <c r="AF82" i="5"/>
  <c r="A83" i="5"/>
  <c r="C83" i="5"/>
  <c r="F83" i="5"/>
  <c r="H83" i="5" s="1"/>
  <c r="J83" i="5"/>
  <c r="AE83" i="5" s="1"/>
  <c r="L83" i="5"/>
  <c r="N83" i="5"/>
  <c r="P83" i="5"/>
  <c r="R83" i="5"/>
  <c r="U83" i="5"/>
  <c r="W83" i="5"/>
  <c r="X83" i="5" s="1"/>
  <c r="Y83" i="5"/>
  <c r="AB83" i="5"/>
  <c r="I91" i="7" s="1"/>
  <c r="AF83" i="5"/>
  <c r="A84" i="5"/>
  <c r="C84" i="5"/>
  <c r="F84" i="5"/>
  <c r="H84" i="5" s="1"/>
  <c r="J84" i="5"/>
  <c r="AE84" i="5" s="1"/>
  <c r="L84" i="5"/>
  <c r="N84" i="5"/>
  <c r="P84" i="5"/>
  <c r="R84" i="5"/>
  <c r="U84" i="5"/>
  <c r="W84" i="5"/>
  <c r="X84" i="5" s="1"/>
  <c r="Y84" i="5"/>
  <c r="AB84" i="5"/>
  <c r="I92" i="7" s="1"/>
  <c r="AF84" i="5"/>
  <c r="A85" i="5"/>
  <c r="C85" i="5"/>
  <c r="F85" i="5"/>
  <c r="H85" i="5" s="1"/>
  <c r="J85" i="5"/>
  <c r="AE85" i="5" s="1"/>
  <c r="L85" i="5"/>
  <c r="N85" i="5"/>
  <c r="P85" i="5"/>
  <c r="R85" i="5"/>
  <c r="U85" i="5"/>
  <c r="W85" i="5"/>
  <c r="X85" i="5" s="1"/>
  <c r="Y85" i="5"/>
  <c r="AB85" i="5"/>
  <c r="I93" i="7" s="1"/>
  <c r="AF85" i="5"/>
  <c r="A86" i="5"/>
  <c r="C86" i="5"/>
  <c r="F86" i="5"/>
  <c r="H86" i="5" s="1"/>
  <c r="J86" i="5"/>
  <c r="AE86" i="5" s="1"/>
  <c r="L86" i="5"/>
  <c r="N86" i="5"/>
  <c r="P86" i="5"/>
  <c r="R86" i="5"/>
  <c r="U86" i="5"/>
  <c r="W86" i="5"/>
  <c r="X86" i="5" s="1"/>
  <c r="Y86" i="5"/>
  <c r="AB86" i="5"/>
  <c r="I94" i="7" s="1"/>
  <c r="AF86" i="5"/>
  <c r="A87" i="5"/>
  <c r="C87" i="5"/>
  <c r="F87" i="5"/>
  <c r="H87" i="5" s="1"/>
  <c r="J87" i="5"/>
  <c r="AE87" i="5" s="1"/>
  <c r="L87" i="5"/>
  <c r="N87" i="5"/>
  <c r="P87" i="5"/>
  <c r="R87" i="5"/>
  <c r="U87" i="5"/>
  <c r="W87" i="5"/>
  <c r="X87" i="5" s="1"/>
  <c r="Y87" i="5"/>
  <c r="AB87" i="5"/>
  <c r="I95" i="7" s="1"/>
  <c r="AF87" i="5"/>
  <c r="A88" i="5"/>
  <c r="C88" i="5"/>
  <c r="F88" i="5"/>
  <c r="H88" i="5" s="1"/>
  <c r="J88" i="5"/>
  <c r="AE88" i="5" s="1"/>
  <c r="L88" i="5"/>
  <c r="N88" i="5"/>
  <c r="P88" i="5"/>
  <c r="R88" i="5"/>
  <c r="U88" i="5"/>
  <c r="W88" i="5"/>
  <c r="Y88" i="5"/>
  <c r="AB88" i="5"/>
  <c r="I96" i="7" s="1"/>
  <c r="AF88" i="5"/>
  <c r="A89" i="5"/>
  <c r="C89" i="5"/>
  <c r="F89" i="5"/>
  <c r="H89" i="5" s="1"/>
  <c r="J89" i="5"/>
  <c r="AE89" i="5" s="1"/>
  <c r="L89" i="5"/>
  <c r="N89" i="5"/>
  <c r="P89" i="5"/>
  <c r="R89" i="5"/>
  <c r="U89" i="5"/>
  <c r="W89" i="5"/>
  <c r="X89" i="5" s="1"/>
  <c r="Y89" i="5"/>
  <c r="AB89" i="5"/>
  <c r="I97" i="7" s="1"/>
  <c r="AF89" i="5"/>
  <c r="A90" i="5"/>
  <c r="C90" i="5"/>
  <c r="F90" i="5"/>
  <c r="H90" i="5" s="1"/>
  <c r="J90" i="5"/>
  <c r="AE90" i="5" s="1"/>
  <c r="L90" i="5"/>
  <c r="N90" i="5"/>
  <c r="P90" i="5"/>
  <c r="R90" i="5"/>
  <c r="U90" i="5"/>
  <c r="W90" i="5"/>
  <c r="X90" i="5" s="1"/>
  <c r="Y90" i="5"/>
  <c r="AB90" i="5"/>
  <c r="I98" i="7" s="1"/>
  <c r="AF90" i="5"/>
  <c r="A91" i="5"/>
  <c r="C91" i="5"/>
  <c r="F91" i="5"/>
  <c r="H91" i="5" s="1"/>
  <c r="J91" i="5"/>
  <c r="AE91" i="5" s="1"/>
  <c r="L91" i="5"/>
  <c r="N91" i="5"/>
  <c r="P91" i="5"/>
  <c r="R91" i="5"/>
  <c r="U91" i="5"/>
  <c r="W91" i="5"/>
  <c r="X91" i="5" s="1"/>
  <c r="Y91" i="5"/>
  <c r="AB91" i="5"/>
  <c r="I99" i="7" s="1"/>
  <c r="AF91" i="5"/>
  <c r="A92" i="5"/>
  <c r="C92" i="5"/>
  <c r="F92" i="5"/>
  <c r="H92" i="5" s="1"/>
  <c r="J92" i="5"/>
  <c r="AE92" i="5" s="1"/>
  <c r="L92" i="5"/>
  <c r="N92" i="5"/>
  <c r="P92" i="5"/>
  <c r="R92" i="5"/>
  <c r="U92" i="5"/>
  <c r="W92" i="5"/>
  <c r="Y92" i="5"/>
  <c r="AB92" i="5"/>
  <c r="I100" i="7" s="1"/>
  <c r="AF92" i="5"/>
  <c r="A93" i="5"/>
  <c r="C93" i="5"/>
  <c r="F93" i="5"/>
  <c r="H93" i="5" s="1"/>
  <c r="J93" i="5"/>
  <c r="AE93" i="5" s="1"/>
  <c r="L93" i="5"/>
  <c r="N93" i="5"/>
  <c r="P93" i="5"/>
  <c r="R93" i="5"/>
  <c r="U93" i="5"/>
  <c r="W93" i="5"/>
  <c r="X93" i="5" s="1"/>
  <c r="Y93" i="5"/>
  <c r="AB93" i="5"/>
  <c r="I101" i="7" s="1"/>
  <c r="AF93" i="5"/>
  <c r="A94" i="5"/>
  <c r="C94" i="5"/>
  <c r="F94" i="5"/>
  <c r="H94" i="5" s="1"/>
  <c r="J94" i="5"/>
  <c r="AE94" i="5" s="1"/>
  <c r="L94" i="5"/>
  <c r="N94" i="5"/>
  <c r="P94" i="5"/>
  <c r="R94" i="5"/>
  <c r="U94" i="5"/>
  <c r="W94" i="5"/>
  <c r="Y94" i="5"/>
  <c r="AB94" i="5"/>
  <c r="I102" i="7" s="1"/>
  <c r="AF94" i="5"/>
  <c r="A95" i="5"/>
  <c r="C95" i="5"/>
  <c r="F95" i="5"/>
  <c r="H95" i="5" s="1"/>
  <c r="J95" i="5"/>
  <c r="AE95" i="5" s="1"/>
  <c r="L95" i="5"/>
  <c r="N95" i="5"/>
  <c r="P95" i="5"/>
  <c r="R95" i="5"/>
  <c r="U95" i="5"/>
  <c r="W95" i="5"/>
  <c r="X95" i="5" s="1"/>
  <c r="Y95" i="5"/>
  <c r="AB95" i="5"/>
  <c r="I103" i="7" s="1"/>
  <c r="AF95" i="5"/>
  <c r="A96" i="5"/>
  <c r="C96" i="5"/>
  <c r="F96" i="5"/>
  <c r="H96" i="5" s="1"/>
  <c r="J96" i="5"/>
  <c r="AE96" i="5" s="1"/>
  <c r="L96" i="5"/>
  <c r="N96" i="5"/>
  <c r="P96" i="5"/>
  <c r="R96" i="5"/>
  <c r="U96" i="5"/>
  <c r="W96" i="5"/>
  <c r="Y96" i="5"/>
  <c r="AB96" i="5"/>
  <c r="I104" i="7" s="1"/>
  <c r="AF96" i="5"/>
  <c r="A97" i="5"/>
  <c r="C97" i="5"/>
  <c r="F97" i="5"/>
  <c r="H97" i="5" s="1"/>
  <c r="J97" i="5"/>
  <c r="AE97" i="5" s="1"/>
  <c r="L97" i="5"/>
  <c r="N97" i="5"/>
  <c r="P97" i="5"/>
  <c r="R97" i="5"/>
  <c r="U97" i="5"/>
  <c r="W97" i="5"/>
  <c r="X97" i="5" s="1"/>
  <c r="Y97" i="5"/>
  <c r="AB97" i="5"/>
  <c r="I105" i="7" s="1"/>
  <c r="AF97" i="5"/>
  <c r="A98" i="5"/>
  <c r="C98" i="5"/>
  <c r="F98" i="5"/>
  <c r="H98" i="5" s="1"/>
  <c r="J98" i="5"/>
  <c r="AE98" i="5" s="1"/>
  <c r="L98" i="5"/>
  <c r="N98" i="5"/>
  <c r="P98" i="5"/>
  <c r="R98" i="5"/>
  <c r="U98" i="5"/>
  <c r="W98" i="5"/>
  <c r="X98" i="5" s="1"/>
  <c r="Y98" i="5"/>
  <c r="AB98" i="5"/>
  <c r="I106" i="7" s="1"/>
  <c r="AF98" i="5"/>
  <c r="A99" i="5"/>
  <c r="C99" i="5"/>
  <c r="F99" i="5"/>
  <c r="H99" i="5" s="1"/>
  <c r="J99" i="5"/>
  <c r="AE99" i="5" s="1"/>
  <c r="L99" i="5"/>
  <c r="N99" i="5"/>
  <c r="P99" i="5"/>
  <c r="R99" i="5"/>
  <c r="U99" i="5"/>
  <c r="W99" i="5"/>
  <c r="X99" i="5" s="1"/>
  <c r="Y99" i="5"/>
  <c r="AB99" i="5"/>
  <c r="I107" i="7" s="1"/>
  <c r="AF99" i="5"/>
  <c r="A100" i="5"/>
  <c r="C100" i="5"/>
  <c r="F100" i="5"/>
  <c r="H100" i="5" s="1"/>
  <c r="J100" i="5"/>
  <c r="AE100" i="5" s="1"/>
  <c r="L100" i="5"/>
  <c r="N100" i="5"/>
  <c r="P100" i="5"/>
  <c r="R100" i="5"/>
  <c r="U100" i="5"/>
  <c r="W100" i="5"/>
  <c r="Y100" i="5"/>
  <c r="AB100" i="5"/>
  <c r="I108" i="7" s="1"/>
  <c r="AF100" i="5"/>
  <c r="A101" i="5"/>
  <c r="C101" i="5"/>
  <c r="F101" i="5"/>
  <c r="H101" i="5" s="1"/>
  <c r="J101" i="5"/>
  <c r="AE101" i="5" s="1"/>
  <c r="L101" i="5"/>
  <c r="N101" i="5"/>
  <c r="P101" i="5"/>
  <c r="R101" i="5"/>
  <c r="U101" i="5"/>
  <c r="W101" i="5"/>
  <c r="X101" i="5" s="1"/>
  <c r="Y101" i="5"/>
  <c r="AB101" i="5"/>
  <c r="I109" i="7" s="1"/>
  <c r="AF101" i="5"/>
  <c r="A102" i="5"/>
  <c r="C102" i="5"/>
  <c r="F102" i="5"/>
  <c r="H102" i="5" s="1"/>
  <c r="J102" i="5"/>
  <c r="AE102" i="5" s="1"/>
  <c r="L102" i="5"/>
  <c r="N102" i="5"/>
  <c r="P102" i="5"/>
  <c r="R102" i="5"/>
  <c r="U102" i="5"/>
  <c r="W102" i="5"/>
  <c r="X102" i="5" s="1"/>
  <c r="Y102" i="5"/>
  <c r="AB102" i="5"/>
  <c r="I110" i="7" s="1"/>
  <c r="AF102" i="5"/>
  <c r="A103" i="5"/>
  <c r="C103" i="5"/>
  <c r="F103" i="5"/>
  <c r="H103" i="5" s="1"/>
  <c r="J103" i="5"/>
  <c r="AE103" i="5" s="1"/>
  <c r="L103" i="5"/>
  <c r="N103" i="5"/>
  <c r="P103" i="5"/>
  <c r="R103" i="5"/>
  <c r="U103" i="5"/>
  <c r="W103" i="5"/>
  <c r="X103" i="5" s="1"/>
  <c r="Y103" i="5"/>
  <c r="AB103" i="5"/>
  <c r="I111" i="7" s="1"/>
  <c r="AF103" i="5"/>
  <c r="A104" i="5"/>
  <c r="C104" i="5"/>
  <c r="F104" i="5"/>
  <c r="H104" i="5" s="1"/>
  <c r="J104" i="5"/>
  <c r="AE104" i="5" s="1"/>
  <c r="L104" i="5"/>
  <c r="N104" i="5"/>
  <c r="P104" i="5"/>
  <c r="R104" i="5"/>
  <c r="U104" i="5"/>
  <c r="W104" i="5"/>
  <c r="Y104" i="5"/>
  <c r="AB104" i="5"/>
  <c r="I112" i="7" s="1"/>
  <c r="AF104" i="5"/>
  <c r="A105" i="5"/>
  <c r="C105" i="5"/>
  <c r="F105" i="5"/>
  <c r="H105" i="5" s="1"/>
  <c r="J105" i="5"/>
  <c r="AE105" i="5" s="1"/>
  <c r="L105" i="5"/>
  <c r="N105" i="5"/>
  <c r="P105" i="5"/>
  <c r="R105" i="5"/>
  <c r="U105" i="5"/>
  <c r="W105" i="5"/>
  <c r="X105" i="5" s="1"/>
  <c r="Y105" i="5"/>
  <c r="AB105" i="5"/>
  <c r="I113" i="7" s="1"/>
  <c r="AF105" i="5"/>
  <c r="A106" i="5"/>
  <c r="C106" i="5"/>
  <c r="F106" i="5"/>
  <c r="H106" i="5" s="1"/>
  <c r="J106" i="5"/>
  <c r="AE106" i="5" s="1"/>
  <c r="L106" i="5"/>
  <c r="N106" i="5"/>
  <c r="P106" i="5"/>
  <c r="R106" i="5"/>
  <c r="U106" i="5"/>
  <c r="W106" i="5"/>
  <c r="X106" i="5" s="1"/>
  <c r="Y106" i="5"/>
  <c r="AB106" i="5"/>
  <c r="I114" i="7" s="1"/>
  <c r="AF106" i="5"/>
  <c r="A107" i="5"/>
  <c r="C107" i="5"/>
  <c r="F107" i="5"/>
  <c r="H107" i="5" s="1"/>
  <c r="J107" i="5"/>
  <c r="AE107" i="5" s="1"/>
  <c r="L107" i="5"/>
  <c r="N107" i="5"/>
  <c r="P107" i="5"/>
  <c r="R107" i="5"/>
  <c r="U107" i="5"/>
  <c r="W107" i="5"/>
  <c r="X107" i="5" s="1"/>
  <c r="Y107" i="5"/>
  <c r="AB107" i="5"/>
  <c r="I115" i="7" s="1"/>
  <c r="AF107" i="5"/>
  <c r="A108" i="5"/>
  <c r="C108" i="5"/>
  <c r="F108" i="5"/>
  <c r="H108" i="5" s="1"/>
  <c r="J108" i="5"/>
  <c r="AE108" i="5" s="1"/>
  <c r="L108" i="5"/>
  <c r="N108" i="5"/>
  <c r="P108" i="5"/>
  <c r="R108" i="5"/>
  <c r="U108" i="5"/>
  <c r="W108" i="5"/>
  <c r="X108" i="5" s="1"/>
  <c r="Y108" i="5"/>
  <c r="AB108" i="5"/>
  <c r="I116" i="7" s="1"/>
  <c r="AF108" i="5"/>
  <c r="A109" i="5"/>
  <c r="C109" i="5"/>
  <c r="F109" i="5"/>
  <c r="H109" i="5" s="1"/>
  <c r="J109" i="5"/>
  <c r="AE109" i="5" s="1"/>
  <c r="L109" i="5"/>
  <c r="N109" i="5"/>
  <c r="P109" i="5"/>
  <c r="R109" i="5"/>
  <c r="U109" i="5"/>
  <c r="W109" i="5"/>
  <c r="X109" i="5" s="1"/>
  <c r="Y109" i="5"/>
  <c r="AB109" i="5"/>
  <c r="I117" i="7" s="1"/>
  <c r="AF109" i="5"/>
  <c r="A110" i="5"/>
  <c r="C110" i="5"/>
  <c r="F110" i="5"/>
  <c r="H110" i="5" s="1"/>
  <c r="J110" i="5"/>
  <c r="AE110" i="5" s="1"/>
  <c r="L110" i="5"/>
  <c r="N110" i="5"/>
  <c r="P110" i="5"/>
  <c r="R110" i="5"/>
  <c r="U110" i="5"/>
  <c r="W110" i="5"/>
  <c r="X110" i="5" s="1"/>
  <c r="Y110" i="5"/>
  <c r="AB110" i="5"/>
  <c r="I118" i="7" s="1"/>
  <c r="AF110" i="5"/>
  <c r="A111" i="5"/>
  <c r="C111" i="5"/>
  <c r="F111" i="5"/>
  <c r="H111" i="5" s="1"/>
  <c r="J111" i="5"/>
  <c r="AE111" i="5" s="1"/>
  <c r="L111" i="5"/>
  <c r="N111" i="5"/>
  <c r="P111" i="5"/>
  <c r="R111" i="5"/>
  <c r="U111" i="5"/>
  <c r="W111" i="5"/>
  <c r="X111" i="5" s="1"/>
  <c r="Y111" i="5"/>
  <c r="AB111" i="5"/>
  <c r="I119" i="7" s="1"/>
  <c r="AF111" i="5"/>
  <c r="A112" i="5"/>
  <c r="C112" i="5"/>
  <c r="F112" i="5"/>
  <c r="H112" i="5" s="1"/>
  <c r="J112" i="5"/>
  <c r="AE112" i="5" s="1"/>
  <c r="L112" i="5"/>
  <c r="N112" i="5"/>
  <c r="P112" i="5"/>
  <c r="R112" i="5"/>
  <c r="U112" i="5"/>
  <c r="W112" i="5"/>
  <c r="Y112" i="5"/>
  <c r="AB112" i="5"/>
  <c r="I120" i="7" s="1"/>
  <c r="AF112" i="5"/>
  <c r="A113" i="5"/>
  <c r="C113" i="5"/>
  <c r="F113" i="5"/>
  <c r="H113" i="5" s="1"/>
  <c r="J113" i="5"/>
  <c r="AE113" i="5" s="1"/>
  <c r="L113" i="5"/>
  <c r="N113" i="5"/>
  <c r="P113" i="5"/>
  <c r="R113" i="5"/>
  <c r="U113" i="5"/>
  <c r="W113" i="5"/>
  <c r="X113" i="5" s="1"/>
  <c r="Y113" i="5"/>
  <c r="AB113" i="5"/>
  <c r="I121" i="7" s="1"/>
  <c r="AF113" i="5"/>
  <c r="A114" i="5"/>
  <c r="C114" i="5"/>
  <c r="F114" i="5"/>
  <c r="H114" i="5" s="1"/>
  <c r="J114" i="5"/>
  <c r="AE114" i="5" s="1"/>
  <c r="L114" i="5"/>
  <c r="N114" i="5"/>
  <c r="P114" i="5"/>
  <c r="R114" i="5"/>
  <c r="U114" i="5"/>
  <c r="W114" i="5"/>
  <c r="Y114" i="5"/>
  <c r="AB114" i="5"/>
  <c r="I122" i="7" s="1"/>
  <c r="AF114" i="5"/>
  <c r="A115" i="5"/>
  <c r="C115" i="5"/>
  <c r="F115" i="5"/>
  <c r="H115" i="5" s="1"/>
  <c r="J115" i="5"/>
  <c r="AE115" i="5" s="1"/>
  <c r="L115" i="5"/>
  <c r="N115" i="5"/>
  <c r="P115" i="5"/>
  <c r="R115" i="5"/>
  <c r="U115" i="5"/>
  <c r="W115" i="5"/>
  <c r="X115" i="5" s="1"/>
  <c r="Y115" i="5"/>
  <c r="AB115" i="5"/>
  <c r="I123" i="7" s="1"/>
  <c r="AF115" i="5"/>
  <c r="A116" i="5"/>
  <c r="C116" i="5"/>
  <c r="F116" i="5"/>
  <c r="H116" i="5" s="1"/>
  <c r="J116" i="5"/>
  <c r="AE116" i="5" s="1"/>
  <c r="L116" i="5"/>
  <c r="N116" i="5"/>
  <c r="P116" i="5"/>
  <c r="R116" i="5"/>
  <c r="U116" i="5"/>
  <c r="W116" i="5"/>
  <c r="Y116" i="5"/>
  <c r="AB116" i="5"/>
  <c r="I124" i="7" s="1"/>
  <c r="AF116" i="5"/>
  <c r="A117" i="5"/>
  <c r="C117" i="5"/>
  <c r="F117" i="5"/>
  <c r="H117" i="5" s="1"/>
  <c r="J117" i="5"/>
  <c r="AE117" i="5" s="1"/>
  <c r="L117" i="5"/>
  <c r="N117" i="5"/>
  <c r="P117" i="5"/>
  <c r="R117" i="5"/>
  <c r="U117" i="5"/>
  <c r="W117" i="5"/>
  <c r="X117" i="5" s="1"/>
  <c r="Y117" i="5"/>
  <c r="AB117" i="5"/>
  <c r="I125" i="7" s="1"/>
  <c r="AF117" i="5"/>
  <c r="A118" i="5"/>
  <c r="C118" i="5"/>
  <c r="F118" i="5"/>
  <c r="H118" i="5" s="1"/>
  <c r="J118" i="5"/>
  <c r="AE118" i="5" s="1"/>
  <c r="L118" i="5"/>
  <c r="N118" i="5"/>
  <c r="P118" i="5"/>
  <c r="R118" i="5"/>
  <c r="U118" i="5"/>
  <c r="W118" i="5"/>
  <c r="Y118" i="5"/>
  <c r="AB118" i="5"/>
  <c r="I126" i="7" s="1"/>
  <c r="AF118" i="5"/>
  <c r="A119" i="5"/>
  <c r="C119" i="5"/>
  <c r="F119" i="5"/>
  <c r="H119" i="5" s="1"/>
  <c r="J119" i="5"/>
  <c r="AE119" i="5" s="1"/>
  <c r="L119" i="5"/>
  <c r="N119" i="5"/>
  <c r="P119" i="5"/>
  <c r="R119" i="5"/>
  <c r="U119" i="5"/>
  <c r="W119" i="5"/>
  <c r="X119" i="5" s="1"/>
  <c r="Y119" i="5"/>
  <c r="AB119" i="5"/>
  <c r="I127" i="7" s="1"/>
  <c r="AF119" i="5"/>
  <c r="A120" i="5"/>
  <c r="C120" i="5"/>
  <c r="F120" i="5"/>
  <c r="H120" i="5" s="1"/>
  <c r="J120" i="5"/>
  <c r="AE120" i="5" s="1"/>
  <c r="L120" i="5"/>
  <c r="N120" i="5"/>
  <c r="P120" i="5"/>
  <c r="R120" i="5"/>
  <c r="U120" i="5"/>
  <c r="W120" i="5"/>
  <c r="Y120" i="5"/>
  <c r="AB120" i="5"/>
  <c r="I128" i="7" s="1"/>
  <c r="AF120" i="5"/>
  <c r="A121" i="5"/>
  <c r="C121" i="5"/>
  <c r="F121" i="5"/>
  <c r="H121" i="5" s="1"/>
  <c r="J121" i="5"/>
  <c r="AE121" i="5" s="1"/>
  <c r="L121" i="5"/>
  <c r="N121" i="5"/>
  <c r="P121" i="5"/>
  <c r="R121" i="5"/>
  <c r="U121" i="5"/>
  <c r="W121" i="5"/>
  <c r="X121" i="5" s="1"/>
  <c r="Y121" i="5"/>
  <c r="AB121" i="5"/>
  <c r="I129" i="7" s="1"/>
  <c r="AF121" i="5"/>
  <c r="A122" i="5"/>
  <c r="C122" i="5"/>
  <c r="F122" i="5"/>
  <c r="H122" i="5" s="1"/>
  <c r="J122" i="5"/>
  <c r="AE122" i="5" s="1"/>
  <c r="L122" i="5"/>
  <c r="N122" i="5"/>
  <c r="P122" i="5"/>
  <c r="R122" i="5"/>
  <c r="U122" i="5"/>
  <c r="W122" i="5"/>
  <c r="Y122" i="5"/>
  <c r="AB122" i="5"/>
  <c r="I130" i="7" s="1"/>
  <c r="AF122" i="5"/>
  <c r="A123" i="5"/>
  <c r="C123" i="5"/>
  <c r="F123" i="5"/>
  <c r="H123" i="5" s="1"/>
  <c r="J123" i="5"/>
  <c r="AE123" i="5" s="1"/>
  <c r="L123" i="5"/>
  <c r="N123" i="5"/>
  <c r="P123" i="5"/>
  <c r="R123" i="5"/>
  <c r="U123" i="5"/>
  <c r="W123" i="5"/>
  <c r="X123" i="5" s="1"/>
  <c r="Y123" i="5"/>
  <c r="AB123" i="5"/>
  <c r="I131" i="7" s="1"/>
  <c r="AF123" i="5"/>
  <c r="A124" i="5"/>
  <c r="C124" i="5"/>
  <c r="F124" i="5"/>
  <c r="H124" i="5" s="1"/>
  <c r="J124" i="5"/>
  <c r="AE124" i="5" s="1"/>
  <c r="L124" i="5"/>
  <c r="N124" i="5"/>
  <c r="P124" i="5"/>
  <c r="R124" i="5"/>
  <c r="U124" i="5"/>
  <c r="W124" i="5"/>
  <c r="Y124" i="5"/>
  <c r="AB124" i="5"/>
  <c r="I132" i="7" s="1"/>
  <c r="AF124" i="5"/>
  <c r="A125" i="5"/>
  <c r="C125" i="5"/>
  <c r="F125" i="5"/>
  <c r="H125" i="5" s="1"/>
  <c r="J125" i="5"/>
  <c r="AE125" i="5" s="1"/>
  <c r="L125" i="5"/>
  <c r="N125" i="5"/>
  <c r="P125" i="5"/>
  <c r="R125" i="5"/>
  <c r="U125" i="5"/>
  <c r="W125" i="5"/>
  <c r="X125" i="5" s="1"/>
  <c r="Y125" i="5"/>
  <c r="AB125" i="5"/>
  <c r="I133" i="7" s="1"/>
  <c r="AF125" i="5"/>
  <c r="A126" i="5"/>
  <c r="C126" i="5"/>
  <c r="F126" i="5"/>
  <c r="H126" i="5" s="1"/>
  <c r="J126" i="5"/>
  <c r="AE126" i="5" s="1"/>
  <c r="L126" i="5"/>
  <c r="N126" i="5"/>
  <c r="P126" i="5"/>
  <c r="R126" i="5"/>
  <c r="U126" i="5"/>
  <c r="W126" i="5"/>
  <c r="X126" i="5" s="1"/>
  <c r="Y126" i="5"/>
  <c r="AB126" i="5"/>
  <c r="I134" i="7" s="1"/>
  <c r="AF126" i="5"/>
  <c r="A127" i="5"/>
  <c r="C127" i="5"/>
  <c r="F127" i="5"/>
  <c r="H127" i="5" s="1"/>
  <c r="J127" i="5"/>
  <c r="AE127" i="5" s="1"/>
  <c r="L127" i="5"/>
  <c r="N127" i="5"/>
  <c r="P127" i="5"/>
  <c r="R127" i="5"/>
  <c r="U127" i="5"/>
  <c r="W127" i="5"/>
  <c r="X127" i="5" s="1"/>
  <c r="Y127" i="5"/>
  <c r="AB127" i="5"/>
  <c r="I135" i="7" s="1"/>
  <c r="AF127" i="5"/>
  <c r="A128" i="5"/>
  <c r="C128" i="5"/>
  <c r="F128" i="5"/>
  <c r="H128" i="5" s="1"/>
  <c r="J128" i="5"/>
  <c r="AE128" i="5" s="1"/>
  <c r="L128" i="5"/>
  <c r="N128" i="5"/>
  <c r="P128" i="5"/>
  <c r="R128" i="5"/>
  <c r="U128" i="5"/>
  <c r="W128" i="5"/>
  <c r="Y128" i="5"/>
  <c r="AB128" i="5"/>
  <c r="I136" i="7" s="1"/>
  <c r="AF128" i="5"/>
  <c r="A129" i="5"/>
  <c r="C129" i="5"/>
  <c r="F129" i="5"/>
  <c r="H129" i="5" s="1"/>
  <c r="J129" i="5"/>
  <c r="AE129" i="5" s="1"/>
  <c r="L129" i="5"/>
  <c r="N129" i="5"/>
  <c r="P129" i="5"/>
  <c r="R129" i="5"/>
  <c r="U129" i="5"/>
  <c r="W129" i="5"/>
  <c r="X129" i="5" s="1"/>
  <c r="Y129" i="5"/>
  <c r="AB129" i="5"/>
  <c r="I137" i="7" s="1"/>
  <c r="AF129" i="5"/>
  <c r="A130" i="5"/>
  <c r="C130" i="5"/>
  <c r="F130" i="5"/>
  <c r="H130" i="5" s="1"/>
  <c r="J130" i="5"/>
  <c r="AE130" i="5" s="1"/>
  <c r="L130" i="5"/>
  <c r="N130" i="5"/>
  <c r="P130" i="5"/>
  <c r="R130" i="5"/>
  <c r="U130" i="5"/>
  <c r="W130" i="5"/>
  <c r="X130" i="5" s="1"/>
  <c r="Y130" i="5"/>
  <c r="AB130" i="5"/>
  <c r="I138" i="7" s="1"/>
  <c r="AF130" i="5"/>
  <c r="A131" i="5"/>
  <c r="C131" i="5"/>
  <c r="F131" i="5"/>
  <c r="H131" i="5" s="1"/>
  <c r="J131" i="5"/>
  <c r="AE131" i="5" s="1"/>
  <c r="L131" i="5"/>
  <c r="N131" i="5"/>
  <c r="P131" i="5"/>
  <c r="R131" i="5"/>
  <c r="U131" i="5"/>
  <c r="W131" i="5"/>
  <c r="X131" i="5" s="1"/>
  <c r="Y131" i="5"/>
  <c r="AB131" i="5"/>
  <c r="I139" i="7" s="1"/>
  <c r="AF131" i="5"/>
  <c r="A132" i="5"/>
  <c r="C132" i="5"/>
  <c r="F132" i="5"/>
  <c r="H132" i="5" s="1"/>
  <c r="J132" i="5"/>
  <c r="AE132" i="5" s="1"/>
  <c r="L132" i="5"/>
  <c r="N132" i="5"/>
  <c r="P132" i="5"/>
  <c r="R132" i="5"/>
  <c r="U132" i="5"/>
  <c r="W132" i="5"/>
  <c r="X132" i="5" s="1"/>
  <c r="Y132" i="5"/>
  <c r="AB132" i="5"/>
  <c r="I140" i="7" s="1"/>
  <c r="AF132" i="5"/>
  <c r="A133" i="5"/>
  <c r="C133" i="5"/>
  <c r="F133" i="5"/>
  <c r="H133" i="5" s="1"/>
  <c r="J133" i="5"/>
  <c r="AE133" i="5" s="1"/>
  <c r="L133" i="5"/>
  <c r="N133" i="5"/>
  <c r="P133" i="5"/>
  <c r="R133" i="5"/>
  <c r="U133" i="5"/>
  <c r="W133" i="5"/>
  <c r="X133" i="5" s="1"/>
  <c r="Y133" i="5"/>
  <c r="AB133" i="5"/>
  <c r="I141" i="7" s="1"/>
  <c r="AF133" i="5"/>
  <c r="A134" i="5"/>
  <c r="C134" i="5"/>
  <c r="F134" i="5"/>
  <c r="H134" i="5" s="1"/>
  <c r="J134" i="5"/>
  <c r="AE134" i="5" s="1"/>
  <c r="L134" i="5"/>
  <c r="N134" i="5"/>
  <c r="P134" i="5"/>
  <c r="R134" i="5"/>
  <c r="U134" i="5"/>
  <c r="W134" i="5"/>
  <c r="X134" i="5" s="1"/>
  <c r="Y134" i="5"/>
  <c r="AB134" i="5"/>
  <c r="I142" i="7" s="1"/>
  <c r="AF134" i="5"/>
  <c r="A135" i="5"/>
  <c r="C135" i="5"/>
  <c r="F135" i="5"/>
  <c r="H135" i="5" s="1"/>
  <c r="J135" i="5"/>
  <c r="AE135" i="5" s="1"/>
  <c r="L135" i="5"/>
  <c r="N135" i="5"/>
  <c r="P135" i="5"/>
  <c r="R135" i="5"/>
  <c r="U135" i="5"/>
  <c r="W135" i="5"/>
  <c r="X135" i="5" s="1"/>
  <c r="Y135" i="5"/>
  <c r="AB135" i="5"/>
  <c r="I143" i="7" s="1"/>
  <c r="AF135" i="5"/>
  <c r="A136" i="5"/>
  <c r="C136" i="5"/>
  <c r="F136" i="5"/>
  <c r="H136" i="5" s="1"/>
  <c r="J136" i="5"/>
  <c r="AE136" i="5" s="1"/>
  <c r="L136" i="5"/>
  <c r="N136" i="5"/>
  <c r="P136" i="5"/>
  <c r="R136" i="5"/>
  <c r="U136" i="5"/>
  <c r="W136" i="5"/>
  <c r="Y136" i="5"/>
  <c r="AB136" i="5"/>
  <c r="I144" i="7" s="1"/>
  <c r="AF136" i="5"/>
  <c r="A137" i="5"/>
  <c r="C137" i="5"/>
  <c r="F137" i="5"/>
  <c r="H137" i="5" s="1"/>
  <c r="J137" i="5"/>
  <c r="AE137" i="5" s="1"/>
  <c r="L137" i="5"/>
  <c r="N137" i="5"/>
  <c r="P137" i="5"/>
  <c r="R137" i="5"/>
  <c r="U137" i="5"/>
  <c r="W137" i="5"/>
  <c r="X137" i="5" s="1"/>
  <c r="Y137" i="5"/>
  <c r="AB137" i="5"/>
  <c r="I145" i="7" s="1"/>
  <c r="AF137" i="5"/>
  <c r="A138" i="5"/>
  <c r="C138" i="5"/>
  <c r="F138" i="5"/>
  <c r="H138" i="5" s="1"/>
  <c r="J138" i="5"/>
  <c r="AE138" i="5" s="1"/>
  <c r="L138" i="5"/>
  <c r="N138" i="5"/>
  <c r="P138" i="5"/>
  <c r="R138" i="5"/>
  <c r="U138" i="5"/>
  <c r="W138" i="5"/>
  <c r="Y138" i="5"/>
  <c r="AB138" i="5"/>
  <c r="I146" i="7" s="1"/>
  <c r="AF138" i="5"/>
  <c r="A139" i="5"/>
  <c r="C139" i="5"/>
  <c r="F139" i="5"/>
  <c r="H139" i="5" s="1"/>
  <c r="J139" i="5"/>
  <c r="AE139" i="5" s="1"/>
  <c r="L139" i="5"/>
  <c r="N139" i="5"/>
  <c r="P139" i="5"/>
  <c r="R139" i="5"/>
  <c r="U139" i="5"/>
  <c r="W139" i="5"/>
  <c r="X139" i="5" s="1"/>
  <c r="Y139" i="5"/>
  <c r="AB139" i="5"/>
  <c r="I147" i="7" s="1"/>
  <c r="AF139" i="5"/>
  <c r="A140" i="5"/>
  <c r="C140" i="5"/>
  <c r="F140" i="5"/>
  <c r="H140" i="5" s="1"/>
  <c r="J140" i="5"/>
  <c r="AE140" i="5" s="1"/>
  <c r="L140" i="5"/>
  <c r="N140" i="5"/>
  <c r="P140" i="5"/>
  <c r="R140" i="5"/>
  <c r="U140" i="5"/>
  <c r="W140" i="5"/>
  <c r="Y140" i="5"/>
  <c r="AB140" i="5"/>
  <c r="I148" i="7" s="1"/>
  <c r="AF140" i="5"/>
  <c r="A141" i="5"/>
  <c r="C141" i="5"/>
  <c r="F141" i="5"/>
  <c r="H141" i="5" s="1"/>
  <c r="J141" i="5"/>
  <c r="AE141" i="5" s="1"/>
  <c r="L141" i="5"/>
  <c r="N141" i="5"/>
  <c r="P141" i="5"/>
  <c r="R141" i="5"/>
  <c r="U141" i="5"/>
  <c r="W141" i="5"/>
  <c r="X141" i="5" s="1"/>
  <c r="Y141" i="5"/>
  <c r="AB141" i="5"/>
  <c r="I149" i="7" s="1"/>
  <c r="AF141" i="5"/>
  <c r="A142" i="5"/>
  <c r="C142" i="5"/>
  <c r="F142" i="5"/>
  <c r="H142" i="5" s="1"/>
  <c r="J142" i="5"/>
  <c r="AE142" i="5" s="1"/>
  <c r="L142" i="5"/>
  <c r="N142" i="5"/>
  <c r="P142" i="5"/>
  <c r="R142" i="5"/>
  <c r="U142" i="5"/>
  <c r="W142" i="5"/>
  <c r="X142" i="5" s="1"/>
  <c r="Y142" i="5"/>
  <c r="AB142" i="5"/>
  <c r="I150" i="7" s="1"/>
  <c r="AF142" i="5"/>
  <c r="A143" i="5"/>
  <c r="C143" i="5"/>
  <c r="F143" i="5"/>
  <c r="H143" i="5" s="1"/>
  <c r="J143" i="5"/>
  <c r="AE143" i="5" s="1"/>
  <c r="L143" i="5"/>
  <c r="N143" i="5"/>
  <c r="P143" i="5"/>
  <c r="R143" i="5"/>
  <c r="U143" i="5"/>
  <c r="W143" i="5"/>
  <c r="X143" i="5" s="1"/>
  <c r="Y143" i="5"/>
  <c r="AB143" i="5"/>
  <c r="I151" i="7" s="1"/>
  <c r="AF143" i="5"/>
  <c r="A144" i="5"/>
  <c r="C144" i="5"/>
  <c r="F144" i="5"/>
  <c r="H144" i="5" s="1"/>
  <c r="J144" i="5"/>
  <c r="AE144" i="5" s="1"/>
  <c r="L144" i="5"/>
  <c r="N144" i="5"/>
  <c r="P144" i="5"/>
  <c r="R144" i="5"/>
  <c r="U144" i="5"/>
  <c r="W144" i="5"/>
  <c r="Y144" i="5"/>
  <c r="AB144" i="5"/>
  <c r="I152" i="7" s="1"/>
  <c r="AF144" i="5"/>
  <c r="A145" i="5"/>
  <c r="C145" i="5"/>
  <c r="F145" i="5"/>
  <c r="H145" i="5" s="1"/>
  <c r="J145" i="5"/>
  <c r="AE145" i="5" s="1"/>
  <c r="L145" i="5"/>
  <c r="N145" i="5"/>
  <c r="P145" i="5"/>
  <c r="R145" i="5"/>
  <c r="U145" i="5"/>
  <c r="W145" i="5"/>
  <c r="X145" i="5" s="1"/>
  <c r="Y145" i="5"/>
  <c r="AB145" i="5"/>
  <c r="I153" i="7" s="1"/>
  <c r="AF145" i="5"/>
  <c r="A146" i="5"/>
  <c r="C146" i="5"/>
  <c r="F146" i="5"/>
  <c r="H146" i="5" s="1"/>
  <c r="J146" i="5"/>
  <c r="AE146" i="5" s="1"/>
  <c r="L146" i="5"/>
  <c r="N146" i="5"/>
  <c r="P146" i="5"/>
  <c r="R146" i="5"/>
  <c r="U146" i="5"/>
  <c r="W146" i="5"/>
  <c r="Y146" i="5"/>
  <c r="AB146" i="5"/>
  <c r="I154" i="7" s="1"/>
  <c r="AF146" i="5"/>
  <c r="A147" i="5"/>
  <c r="C147" i="5"/>
  <c r="F147" i="5"/>
  <c r="H147" i="5" s="1"/>
  <c r="J147" i="5"/>
  <c r="AE147" i="5" s="1"/>
  <c r="L147" i="5"/>
  <c r="N147" i="5"/>
  <c r="P147" i="5"/>
  <c r="R147" i="5"/>
  <c r="U147" i="5"/>
  <c r="W147" i="5"/>
  <c r="X147" i="5" s="1"/>
  <c r="Y147" i="5"/>
  <c r="AB147" i="5"/>
  <c r="I155" i="7" s="1"/>
  <c r="AF147" i="5"/>
  <c r="A148" i="5"/>
  <c r="C148" i="5"/>
  <c r="F148" i="5"/>
  <c r="H148" i="5" s="1"/>
  <c r="J148" i="5"/>
  <c r="AE148" i="5" s="1"/>
  <c r="L148" i="5"/>
  <c r="N148" i="5"/>
  <c r="P148" i="5"/>
  <c r="R148" i="5"/>
  <c r="U148" i="5"/>
  <c r="W148" i="5"/>
  <c r="Y148" i="5"/>
  <c r="AB148" i="5"/>
  <c r="I156" i="7" s="1"/>
  <c r="AF148" i="5"/>
  <c r="A149" i="5"/>
  <c r="C149" i="5"/>
  <c r="F149" i="5"/>
  <c r="H149" i="5" s="1"/>
  <c r="J149" i="5"/>
  <c r="AE149" i="5" s="1"/>
  <c r="L149" i="5"/>
  <c r="N149" i="5"/>
  <c r="P149" i="5"/>
  <c r="R149" i="5"/>
  <c r="U149" i="5"/>
  <c r="W149" i="5"/>
  <c r="X149" i="5" s="1"/>
  <c r="Y149" i="5"/>
  <c r="AB149" i="5"/>
  <c r="I157" i="7" s="1"/>
  <c r="AF149" i="5"/>
  <c r="A150" i="5"/>
  <c r="C150" i="5"/>
  <c r="F150" i="5"/>
  <c r="H150" i="5" s="1"/>
  <c r="J150" i="5"/>
  <c r="AE150" i="5" s="1"/>
  <c r="L150" i="5"/>
  <c r="N150" i="5"/>
  <c r="P150" i="5"/>
  <c r="R150" i="5"/>
  <c r="U150" i="5"/>
  <c r="W150" i="5"/>
  <c r="X150" i="5" s="1"/>
  <c r="Y150" i="5"/>
  <c r="AB150" i="5"/>
  <c r="I158" i="7" s="1"/>
  <c r="AF150" i="5"/>
  <c r="A151" i="5"/>
  <c r="C151" i="5"/>
  <c r="F151" i="5"/>
  <c r="H151" i="5" s="1"/>
  <c r="J151" i="5"/>
  <c r="AE151" i="5" s="1"/>
  <c r="L151" i="5"/>
  <c r="N151" i="5"/>
  <c r="P151" i="5"/>
  <c r="R151" i="5"/>
  <c r="U151" i="5"/>
  <c r="W151" i="5"/>
  <c r="X151" i="5" s="1"/>
  <c r="Y151" i="5"/>
  <c r="AB151" i="5"/>
  <c r="I159" i="7" s="1"/>
  <c r="AF151" i="5"/>
  <c r="A152" i="5"/>
  <c r="C152" i="5"/>
  <c r="F152" i="5"/>
  <c r="H152" i="5" s="1"/>
  <c r="J152" i="5"/>
  <c r="AE152" i="5" s="1"/>
  <c r="L152" i="5"/>
  <c r="N152" i="5"/>
  <c r="P152" i="5"/>
  <c r="R152" i="5"/>
  <c r="U152" i="5"/>
  <c r="W152" i="5"/>
  <c r="X152" i="5" s="1"/>
  <c r="Y152" i="5"/>
  <c r="AB152" i="5"/>
  <c r="I160" i="7" s="1"/>
  <c r="AF152" i="5"/>
  <c r="A153" i="5"/>
  <c r="C153" i="5"/>
  <c r="F153" i="5"/>
  <c r="H153" i="5" s="1"/>
  <c r="J153" i="5"/>
  <c r="AE153" i="5" s="1"/>
  <c r="L153" i="5"/>
  <c r="N153" i="5"/>
  <c r="P153" i="5"/>
  <c r="R153" i="5"/>
  <c r="U153" i="5"/>
  <c r="W153" i="5"/>
  <c r="X153" i="5" s="1"/>
  <c r="Y153" i="5"/>
  <c r="AB153" i="5"/>
  <c r="I161" i="7" s="1"/>
  <c r="AF153" i="5"/>
  <c r="A154" i="5"/>
  <c r="C154" i="5"/>
  <c r="F154" i="5"/>
  <c r="H154" i="5" s="1"/>
  <c r="J154" i="5"/>
  <c r="AE154" i="5" s="1"/>
  <c r="L154" i="5"/>
  <c r="N154" i="5"/>
  <c r="P154" i="5"/>
  <c r="R154" i="5"/>
  <c r="U154" i="5"/>
  <c r="W154" i="5"/>
  <c r="X154" i="5" s="1"/>
  <c r="Y154" i="5"/>
  <c r="AB154" i="5"/>
  <c r="I162" i="7" s="1"/>
  <c r="AF154" i="5"/>
  <c r="A155" i="5"/>
  <c r="C155" i="5"/>
  <c r="F155" i="5"/>
  <c r="H155" i="5" s="1"/>
  <c r="J155" i="5"/>
  <c r="AE155" i="5" s="1"/>
  <c r="L155" i="5"/>
  <c r="N155" i="5"/>
  <c r="P155" i="5"/>
  <c r="R155" i="5"/>
  <c r="U155" i="5"/>
  <c r="W155" i="5"/>
  <c r="X155" i="5" s="1"/>
  <c r="Y155" i="5"/>
  <c r="AB155" i="5"/>
  <c r="I163" i="7" s="1"/>
  <c r="AF155" i="5"/>
  <c r="A156" i="5"/>
  <c r="C156" i="5"/>
  <c r="F156" i="5"/>
  <c r="H156" i="5" s="1"/>
  <c r="J156" i="5"/>
  <c r="AE156" i="5" s="1"/>
  <c r="L156" i="5"/>
  <c r="N156" i="5"/>
  <c r="P156" i="5"/>
  <c r="R156" i="5"/>
  <c r="U156" i="5"/>
  <c r="W156" i="5"/>
  <c r="X156" i="5" s="1"/>
  <c r="Y156" i="5"/>
  <c r="AB156" i="5"/>
  <c r="I164" i="7" s="1"/>
  <c r="AF156" i="5"/>
  <c r="A157" i="5"/>
  <c r="C157" i="5"/>
  <c r="F157" i="5"/>
  <c r="H157" i="5" s="1"/>
  <c r="J157" i="5"/>
  <c r="AE157" i="5" s="1"/>
  <c r="L157" i="5"/>
  <c r="N157" i="5"/>
  <c r="P157" i="5"/>
  <c r="R157" i="5"/>
  <c r="U157" i="5"/>
  <c r="W157" i="5"/>
  <c r="X157" i="5" s="1"/>
  <c r="Y157" i="5"/>
  <c r="AB157" i="5"/>
  <c r="I165" i="7" s="1"/>
  <c r="AF157" i="5"/>
  <c r="A158" i="5"/>
  <c r="C158" i="5"/>
  <c r="F158" i="5"/>
  <c r="H158" i="5" s="1"/>
  <c r="J158" i="5"/>
  <c r="AE158" i="5" s="1"/>
  <c r="L158" i="5"/>
  <c r="N158" i="5"/>
  <c r="P158" i="5"/>
  <c r="R158" i="5"/>
  <c r="U158" i="5"/>
  <c r="W158" i="5"/>
  <c r="X158" i="5" s="1"/>
  <c r="Y158" i="5"/>
  <c r="AB158" i="5"/>
  <c r="I166" i="7" s="1"/>
  <c r="AF158" i="5"/>
  <c r="A159" i="5"/>
  <c r="C159" i="5"/>
  <c r="F159" i="5"/>
  <c r="H159" i="5" s="1"/>
  <c r="J159" i="5"/>
  <c r="AE159" i="5" s="1"/>
  <c r="L159" i="5"/>
  <c r="N159" i="5"/>
  <c r="P159" i="5"/>
  <c r="R159" i="5"/>
  <c r="U159" i="5"/>
  <c r="W159" i="5"/>
  <c r="X159" i="5" s="1"/>
  <c r="Y159" i="5"/>
  <c r="AB159" i="5"/>
  <c r="I167" i="7" s="1"/>
  <c r="AF159" i="5"/>
  <c r="A160" i="5"/>
  <c r="C160" i="5"/>
  <c r="F160" i="5"/>
  <c r="H160" i="5" s="1"/>
  <c r="J160" i="5"/>
  <c r="AE160" i="5" s="1"/>
  <c r="L160" i="5"/>
  <c r="N160" i="5"/>
  <c r="P160" i="5"/>
  <c r="R160" i="5"/>
  <c r="U160" i="5"/>
  <c r="W160" i="5"/>
  <c r="X160" i="5" s="1"/>
  <c r="Y160" i="5"/>
  <c r="AB160" i="5"/>
  <c r="I168" i="7" s="1"/>
  <c r="AF160" i="5"/>
  <c r="A161" i="5"/>
  <c r="C161" i="5"/>
  <c r="F161" i="5"/>
  <c r="H161" i="5" s="1"/>
  <c r="J161" i="5"/>
  <c r="AE161" i="5" s="1"/>
  <c r="L161" i="5"/>
  <c r="N161" i="5"/>
  <c r="P161" i="5"/>
  <c r="R161" i="5"/>
  <c r="U161" i="5"/>
  <c r="W161" i="5"/>
  <c r="X161" i="5" s="1"/>
  <c r="Y161" i="5"/>
  <c r="AB161" i="5"/>
  <c r="I169" i="7" s="1"/>
  <c r="AF161" i="5"/>
  <c r="A162" i="5"/>
  <c r="C162" i="5"/>
  <c r="F162" i="5"/>
  <c r="H162" i="5" s="1"/>
  <c r="J162" i="5"/>
  <c r="AE162" i="5" s="1"/>
  <c r="L162" i="5"/>
  <c r="N162" i="5"/>
  <c r="P162" i="5"/>
  <c r="R162" i="5"/>
  <c r="U162" i="5"/>
  <c r="W162" i="5"/>
  <c r="X162" i="5" s="1"/>
  <c r="Y162" i="5"/>
  <c r="AB162" i="5"/>
  <c r="I170" i="7" s="1"/>
  <c r="AF162" i="5"/>
  <c r="A163" i="5"/>
  <c r="C163" i="5"/>
  <c r="F163" i="5"/>
  <c r="H163" i="5" s="1"/>
  <c r="J163" i="5"/>
  <c r="AE163" i="5" s="1"/>
  <c r="L163" i="5"/>
  <c r="N163" i="5"/>
  <c r="P163" i="5"/>
  <c r="R163" i="5"/>
  <c r="U163" i="5"/>
  <c r="W163" i="5"/>
  <c r="X163" i="5" s="1"/>
  <c r="Y163" i="5"/>
  <c r="AB163" i="5"/>
  <c r="I171" i="7" s="1"/>
  <c r="AF163" i="5"/>
  <c r="A164" i="5"/>
  <c r="C164" i="5"/>
  <c r="F164" i="5"/>
  <c r="H164" i="5" s="1"/>
  <c r="J164" i="5"/>
  <c r="AE164" i="5" s="1"/>
  <c r="L164" i="5"/>
  <c r="N164" i="5"/>
  <c r="P164" i="5"/>
  <c r="R164" i="5"/>
  <c r="U164" i="5"/>
  <c r="W164" i="5"/>
  <c r="Y164" i="5"/>
  <c r="AB164" i="5"/>
  <c r="I172" i="7" s="1"/>
  <c r="AF164" i="5"/>
  <c r="A165" i="5"/>
  <c r="C165" i="5"/>
  <c r="F165" i="5"/>
  <c r="H165" i="5" s="1"/>
  <c r="J165" i="5"/>
  <c r="AE165" i="5" s="1"/>
  <c r="L165" i="5"/>
  <c r="N165" i="5"/>
  <c r="P165" i="5"/>
  <c r="R165" i="5"/>
  <c r="U165" i="5"/>
  <c r="W165" i="5"/>
  <c r="X165" i="5" s="1"/>
  <c r="Y165" i="5"/>
  <c r="AB165" i="5"/>
  <c r="I173" i="7" s="1"/>
  <c r="AF165" i="5"/>
  <c r="A166" i="5"/>
  <c r="C166" i="5"/>
  <c r="F166" i="5"/>
  <c r="H166" i="5" s="1"/>
  <c r="J166" i="5"/>
  <c r="AE166" i="5" s="1"/>
  <c r="L166" i="5"/>
  <c r="N166" i="5"/>
  <c r="P166" i="5"/>
  <c r="R166" i="5"/>
  <c r="U166" i="5"/>
  <c r="W166" i="5"/>
  <c r="X166" i="5" s="1"/>
  <c r="Y166" i="5"/>
  <c r="AB166" i="5"/>
  <c r="I174" i="7" s="1"/>
  <c r="AF166" i="5"/>
  <c r="A167" i="5"/>
  <c r="C167" i="5"/>
  <c r="F167" i="5"/>
  <c r="H167" i="5" s="1"/>
  <c r="J167" i="5"/>
  <c r="AE167" i="5" s="1"/>
  <c r="L167" i="5"/>
  <c r="N167" i="5"/>
  <c r="P167" i="5"/>
  <c r="R167" i="5"/>
  <c r="U167" i="5"/>
  <c r="W167" i="5"/>
  <c r="X167" i="5" s="1"/>
  <c r="Y167" i="5"/>
  <c r="AB167" i="5"/>
  <c r="I175" i="7" s="1"/>
  <c r="AF167" i="5"/>
  <c r="A168" i="5"/>
  <c r="C168" i="5"/>
  <c r="F168" i="5"/>
  <c r="H168" i="5" s="1"/>
  <c r="J168" i="5"/>
  <c r="AE168" i="5" s="1"/>
  <c r="L168" i="5"/>
  <c r="N168" i="5"/>
  <c r="P168" i="5"/>
  <c r="R168" i="5"/>
  <c r="U168" i="5"/>
  <c r="W168" i="5"/>
  <c r="Y168" i="5"/>
  <c r="AB168" i="5"/>
  <c r="I176" i="7" s="1"/>
  <c r="AF168" i="5"/>
  <c r="A169" i="5"/>
  <c r="C169" i="5"/>
  <c r="F169" i="5"/>
  <c r="H169" i="5" s="1"/>
  <c r="J169" i="5"/>
  <c r="AE169" i="5" s="1"/>
  <c r="L169" i="5"/>
  <c r="N169" i="5"/>
  <c r="P169" i="5"/>
  <c r="R169" i="5"/>
  <c r="U169" i="5"/>
  <c r="W169" i="5"/>
  <c r="X169" i="5" s="1"/>
  <c r="Y169" i="5"/>
  <c r="AB169" i="5"/>
  <c r="I177" i="7" s="1"/>
  <c r="AF169" i="5"/>
  <c r="AF1" i="5"/>
  <c r="B1" i="5"/>
  <c r="F1" i="5"/>
  <c r="J1" i="5"/>
  <c r="K1" i="5"/>
  <c r="L1" i="5"/>
  <c r="M1" i="5"/>
  <c r="N1" i="5"/>
  <c r="O1" i="5"/>
  <c r="P1" i="5"/>
  <c r="R1" i="5"/>
  <c r="U1" i="5"/>
  <c r="W1" i="5"/>
  <c r="Y1" i="5"/>
  <c r="AB1" i="5"/>
  <c r="AD1" i="5"/>
  <c r="C6" i="3"/>
  <c r="J154" i="7" l="1"/>
  <c r="AS133" i="5"/>
  <c r="G141" i="7" s="1"/>
  <c r="J138" i="7"/>
  <c r="J130" i="7"/>
  <c r="J114" i="7"/>
  <c r="AS101" i="5"/>
  <c r="G109" i="7" s="1"/>
  <c r="J106" i="7"/>
  <c r="J98" i="7"/>
  <c r="AS85" i="5"/>
  <c r="J17" i="9"/>
  <c r="J90" i="7"/>
  <c r="AS77" i="5"/>
  <c r="J82" i="7"/>
  <c r="AS69" i="5"/>
  <c r="G77" i="7" s="1"/>
  <c r="J74" i="7"/>
  <c r="AS61" i="5"/>
  <c r="G69" i="7" s="1"/>
  <c r="J66" i="7"/>
  <c r="AS53" i="5"/>
  <c r="G61" i="7" s="1"/>
  <c r="J58" i="7"/>
  <c r="AS45" i="5"/>
  <c r="G53" i="7" s="1"/>
  <c r="J50" i="7"/>
  <c r="H48" i="7"/>
  <c r="AS37" i="5"/>
  <c r="G45" i="7" s="1"/>
  <c r="J42" i="7"/>
  <c r="H40" i="7"/>
  <c r="AS29" i="5"/>
  <c r="G37" i="7" s="1"/>
  <c r="J34" i="7"/>
  <c r="H32" i="7"/>
  <c r="AS21" i="5"/>
  <c r="G29" i="7" s="1"/>
  <c r="J26" i="7"/>
  <c r="H24" i="7"/>
  <c r="AS13" i="5"/>
  <c r="G21" i="7" s="1"/>
  <c r="J18" i="7"/>
  <c r="AS5" i="5"/>
  <c r="G13" i="7" s="1"/>
  <c r="H168" i="7"/>
  <c r="H160" i="7"/>
  <c r="J146" i="7"/>
  <c r="AS117" i="5"/>
  <c r="G125" i="7" s="1"/>
  <c r="J170" i="7"/>
  <c r="J162" i="7"/>
  <c r="AS93" i="5"/>
  <c r="J168" i="7"/>
  <c r="J160" i="7"/>
  <c r="J152" i="7"/>
  <c r="J144" i="7"/>
  <c r="J136" i="7"/>
  <c r="J128" i="7"/>
  <c r="J120" i="7"/>
  <c r="J112" i="7"/>
  <c r="J104" i="7"/>
  <c r="J96" i="7"/>
  <c r="J88" i="7"/>
  <c r="J80" i="7"/>
  <c r="J72" i="7"/>
  <c r="J64" i="7"/>
  <c r="J56" i="7"/>
  <c r="J40" i="7"/>
  <c r="AS149" i="5"/>
  <c r="G157" i="7" s="1"/>
  <c r="AS141" i="5"/>
  <c r="AS125" i="5"/>
  <c r="J122" i="7"/>
  <c r="AS109" i="5"/>
  <c r="G117" i="7" s="1"/>
  <c r="J176" i="7"/>
  <c r="H120" i="7"/>
  <c r="X112" i="5"/>
  <c r="H96" i="7"/>
  <c r="X88" i="5"/>
  <c r="H122" i="7"/>
  <c r="X114" i="5"/>
  <c r="J172" i="7"/>
  <c r="J156" i="7"/>
  <c r="J148" i="7"/>
  <c r="J140" i="7"/>
  <c r="J132" i="7"/>
  <c r="J124" i="7"/>
  <c r="J116" i="7"/>
  <c r="J108" i="7"/>
  <c r="J100" i="7"/>
  <c r="J76" i="7"/>
  <c r="J68" i="7"/>
  <c r="J60" i="7"/>
  <c r="J164" i="7"/>
  <c r="H90" i="7"/>
  <c r="K161" i="7"/>
  <c r="L157" i="3"/>
  <c r="K65" i="7"/>
  <c r="L61" i="3"/>
  <c r="K164" i="7"/>
  <c r="L160" i="3"/>
  <c r="K116" i="7"/>
  <c r="L112" i="3"/>
  <c r="K52" i="7"/>
  <c r="L48" i="3"/>
  <c r="K167" i="7"/>
  <c r="L163" i="3"/>
  <c r="K159" i="7"/>
  <c r="L155" i="3"/>
  <c r="K151" i="7"/>
  <c r="L147" i="3"/>
  <c r="K143" i="7"/>
  <c r="L139" i="3"/>
  <c r="K135" i="7"/>
  <c r="L131" i="3"/>
  <c r="K127" i="7"/>
  <c r="L123" i="3"/>
  <c r="K119" i="7"/>
  <c r="L115" i="3"/>
  <c r="K111" i="7"/>
  <c r="L107" i="3"/>
  <c r="K103" i="7"/>
  <c r="L99" i="3"/>
  <c r="K95" i="7"/>
  <c r="L91" i="3"/>
  <c r="K87" i="7"/>
  <c r="L83" i="3"/>
  <c r="K79" i="7"/>
  <c r="L75" i="3"/>
  <c r="K71" i="7"/>
  <c r="L67" i="3"/>
  <c r="K63" i="7"/>
  <c r="L59" i="3"/>
  <c r="K55" i="7"/>
  <c r="L51" i="3"/>
  <c r="J48" i="7"/>
  <c r="K47" i="7"/>
  <c r="L43" i="3"/>
  <c r="K39" i="7"/>
  <c r="L35" i="3"/>
  <c r="J32" i="7"/>
  <c r="K31" i="7"/>
  <c r="L27" i="3"/>
  <c r="K23" i="7"/>
  <c r="L19" i="3"/>
  <c r="K15" i="7"/>
  <c r="L11" i="3"/>
  <c r="K89" i="7"/>
  <c r="L85" i="3"/>
  <c r="K73" i="7"/>
  <c r="L69" i="3"/>
  <c r="K132" i="7"/>
  <c r="L128" i="3"/>
  <c r="K108" i="7"/>
  <c r="L104" i="3"/>
  <c r="K28" i="7"/>
  <c r="L24" i="3"/>
  <c r="K170" i="7"/>
  <c r="L166" i="3"/>
  <c r="K162" i="7"/>
  <c r="L158" i="3"/>
  <c r="K154" i="7"/>
  <c r="L150" i="3"/>
  <c r="K146" i="7"/>
  <c r="L142" i="3"/>
  <c r="K138" i="7"/>
  <c r="L134" i="3"/>
  <c r="K130" i="7"/>
  <c r="L126" i="3"/>
  <c r="K122" i="7"/>
  <c r="L118" i="3"/>
  <c r="K114" i="7"/>
  <c r="L110" i="3"/>
  <c r="K106" i="7"/>
  <c r="L102" i="3"/>
  <c r="K98" i="7"/>
  <c r="L94" i="3"/>
  <c r="K90" i="7"/>
  <c r="L86" i="3"/>
  <c r="K82" i="7"/>
  <c r="L78" i="3"/>
  <c r="K74" i="7"/>
  <c r="L70" i="3"/>
  <c r="K66" i="7"/>
  <c r="L62" i="3"/>
  <c r="K58" i="7"/>
  <c r="L54" i="3"/>
  <c r="K50" i="7"/>
  <c r="L46" i="3"/>
  <c r="K42" i="7"/>
  <c r="L38" i="3"/>
  <c r="K34" i="7"/>
  <c r="L30" i="3"/>
  <c r="K26" i="7"/>
  <c r="L22" i="3"/>
  <c r="K18" i="7"/>
  <c r="L14" i="3"/>
  <c r="K10" i="7"/>
  <c r="L6" i="3"/>
  <c r="K153" i="7"/>
  <c r="L149" i="3"/>
  <c r="K57" i="7"/>
  <c r="L53" i="3"/>
  <c r="K124" i="7"/>
  <c r="L120" i="3"/>
  <c r="K92" i="7"/>
  <c r="L88" i="3"/>
  <c r="K84" i="7"/>
  <c r="L80" i="3"/>
  <c r="K20" i="7"/>
  <c r="L16" i="3"/>
  <c r="K173" i="7"/>
  <c r="L169" i="3"/>
  <c r="J166" i="7"/>
  <c r="K165" i="7"/>
  <c r="L161" i="3"/>
  <c r="K157" i="7"/>
  <c r="L153" i="3"/>
  <c r="J150" i="7"/>
  <c r="K149" i="7"/>
  <c r="L145" i="3"/>
  <c r="J142" i="7"/>
  <c r="K141" i="7"/>
  <c r="L137" i="3"/>
  <c r="K133" i="7"/>
  <c r="L129" i="3"/>
  <c r="K125" i="7"/>
  <c r="L121" i="3"/>
  <c r="J118" i="7"/>
  <c r="K117" i="7"/>
  <c r="L113" i="3"/>
  <c r="J110" i="7"/>
  <c r="K109" i="7"/>
  <c r="L105" i="3"/>
  <c r="J102" i="7"/>
  <c r="K101" i="7"/>
  <c r="L97" i="3"/>
  <c r="J94" i="7"/>
  <c r="K93" i="7"/>
  <c r="L89" i="3"/>
  <c r="J86" i="7"/>
  <c r="K85" i="7"/>
  <c r="L81" i="3"/>
  <c r="J78" i="7"/>
  <c r="K77" i="7"/>
  <c r="L73" i="3"/>
  <c r="J70" i="7"/>
  <c r="K69" i="7"/>
  <c r="L65" i="3"/>
  <c r="K61" i="7"/>
  <c r="L57" i="3"/>
  <c r="K53" i="7"/>
  <c r="L49" i="3"/>
  <c r="K45" i="7"/>
  <c r="L41" i="3"/>
  <c r="K37" i="7"/>
  <c r="L33" i="3"/>
  <c r="K29" i="7"/>
  <c r="L25" i="3"/>
  <c r="K21" i="7"/>
  <c r="L17" i="3"/>
  <c r="K13" i="7"/>
  <c r="L9" i="3"/>
  <c r="K177" i="7"/>
  <c r="L173" i="3"/>
  <c r="K169" i="7"/>
  <c r="L165" i="3"/>
  <c r="K105" i="7"/>
  <c r="L101" i="3"/>
  <c r="K97" i="7"/>
  <c r="L93" i="3"/>
  <c r="K41" i="7"/>
  <c r="L37" i="3"/>
  <c r="K100" i="7"/>
  <c r="L96" i="3"/>
  <c r="K76" i="7"/>
  <c r="L72" i="3"/>
  <c r="K68" i="7"/>
  <c r="L64" i="3"/>
  <c r="K60" i="7"/>
  <c r="L56" i="3"/>
  <c r="K36" i="7"/>
  <c r="L32" i="3"/>
  <c r="K175" i="7"/>
  <c r="L171" i="3"/>
  <c r="K176" i="7"/>
  <c r="L172" i="3"/>
  <c r="K168" i="7"/>
  <c r="L164" i="3"/>
  <c r="K160" i="7"/>
  <c r="L156" i="3"/>
  <c r="K152" i="7"/>
  <c r="L148" i="3"/>
  <c r="K144" i="7"/>
  <c r="L140" i="3"/>
  <c r="K136" i="7"/>
  <c r="L132" i="3"/>
  <c r="K128" i="7"/>
  <c r="L124" i="3"/>
  <c r="K120" i="7"/>
  <c r="L116" i="3"/>
  <c r="K112" i="7"/>
  <c r="L108" i="3"/>
  <c r="K104" i="7"/>
  <c r="L100" i="3"/>
  <c r="K96" i="7"/>
  <c r="L92" i="3"/>
  <c r="K88" i="7"/>
  <c r="L84" i="3"/>
  <c r="K80" i="7"/>
  <c r="L76" i="3"/>
  <c r="K72" i="7"/>
  <c r="L68" i="3"/>
  <c r="K64" i="7"/>
  <c r="L60" i="3"/>
  <c r="K56" i="7"/>
  <c r="L52" i="3"/>
  <c r="K48" i="7"/>
  <c r="L44" i="3"/>
  <c r="K40" i="7"/>
  <c r="L36" i="3"/>
  <c r="K32" i="7"/>
  <c r="L28" i="3"/>
  <c r="K24" i="7"/>
  <c r="L20" i="3"/>
  <c r="K16" i="7"/>
  <c r="L12" i="3"/>
  <c r="I8" i="7"/>
  <c r="K145" i="7"/>
  <c r="L141" i="3"/>
  <c r="K137" i="7"/>
  <c r="L133" i="3"/>
  <c r="K129" i="7"/>
  <c r="L125" i="3"/>
  <c r="K121" i="7"/>
  <c r="L117" i="3"/>
  <c r="K25" i="7"/>
  <c r="L21" i="3"/>
  <c r="K171" i="7"/>
  <c r="L167" i="3"/>
  <c r="K163" i="7"/>
  <c r="L159" i="3"/>
  <c r="K155" i="7"/>
  <c r="L151" i="3"/>
  <c r="K147" i="7"/>
  <c r="L143" i="3"/>
  <c r="K139" i="7"/>
  <c r="L135" i="3"/>
  <c r="K131" i="7"/>
  <c r="L127" i="3"/>
  <c r="K123" i="7"/>
  <c r="L119" i="3"/>
  <c r="K115" i="7"/>
  <c r="L111" i="3"/>
  <c r="K107" i="7"/>
  <c r="L103" i="3"/>
  <c r="K99" i="7"/>
  <c r="L95" i="3"/>
  <c r="K91" i="7"/>
  <c r="L87" i="3"/>
  <c r="K83" i="7"/>
  <c r="L79" i="3"/>
  <c r="K75" i="7"/>
  <c r="L71" i="3"/>
  <c r="K67" i="7"/>
  <c r="L63" i="3"/>
  <c r="K59" i="7"/>
  <c r="L55" i="3"/>
  <c r="K51" i="7"/>
  <c r="L47" i="3"/>
  <c r="K43" i="7"/>
  <c r="L39" i="3"/>
  <c r="K35" i="7"/>
  <c r="L31" i="3"/>
  <c r="K27" i="7"/>
  <c r="L23" i="3"/>
  <c r="K19" i="7"/>
  <c r="L15" i="3"/>
  <c r="K11" i="7"/>
  <c r="L7" i="3"/>
  <c r="K113" i="7"/>
  <c r="L109" i="3"/>
  <c r="K81" i="7"/>
  <c r="L77" i="3"/>
  <c r="K49" i="7"/>
  <c r="L45" i="3"/>
  <c r="K33" i="7"/>
  <c r="L29" i="3"/>
  <c r="K17" i="7"/>
  <c r="L13" i="3"/>
  <c r="K172" i="7"/>
  <c r="L168" i="3"/>
  <c r="K156" i="7"/>
  <c r="L152" i="3"/>
  <c r="K148" i="7"/>
  <c r="L144" i="3"/>
  <c r="K140" i="7"/>
  <c r="L136" i="3"/>
  <c r="K44" i="7"/>
  <c r="L40" i="3"/>
  <c r="K12" i="7"/>
  <c r="L8" i="3"/>
  <c r="K174" i="7"/>
  <c r="L170" i="3"/>
  <c r="K166" i="7"/>
  <c r="L162" i="3"/>
  <c r="K158" i="7"/>
  <c r="L154" i="3"/>
  <c r="K150" i="7"/>
  <c r="L146" i="3"/>
  <c r="K142" i="7"/>
  <c r="L138" i="3"/>
  <c r="K134" i="7"/>
  <c r="L130" i="3"/>
  <c r="K126" i="7"/>
  <c r="L122" i="3"/>
  <c r="K118" i="7"/>
  <c r="L114" i="3"/>
  <c r="K110" i="7"/>
  <c r="L106" i="3"/>
  <c r="K102" i="7"/>
  <c r="L98" i="3"/>
  <c r="K94" i="7"/>
  <c r="L90" i="3"/>
  <c r="K86" i="7"/>
  <c r="L82" i="3"/>
  <c r="K78" i="7"/>
  <c r="L74" i="3"/>
  <c r="K70" i="7"/>
  <c r="L66" i="3"/>
  <c r="K62" i="7"/>
  <c r="L58" i="3"/>
  <c r="K54" i="7"/>
  <c r="L50" i="3"/>
  <c r="K46" i="7"/>
  <c r="L42" i="3"/>
  <c r="K38" i="7"/>
  <c r="L34" i="3"/>
  <c r="K30" i="7"/>
  <c r="L26" i="3"/>
  <c r="K22" i="7"/>
  <c r="L18" i="3"/>
  <c r="K14" i="7"/>
  <c r="L10" i="3"/>
  <c r="J24" i="7"/>
  <c r="J174" i="7"/>
  <c r="H164" i="7"/>
  <c r="J158" i="7"/>
  <c r="H140" i="7"/>
  <c r="J134" i="7"/>
  <c r="J126" i="7"/>
  <c r="H116" i="7"/>
  <c r="H92" i="7"/>
  <c r="H68" i="7"/>
  <c r="H170" i="7"/>
  <c r="H138" i="7"/>
  <c r="H162" i="7"/>
  <c r="H112" i="7"/>
  <c r="X104" i="5"/>
  <c r="H88" i="7"/>
  <c r="X80" i="5"/>
  <c r="H72" i="7"/>
  <c r="X64" i="5"/>
  <c r="H64" i="7"/>
  <c r="X56" i="5"/>
  <c r="H16" i="7"/>
  <c r="X8" i="5"/>
  <c r="H176" i="7"/>
  <c r="X168" i="5"/>
  <c r="H136" i="7"/>
  <c r="X128" i="5"/>
  <c r="H144" i="7"/>
  <c r="X136" i="5"/>
  <c r="H128" i="7"/>
  <c r="X120" i="5"/>
  <c r="H172" i="7"/>
  <c r="X164" i="5"/>
  <c r="H156" i="7"/>
  <c r="X148" i="5"/>
  <c r="H148" i="7"/>
  <c r="X140" i="5"/>
  <c r="H132" i="7"/>
  <c r="X124" i="5"/>
  <c r="H124" i="7"/>
  <c r="X116" i="5"/>
  <c r="H108" i="7"/>
  <c r="X100" i="5"/>
  <c r="H100" i="7"/>
  <c r="X92" i="5"/>
  <c r="H84" i="7"/>
  <c r="X76" i="5"/>
  <c r="H154" i="7"/>
  <c r="X146" i="5"/>
  <c r="H146" i="7"/>
  <c r="X138" i="5"/>
  <c r="H130" i="7"/>
  <c r="X122" i="5"/>
  <c r="H166" i="7"/>
  <c r="H158" i="7"/>
  <c r="H150" i="7"/>
  <c r="H142" i="7"/>
  <c r="H134" i="7"/>
  <c r="H118" i="7"/>
  <c r="H110" i="7"/>
  <c r="H94" i="7"/>
  <c r="H86" i="7"/>
  <c r="H70" i="7"/>
  <c r="H62" i="7"/>
  <c r="H46" i="7"/>
  <c r="H174" i="7"/>
  <c r="J62" i="7"/>
  <c r="H58" i="7"/>
  <c r="H60" i="7"/>
  <c r="AS157" i="5"/>
  <c r="G165" i="7" s="1"/>
  <c r="J101" i="7"/>
  <c r="J93" i="7"/>
  <c r="J85" i="7"/>
  <c r="J13" i="7"/>
  <c r="H80" i="7"/>
  <c r="X72" i="5"/>
  <c r="H56" i="7"/>
  <c r="X48" i="5"/>
  <c r="AS163" i="5"/>
  <c r="G171" i="7" s="1"/>
  <c r="AS155" i="5"/>
  <c r="G163" i="7" s="1"/>
  <c r="AS147" i="5"/>
  <c r="G155" i="7" s="1"/>
  <c r="AS139" i="5"/>
  <c r="G147" i="7" s="1"/>
  <c r="AS131" i="5"/>
  <c r="G139" i="7" s="1"/>
  <c r="AS123" i="5"/>
  <c r="G131" i="7" s="1"/>
  <c r="H126" i="7"/>
  <c r="X118" i="5"/>
  <c r="AS115" i="5"/>
  <c r="G123" i="7" s="1"/>
  <c r="AS107" i="5"/>
  <c r="G115" i="7" s="1"/>
  <c r="AS99" i="5"/>
  <c r="G107" i="7" s="1"/>
  <c r="H102" i="7"/>
  <c r="X94" i="5"/>
  <c r="AS91" i="5"/>
  <c r="G99" i="7" s="1"/>
  <c r="AS83" i="5"/>
  <c r="G91" i="7" s="1"/>
  <c r="AS75" i="5"/>
  <c r="G83" i="7" s="1"/>
  <c r="H78" i="7"/>
  <c r="X70" i="5"/>
  <c r="AS67" i="5"/>
  <c r="G75" i="7" s="1"/>
  <c r="AS59" i="5"/>
  <c r="G67" i="7" s="1"/>
  <c r="AS51" i="5"/>
  <c r="G59" i="7" s="1"/>
  <c r="H54" i="7"/>
  <c r="X46" i="5"/>
  <c r="AS43" i="5"/>
  <c r="G51" i="7" s="1"/>
  <c r="AS35" i="5"/>
  <c r="G43" i="7" s="1"/>
  <c r="H38" i="7"/>
  <c r="AS27" i="5"/>
  <c r="G35" i="7" s="1"/>
  <c r="H30" i="7"/>
  <c r="X22" i="5"/>
  <c r="AS19" i="5"/>
  <c r="G27" i="7" s="1"/>
  <c r="H22" i="7"/>
  <c r="AS11" i="5"/>
  <c r="G19" i="7" s="1"/>
  <c r="J16" i="7"/>
  <c r="H14" i="7"/>
  <c r="X6" i="5"/>
  <c r="AS3" i="5"/>
  <c r="G11" i="7" s="1"/>
  <c r="H104" i="7"/>
  <c r="X96" i="5"/>
  <c r="H152" i="7"/>
  <c r="X144" i="5"/>
  <c r="H76" i="7"/>
  <c r="X68" i="5"/>
  <c r="H47" i="7"/>
  <c r="H39" i="7"/>
  <c r="H31" i="7"/>
  <c r="H23" i="7"/>
  <c r="H15" i="7"/>
  <c r="X7" i="5"/>
  <c r="AS47" i="5"/>
  <c r="G55" i="7" s="1"/>
  <c r="J52" i="7"/>
  <c r="J44" i="7"/>
  <c r="J36" i="7"/>
  <c r="J28" i="7"/>
  <c r="J20" i="7"/>
  <c r="J23" i="7"/>
  <c r="J15" i="7"/>
  <c r="AS169" i="5"/>
  <c r="G177" i="7" s="1"/>
  <c r="AS137" i="5"/>
  <c r="G145" i="7" s="1"/>
  <c r="AS129" i="5"/>
  <c r="G137" i="7" s="1"/>
  <c r="AS89" i="5"/>
  <c r="G97" i="7" s="1"/>
  <c r="AS161" i="5"/>
  <c r="G169" i="7" s="1"/>
  <c r="AS145" i="5"/>
  <c r="G153" i="7" s="1"/>
  <c r="AS97" i="5"/>
  <c r="G105" i="7" s="1"/>
  <c r="AS167" i="5"/>
  <c r="G175" i="7" s="1"/>
  <c r="AS165" i="5"/>
  <c r="G173" i="7" s="1"/>
  <c r="AS168" i="5"/>
  <c r="G176" i="7" s="1"/>
  <c r="J173" i="7"/>
  <c r="H171" i="7"/>
  <c r="AS160" i="5"/>
  <c r="G168" i="7" s="1"/>
  <c r="J165" i="7"/>
  <c r="H163" i="7"/>
  <c r="AS152" i="5"/>
  <c r="G160" i="7" s="1"/>
  <c r="J157" i="7"/>
  <c r="H155" i="7"/>
  <c r="AS144" i="5"/>
  <c r="G152" i="7" s="1"/>
  <c r="J149" i="7"/>
  <c r="H147" i="7"/>
  <c r="AS136" i="5"/>
  <c r="G144" i="7" s="1"/>
  <c r="J141" i="7"/>
  <c r="H139" i="7"/>
  <c r="AS128" i="5"/>
  <c r="G136" i="7" s="1"/>
  <c r="J133" i="7"/>
  <c r="H131" i="7"/>
  <c r="AS120" i="5"/>
  <c r="G128" i="7" s="1"/>
  <c r="J125" i="7"/>
  <c r="H123" i="7"/>
  <c r="AS112" i="5"/>
  <c r="G120" i="7" s="1"/>
  <c r="J117" i="7"/>
  <c r="H115" i="7"/>
  <c r="AS104" i="5"/>
  <c r="G112" i="7" s="1"/>
  <c r="J109" i="7"/>
  <c r="H107" i="7"/>
  <c r="AS96" i="5"/>
  <c r="G104" i="7" s="1"/>
  <c r="H99" i="7"/>
  <c r="AS88" i="5"/>
  <c r="G96" i="7" s="1"/>
  <c r="H91" i="7"/>
  <c r="AS80" i="5"/>
  <c r="G88" i="7" s="1"/>
  <c r="H83" i="7"/>
  <c r="AS72" i="5"/>
  <c r="G80" i="7" s="1"/>
  <c r="J77" i="7"/>
  <c r="H75" i="7"/>
  <c r="AS64" i="5"/>
  <c r="G72" i="7" s="1"/>
  <c r="J69" i="7"/>
  <c r="H67" i="7"/>
  <c r="AS56" i="5"/>
  <c r="G64" i="7" s="1"/>
  <c r="J61" i="7"/>
  <c r="H59" i="7"/>
  <c r="AS48" i="5"/>
  <c r="G56" i="7" s="1"/>
  <c r="J53" i="7"/>
  <c r="H51" i="7"/>
  <c r="AS40" i="5"/>
  <c r="G48" i="7" s="1"/>
  <c r="J45" i="7"/>
  <c r="H43" i="7"/>
  <c r="AS32" i="5"/>
  <c r="G40" i="7" s="1"/>
  <c r="J37" i="7"/>
  <c r="H35" i="7"/>
  <c r="AS24" i="5"/>
  <c r="G32" i="7" s="1"/>
  <c r="J29" i="7"/>
  <c r="H27" i="7"/>
  <c r="AS16" i="5"/>
  <c r="G24" i="7" s="1"/>
  <c r="J21" i="7"/>
  <c r="H19" i="7"/>
  <c r="AS8" i="5"/>
  <c r="G16" i="7" s="1"/>
  <c r="H11" i="7"/>
  <c r="H177" i="7"/>
  <c r="AS166" i="5"/>
  <c r="G174" i="7" s="1"/>
  <c r="J171" i="7"/>
  <c r="H169" i="7"/>
  <c r="AS158" i="5"/>
  <c r="G166" i="7" s="1"/>
  <c r="J163" i="7"/>
  <c r="H161" i="7"/>
  <c r="AS150" i="5"/>
  <c r="G158" i="7" s="1"/>
  <c r="J155" i="7"/>
  <c r="H153" i="7"/>
  <c r="AS142" i="5"/>
  <c r="G150" i="7" s="1"/>
  <c r="J147" i="7"/>
  <c r="H145" i="7"/>
  <c r="AS134" i="5"/>
  <c r="G142" i="7" s="1"/>
  <c r="J139" i="7"/>
  <c r="H137" i="7"/>
  <c r="AS126" i="5"/>
  <c r="G134" i="7" s="1"/>
  <c r="J131" i="7"/>
  <c r="H129" i="7"/>
  <c r="AS118" i="5"/>
  <c r="G126" i="7" s="1"/>
  <c r="J123" i="7"/>
  <c r="H121" i="7"/>
  <c r="AS110" i="5"/>
  <c r="G118" i="7" s="1"/>
  <c r="J115" i="7"/>
  <c r="H113" i="7"/>
  <c r="AS102" i="5"/>
  <c r="G110" i="7" s="1"/>
  <c r="J107" i="7"/>
  <c r="H105" i="7"/>
  <c r="AS94" i="5"/>
  <c r="G102" i="7" s="1"/>
  <c r="J99" i="7"/>
  <c r="H97" i="7"/>
  <c r="AS86" i="5"/>
  <c r="G94" i="7" s="1"/>
  <c r="J91" i="7"/>
  <c r="H89" i="7"/>
  <c r="AS78" i="5"/>
  <c r="G86" i="7" s="1"/>
  <c r="J83" i="7"/>
  <c r="H81" i="7"/>
  <c r="AS70" i="5"/>
  <c r="G78" i="7" s="1"/>
  <c r="J75" i="7"/>
  <c r="H73" i="7"/>
  <c r="AS62" i="5"/>
  <c r="G70" i="7" s="1"/>
  <c r="J67" i="7"/>
  <c r="H65" i="7"/>
  <c r="AS54" i="5"/>
  <c r="G62" i="7" s="1"/>
  <c r="J59" i="7"/>
  <c r="H57" i="7"/>
  <c r="AS46" i="5"/>
  <c r="G54" i="7" s="1"/>
  <c r="J51" i="7"/>
  <c r="H49" i="7"/>
  <c r="AS38" i="5"/>
  <c r="G46" i="7" s="1"/>
  <c r="J43" i="7"/>
  <c r="H41" i="7"/>
  <c r="AS30" i="5"/>
  <c r="G38" i="7" s="1"/>
  <c r="J35" i="7"/>
  <c r="H33" i="7"/>
  <c r="AS22" i="5"/>
  <c r="G30" i="7" s="1"/>
  <c r="J27" i="7"/>
  <c r="H25" i="7"/>
  <c r="AS14" i="5"/>
  <c r="G22" i="7" s="1"/>
  <c r="J19" i="7"/>
  <c r="H17" i="7"/>
  <c r="AS6" i="5"/>
  <c r="G14" i="7" s="1"/>
  <c r="J11" i="7"/>
  <c r="AS65" i="5"/>
  <c r="G73" i="7" s="1"/>
  <c r="AS57" i="5"/>
  <c r="G65" i="7" s="1"/>
  <c r="AS49" i="5"/>
  <c r="G57" i="7" s="1"/>
  <c r="J54" i="7"/>
  <c r="H52" i="7"/>
  <c r="AS41" i="5"/>
  <c r="G49" i="7" s="1"/>
  <c r="J46" i="7"/>
  <c r="H44" i="7"/>
  <c r="AS33" i="5"/>
  <c r="G41" i="7" s="1"/>
  <c r="J38" i="7"/>
  <c r="H36" i="7"/>
  <c r="AS25" i="5"/>
  <c r="G33" i="7" s="1"/>
  <c r="J30" i="7"/>
  <c r="H28" i="7"/>
  <c r="AS17" i="5"/>
  <c r="G25" i="7" s="1"/>
  <c r="J22" i="7"/>
  <c r="H20" i="7"/>
  <c r="AS9" i="5"/>
  <c r="G17" i="7" s="1"/>
  <c r="J14" i="7"/>
  <c r="H12" i="7"/>
  <c r="AS121" i="5"/>
  <c r="G129" i="7" s="1"/>
  <c r="AS105" i="5"/>
  <c r="G113" i="7" s="1"/>
  <c r="AS81" i="5"/>
  <c r="G89" i="7" s="1"/>
  <c r="AS73" i="5"/>
  <c r="G81" i="7" s="1"/>
  <c r="J177" i="7"/>
  <c r="H175" i="7"/>
  <c r="AS164" i="5"/>
  <c r="G172" i="7" s="1"/>
  <c r="J169" i="7"/>
  <c r="H167" i="7"/>
  <c r="AS156" i="5"/>
  <c r="G164" i="7" s="1"/>
  <c r="J161" i="7"/>
  <c r="H159" i="7"/>
  <c r="AS148" i="5"/>
  <c r="G156" i="7" s="1"/>
  <c r="J153" i="7"/>
  <c r="H151" i="7"/>
  <c r="AS140" i="5"/>
  <c r="G148" i="7" s="1"/>
  <c r="J145" i="7"/>
  <c r="H143" i="7"/>
  <c r="AS132" i="5"/>
  <c r="G140" i="7" s="1"/>
  <c r="J137" i="7"/>
  <c r="H135" i="7"/>
  <c r="AS124" i="5"/>
  <c r="G132" i="7" s="1"/>
  <c r="J129" i="7"/>
  <c r="H127" i="7"/>
  <c r="AS116" i="5"/>
  <c r="G124" i="7" s="1"/>
  <c r="J121" i="7"/>
  <c r="H119" i="7"/>
  <c r="AS108" i="5"/>
  <c r="G116" i="7" s="1"/>
  <c r="J113" i="7"/>
  <c r="H111" i="7"/>
  <c r="AS100" i="5"/>
  <c r="G108" i="7" s="1"/>
  <c r="J105" i="7"/>
  <c r="H103" i="7"/>
  <c r="AS92" i="5"/>
  <c r="G100" i="7" s="1"/>
  <c r="J97" i="7"/>
  <c r="H95" i="7"/>
  <c r="AS84" i="5"/>
  <c r="G92" i="7" s="1"/>
  <c r="J89" i="7"/>
  <c r="H87" i="7"/>
  <c r="AS76" i="5"/>
  <c r="G84" i="7" s="1"/>
  <c r="J81" i="7"/>
  <c r="H79" i="7"/>
  <c r="AS68" i="5"/>
  <c r="G76" i="7" s="1"/>
  <c r="J73" i="7"/>
  <c r="H71" i="7"/>
  <c r="AS60" i="5"/>
  <c r="G68" i="7" s="1"/>
  <c r="J65" i="7"/>
  <c r="H63" i="7"/>
  <c r="AS52" i="5"/>
  <c r="G60" i="7" s="1"/>
  <c r="J57" i="7"/>
  <c r="H55" i="7"/>
  <c r="AS44" i="5"/>
  <c r="G52" i="7" s="1"/>
  <c r="J49" i="7"/>
  <c r="AS36" i="5"/>
  <c r="G44" i="7" s="1"/>
  <c r="J41" i="7"/>
  <c r="AS28" i="5"/>
  <c r="G36" i="7" s="1"/>
  <c r="J33" i="7"/>
  <c r="AS20" i="5"/>
  <c r="G28" i="7" s="1"/>
  <c r="J25" i="7"/>
  <c r="AS12" i="5"/>
  <c r="G20" i="7" s="1"/>
  <c r="J17" i="7"/>
  <c r="AS4" i="5"/>
  <c r="G12" i="7" s="1"/>
  <c r="I7" i="7"/>
  <c r="AS153" i="5"/>
  <c r="G161" i="7" s="1"/>
  <c r="AS111" i="5"/>
  <c r="G119" i="7" s="1"/>
  <c r="H114" i="7"/>
  <c r="AS103" i="5"/>
  <c r="G111" i="7" s="1"/>
  <c r="H106" i="7"/>
  <c r="AS95" i="5"/>
  <c r="G103" i="7" s="1"/>
  <c r="H98" i="7"/>
  <c r="AS87" i="5"/>
  <c r="G95" i="7" s="1"/>
  <c r="J92" i="7"/>
  <c r="AS79" i="5"/>
  <c r="G87" i="7" s="1"/>
  <c r="J84" i="7"/>
  <c r="H82" i="7"/>
  <c r="AS71" i="5"/>
  <c r="G79" i="7" s="1"/>
  <c r="H74" i="7"/>
  <c r="AS63" i="5"/>
  <c r="G71" i="7" s="1"/>
  <c r="H66" i="7"/>
  <c r="AS55" i="5"/>
  <c r="G63" i="7" s="1"/>
  <c r="H50" i="7"/>
  <c r="AS39" i="5"/>
  <c r="G47" i="7" s="1"/>
  <c r="H42" i="7"/>
  <c r="AS31" i="5"/>
  <c r="G39" i="7" s="1"/>
  <c r="H34" i="7"/>
  <c r="AS23" i="5"/>
  <c r="G31" i="7" s="1"/>
  <c r="H26" i="7"/>
  <c r="AS15" i="5"/>
  <c r="G23" i="7" s="1"/>
  <c r="H18" i="7"/>
  <c r="AS7" i="5"/>
  <c r="G15" i="7" s="1"/>
  <c r="J12" i="7"/>
  <c r="AS113" i="5"/>
  <c r="G121" i="7" s="1"/>
  <c r="AS159" i="5"/>
  <c r="G167" i="7" s="1"/>
  <c r="AS151" i="5"/>
  <c r="G159" i="7" s="1"/>
  <c r="AS143" i="5"/>
  <c r="G151" i="7" s="1"/>
  <c r="AS135" i="5"/>
  <c r="G143" i="7" s="1"/>
  <c r="AS127" i="5"/>
  <c r="G135" i="7" s="1"/>
  <c r="AS119" i="5"/>
  <c r="G127" i="7" s="1"/>
  <c r="J175" i="7"/>
  <c r="H173" i="7"/>
  <c r="AS162" i="5"/>
  <c r="G170" i="7" s="1"/>
  <c r="J167" i="7"/>
  <c r="H165" i="7"/>
  <c r="AS154" i="5"/>
  <c r="G162" i="7" s="1"/>
  <c r="J159" i="7"/>
  <c r="H157" i="7"/>
  <c r="AS146" i="5"/>
  <c r="G154" i="7" s="1"/>
  <c r="J151" i="7"/>
  <c r="H149" i="7"/>
  <c r="AS138" i="5"/>
  <c r="G146" i="7" s="1"/>
  <c r="J143" i="7"/>
  <c r="H141" i="7"/>
  <c r="AS130" i="5"/>
  <c r="G138" i="7" s="1"/>
  <c r="J135" i="7"/>
  <c r="H133" i="7"/>
  <c r="AS122" i="5"/>
  <c r="G130" i="7" s="1"/>
  <c r="J127" i="7"/>
  <c r="H125" i="7"/>
  <c r="AS114" i="5"/>
  <c r="G122" i="7" s="1"/>
  <c r="J119" i="7"/>
  <c r="H117" i="7"/>
  <c r="AS106" i="5"/>
  <c r="G114" i="7" s="1"/>
  <c r="J111" i="7"/>
  <c r="H109" i="7"/>
  <c r="AS98" i="5"/>
  <c r="G106" i="7" s="1"/>
  <c r="J103" i="7"/>
  <c r="H101" i="7"/>
  <c r="AS90" i="5"/>
  <c r="G98" i="7" s="1"/>
  <c r="J95" i="7"/>
  <c r="H93" i="7"/>
  <c r="AS82" i="5"/>
  <c r="G90" i="7" s="1"/>
  <c r="J87" i="7"/>
  <c r="H85" i="7"/>
  <c r="AS74" i="5"/>
  <c r="G82" i="7" s="1"/>
  <c r="J79" i="7"/>
  <c r="H77" i="7"/>
  <c r="AS66" i="5"/>
  <c r="G74" i="7" s="1"/>
  <c r="J71" i="7"/>
  <c r="H69" i="7"/>
  <c r="AS58" i="5"/>
  <c r="G66" i="7" s="1"/>
  <c r="J63" i="7"/>
  <c r="H61" i="7"/>
  <c r="AS50" i="5"/>
  <c r="G58" i="7" s="1"/>
  <c r="J55" i="7"/>
  <c r="H53" i="7"/>
  <c r="AS42" i="5"/>
  <c r="G50" i="7" s="1"/>
  <c r="J47" i="7"/>
  <c r="H45" i="7"/>
  <c r="AS34" i="5"/>
  <c r="G42" i="7" s="1"/>
  <c r="J39" i="7"/>
  <c r="H37" i="7"/>
  <c r="AS26" i="5"/>
  <c r="G34" i="7" s="1"/>
  <c r="J31" i="7"/>
  <c r="H29" i="7"/>
  <c r="AS18" i="5"/>
  <c r="G26" i="7" s="1"/>
  <c r="H21" i="7"/>
  <c r="AS10" i="5"/>
  <c r="G18" i="7" s="1"/>
  <c r="H13" i="7"/>
  <c r="AS2" i="5"/>
  <c r="G10" i="7" s="1"/>
  <c r="H10" i="7"/>
  <c r="D15" i="9"/>
  <c r="K10" i="8"/>
  <c r="E10" i="8"/>
  <c r="H16" i="9"/>
  <c r="K9" i="8"/>
  <c r="E9" i="8"/>
  <c r="D18" i="9"/>
  <c r="D16" i="9"/>
  <c r="K8" i="8"/>
  <c r="J14" i="9"/>
  <c r="B16" i="9"/>
  <c r="I10" i="8"/>
  <c r="J15" i="9"/>
  <c r="E12" i="8"/>
  <c r="J16" i="9"/>
  <c r="K11" i="8"/>
  <c r="BV18" i="3"/>
  <c r="X24" i="5"/>
  <c r="X23" i="5"/>
  <c r="G149" i="7"/>
  <c r="G133" i="7"/>
  <c r="G101" i="7"/>
  <c r="G93" i="7"/>
  <c r="G85" i="7"/>
  <c r="V149" i="5"/>
  <c r="V77" i="5"/>
  <c r="V53" i="5"/>
  <c r="V45" i="5"/>
  <c r="V29" i="5"/>
  <c r="V21" i="5"/>
  <c r="V5" i="5"/>
  <c r="V168" i="5"/>
  <c r="V152" i="5"/>
  <c r="V144" i="5"/>
  <c r="V128" i="5"/>
  <c r="V120" i="5"/>
  <c r="V104" i="5"/>
  <c r="V96" i="5"/>
  <c r="V80" i="5"/>
  <c r="V72" i="5"/>
  <c r="V56" i="5"/>
  <c r="V48" i="5"/>
  <c r="V32" i="5"/>
  <c r="V24" i="5"/>
  <c r="V8" i="5"/>
  <c r="V75" i="5"/>
  <c r="V51" i="5"/>
  <c r="V27" i="5"/>
  <c r="V3" i="5"/>
  <c r="V117" i="5"/>
  <c r="V101" i="5"/>
  <c r="V147" i="5"/>
  <c r="V123" i="5"/>
  <c r="V99" i="5"/>
  <c r="V166" i="5"/>
  <c r="V150" i="5"/>
  <c r="V142" i="5"/>
  <c r="V126" i="5"/>
  <c r="V118" i="5"/>
  <c r="V102" i="5"/>
  <c r="V94" i="5"/>
  <c r="V78" i="5"/>
  <c r="V70" i="5"/>
  <c r="V54" i="5"/>
  <c r="V46" i="5"/>
  <c r="V30" i="5"/>
  <c r="V22" i="5"/>
  <c r="V6" i="5"/>
  <c r="V146" i="5"/>
  <c r="V165" i="5"/>
  <c r="V125" i="5"/>
  <c r="V169" i="5"/>
  <c r="V153" i="5"/>
  <c r="V145" i="5"/>
  <c r="V129" i="5"/>
  <c r="V121" i="5"/>
  <c r="V105" i="5"/>
  <c r="V97" i="5"/>
  <c r="V73" i="5"/>
  <c r="V57" i="5"/>
  <c r="V49" i="5"/>
  <c r="V25" i="5"/>
  <c r="V141" i="5"/>
  <c r="V93" i="5"/>
  <c r="V164" i="5"/>
  <c r="V148" i="5"/>
  <c r="V140" i="5"/>
  <c r="V124" i="5"/>
  <c r="V116" i="5"/>
  <c r="V100" i="5"/>
  <c r="V76" i="5"/>
  <c r="V68" i="5"/>
  <c r="V52" i="5"/>
  <c r="V28" i="5"/>
  <c r="V4" i="5"/>
  <c r="V69" i="5"/>
  <c r="V167" i="5"/>
  <c r="V151" i="5"/>
  <c r="V143" i="5"/>
  <c r="V127" i="5"/>
  <c r="V119" i="5"/>
  <c r="V103" i="5"/>
  <c r="V95" i="5"/>
  <c r="V79" i="5"/>
  <c r="V71" i="5"/>
  <c r="V55" i="5"/>
  <c r="V47" i="5"/>
  <c r="V31" i="5"/>
  <c r="V23" i="5"/>
  <c r="V7" i="5"/>
  <c r="V122" i="5"/>
  <c r="V98" i="5"/>
  <c r="V74" i="5"/>
  <c r="V50" i="5"/>
  <c r="V26" i="5"/>
  <c r="V2" i="5"/>
  <c r="D116" i="5"/>
  <c r="D92" i="5"/>
  <c r="D84" i="5"/>
  <c r="D52" i="5"/>
  <c r="D36" i="5"/>
  <c r="D20" i="5"/>
  <c r="D167" i="5"/>
  <c r="D159" i="5"/>
  <c r="D151" i="5"/>
  <c r="D143" i="5"/>
  <c r="D135" i="5"/>
  <c r="D127" i="5"/>
  <c r="D119" i="5"/>
  <c r="D111" i="5"/>
  <c r="D103" i="5"/>
  <c r="D95" i="5"/>
  <c r="D87" i="5"/>
  <c r="D79" i="5"/>
  <c r="D71" i="5"/>
  <c r="D63" i="5"/>
  <c r="D55" i="5"/>
  <c r="D47" i="5"/>
  <c r="D39" i="5"/>
  <c r="D31" i="5"/>
  <c r="D23" i="5"/>
  <c r="D15" i="5"/>
  <c r="D7" i="5"/>
  <c r="D169" i="5"/>
  <c r="D153" i="5"/>
  <c r="D65" i="5"/>
  <c r="D25" i="5"/>
  <c r="D108" i="5"/>
  <c r="D100" i="5"/>
  <c r="D68" i="5"/>
  <c r="D60" i="5"/>
  <c r="D44" i="5"/>
  <c r="D28" i="5"/>
  <c r="D12" i="5"/>
  <c r="D4" i="5"/>
  <c r="D162" i="5"/>
  <c r="D154" i="5"/>
  <c r="D146" i="5"/>
  <c r="D138" i="5"/>
  <c r="D130" i="5"/>
  <c r="D122" i="5"/>
  <c r="D114" i="5"/>
  <c r="D106" i="5"/>
  <c r="D98" i="5"/>
  <c r="D90" i="5"/>
  <c r="D82" i="5"/>
  <c r="D74" i="5"/>
  <c r="D66" i="5"/>
  <c r="D58" i="5"/>
  <c r="D50" i="5"/>
  <c r="D42" i="5"/>
  <c r="D34" i="5"/>
  <c r="D26" i="5"/>
  <c r="D18" i="5"/>
  <c r="D10" i="5"/>
  <c r="D2" i="5"/>
  <c r="AR2" i="5" s="1"/>
  <c r="D137" i="5"/>
  <c r="D97" i="5"/>
  <c r="D81" i="5"/>
  <c r="D148" i="5"/>
  <c r="D76" i="5"/>
  <c r="D29" i="5"/>
  <c r="D21" i="5"/>
  <c r="D13" i="5"/>
  <c r="D5" i="5"/>
  <c r="D161" i="5"/>
  <c r="D145" i="5"/>
  <c r="D89" i="5"/>
  <c r="D17" i="5"/>
  <c r="D140" i="5"/>
  <c r="D132" i="5"/>
  <c r="D165" i="5"/>
  <c r="D85" i="5"/>
  <c r="D61" i="5"/>
  <c r="D160" i="5"/>
  <c r="D152" i="5"/>
  <c r="D144" i="5"/>
  <c r="D136" i="5"/>
  <c r="D128" i="5"/>
  <c r="D120" i="5"/>
  <c r="D112" i="5"/>
  <c r="D104" i="5"/>
  <c r="D96" i="5"/>
  <c r="V92" i="5"/>
  <c r="D88" i="5"/>
  <c r="D80" i="5"/>
  <c r="D72" i="5"/>
  <c r="D64" i="5"/>
  <c r="D56" i="5"/>
  <c r="D48" i="5"/>
  <c r="D40" i="5"/>
  <c r="D32" i="5"/>
  <c r="D24" i="5"/>
  <c r="D16" i="5"/>
  <c r="D8" i="5"/>
  <c r="D105" i="5"/>
  <c r="D57" i="5"/>
  <c r="D41" i="5"/>
  <c r="D156" i="5"/>
  <c r="D157" i="5"/>
  <c r="D133" i="5"/>
  <c r="D125" i="5"/>
  <c r="D117" i="5"/>
  <c r="D93" i="5"/>
  <c r="D69" i="5"/>
  <c r="D53" i="5"/>
  <c r="D45" i="5"/>
  <c r="D37" i="5"/>
  <c r="D168" i="5"/>
  <c r="D163" i="5"/>
  <c r="D155" i="5"/>
  <c r="D147" i="5"/>
  <c r="D139" i="5"/>
  <c r="D131" i="5"/>
  <c r="D123" i="5"/>
  <c r="D115" i="5"/>
  <c r="D107" i="5"/>
  <c r="D99" i="5"/>
  <c r="D91" i="5"/>
  <c r="D83" i="5"/>
  <c r="D75" i="5"/>
  <c r="D67" i="5"/>
  <c r="D59" i="5"/>
  <c r="D51" i="5"/>
  <c r="D43" i="5"/>
  <c r="D35" i="5"/>
  <c r="D27" i="5"/>
  <c r="D19" i="5"/>
  <c r="D11" i="5"/>
  <c r="D3" i="5"/>
  <c r="D129" i="5"/>
  <c r="D121" i="5"/>
  <c r="D113" i="5"/>
  <c r="D73" i="5"/>
  <c r="D49" i="5"/>
  <c r="D33" i="5"/>
  <c r="D9" i="5"/>
  <c r="D164" i="5"/>
  <c r="D124" i="5"/>
  <c r="D149" i="5"/>
  <c r="D141" i="5"/>
  <c r="D109" i="5"/>
  <c r="D101" i="5"/>
  <c r="D77" i="5"/>
  <c r="D166" i="5"/>
  <c r="D158" i="5"/>
  <c r="D150" i="5"/>
  <c r="D142" i="5"/>
  <c r="D134" i="5"/>
  <c r="D126" i="5"/>
  <c r="D118" i="5"/>
  <c r="D110" i="5"/>
  <c r="D102" i="5"/>
  <c r="D94" i="5"/>
  <c r="D86" i="5"/>
  <c r="D78" i="5"/>
  <c r="D70" i="5"/>
  <c r="D62" i="5"/>
  <c r="D54" i="5"/>
  <c r="D46" i="5"/>
  <c r="D38" i="5"/>
  <c r="D30" i="5"/>
  <c r="D22" i="5"/>
  <c r="D14" i="5"/>
  <c r="D6" i="5"/>
  <c r="V163" i="5"/>
  <c r="V139" i="5"/>
  <c r="V115" i="5"/>
  <c r="V131" i="5"/>
  <c r="V154" i="5"/>
  <c r="V138" i="5"/>
  <c r="V130" i="5"/>
  <c r="M2" i="5"/>
  <c r="CB17" i="3"/>
  <c r="BV16" i="3"/>
  <c r="BT16" i="3"/>
  <c r="C10" i="8" s="1"/>
  <c r="CB16" i="3"/>
  <c r="BZ16" i="3"/>
  <c r="CB15" i="3"/>
  <c r="CB14" i="3"/>
  <c r="AE2" i="5"/>
  <c r="K2" i="5"/>
  <c r="G166" i="5"/>
  <c r="Z126" i="5"/>
  <c r="AA126" i="5"/>
  <c r="G110" i="5"/>
  <c r="S101" i="5"/>
  <c r="T101" i="5"/>
  <c r="G94" i="5"/>
  <c r="Z86" i="5"/>
  <c r="AA86" i="5"/>
  <c r="Z78" i="5"/>
  <c r="AA78" i="5"/>
  <c r="S77" i="5"/>
  <c r="T77" i="5"/>
  <c r="G70" i="5"/>
  <c r="G38" i="5"/>
  <c r="Z30" i="5"/>
  <c r="AA30" i="5"/>
  <c r="Z22" i="5"/>
  <c r="AA22" i="5"/>
  <c r="S5" i="5"/>
  <c r="T5" i="5"/>
  <c r="Z169" i="5"/>
  <c r="AA169" i="5"/>
  <c r="G169" i="5"/>
  <c r="S168" i="5"/>
  <c r="T168" i="5"/>
  <c r="Z161" i="5"/>
  <c r="AA161" i="5"/>
  <c r="G161" i="5"/>
  <c r="S160" i="5"/>
  <c r="T160" i="5"/>
  <c r="Z153" i="5"/>
  <c r="AA153" i="5"/>
  <c r="G153" i="5"/>
  <c r="S152" i="5"/>
  <c r="T152" i="5"/>
  <c r="Z145" i="5"/>
  <c r="AA145" i="5"/>
  <c r="G145" i="5"/>
  <c r="S144" i="5"/>
  <c r="T144" i="5"/>
  <c r="Z137" i="5"/>
  <c r="AA137" i="5"/>
  <c r="G137" i="5"/>
  <c r="S136" i="5"/>
  <c r="T136" i="5"/>
  <c r="Z129" i="5"/>
  <c r="AA129" i="5"/>
  <c r="G129" i="5"/>
  <c r="I129" i="5"/>
  <c r="S128" i="5"/>
  <c r="T128" i="5"/>
  <c r="Z121" i="5"/>
  <c r="AA121" i="5"/>
  <c r="G121" i="5"/>
  <c r="S120" i="5"/>
  <c r="T120" i="5"/>
  <c r="Z113" i="5"/>
  <c r="AA113" i="5"/>
  <c r="G113" i="5"/>
  <c r="S112" i="5"/>
  <c r="T112" i="5"/>
  <c r="Z105" i="5"/>
  <c r="AA105" i="5"/>
  <c r="G105" i="5"/>
  <c r="S104" i="5"/>
  <c r="T104" i="5"/>
  <c r="Z97" i="5"/>
  <c r="AA97" i="5"/>
  <c r="G97" i="5"/>
  <c r="S96" i="5"/>
  <c r="T96" i="5"/>
  <c r="Z89" i="5"/>
  <c r="AA89" i="5"/>
  <c r="G89" i="5"/>
  <c r="S88" i="5"/>
  <c r="T88" i="5"/>
  <c r="Z81" i="5"/>
  <c r="AA81" i="5"/>
  <c r="G81" i="5"/>
  <c r="S80" i="5"/>
  <c r="T80" i="5"/>
  <c r="Z73" i="5"/>
  <c r="AA73" i="5"/>
  <c r="G73" i="5"/>
  <c r="S72" i="5"/>
  <c r="T72" i="5"/>
  <c r="Z65" i="5"/>
  <c r="AA65" i="5"/>
  <c r="G65" i="5"/>
  <c r="I65" i="5"/>
  <c r="S64" i="5"/>
  <c r="T64" i="5"/>
  <c r="Z57" i="5"/>
  <c r="AA57" i="5"/>
  <c r="G57" i="5"/>
  <c r="S56" i="5"/>
  <c r="T56" i="5"/>
  <c r="Z49" i="5"/>
  <c r="AA49" i="5"/>
  <c r="G49" i="5"/>
  <c r="S48" i="5"/>
  <c r="T48" i="5"/>
  <c r="Z41" i="5"/>
  <c r="AA41" i="5"/>
  <c r="G41" i="5"/>
  <c r="S40" i="5"/>
  <c r="T40" i="5"/>
  <c r="Z33" i="5"/>
  <c r="AA33" i="5"/>
  <c r="G33" i="5"/>
  <c r="I33" i="5"/>
  <c r="S32" i="5"/>
  <c r="T32" i="5"/>
  <c r="Z25" i="5"/>
  <c r="AA25" i="5"/>
  <c r="G25" i="5"/>
  <c r="S24" i="5"/>
  <c r="T24" i="5"/>
  <c r="Z17" i="5"/>
  <c r="AA17" i="5"/>
  <c r="G17" i="5"/>
  <c r="I17" i="5"/>
  <c r="S16" i="5"/>
  <c r="T16" i="5"/>
  <c r="Z9" i="5"/>
  <c r="AA9" i="5"/>
  <c r="G9" i="5"/>
  <c r="I9" i="5"/>
  <c r="S8" i="5"/>
  <c r="T8" i="5"/>
  <c r="G134" i="5"/>
  <c r="S125" i="5"/>
  <c r="T125" i="5"/>
  <c r="G102" i="5"/>
  <c r="S85" i="5"/>
  <c r="T85" i="5"/>
  <c r="Z46" i="5"/>
  <c r="AA46" i="5"/>
  <c r="S45" i="5"/>
  <c r="T45" i="5"/>
  <c r="Z38" i="5"/>
  <c r="AA38" i="5"/>
  <c r="S29" i="5"/>
  <c r="T29" i="5"/>
  <c r="S21" i="5"/>
  <c r="T21" i="5"/>
  <c r="Z164" i="5"/>
  <c r="AA164" i="5"/>
  <c r="G164" i="5"/>
  <c r="S163" i="5"/>
  <c r="T163" i="5"/>
  <c r="Z156" i="5"/>
  <c r="AA156" i="5"/>
  <c r="G156" i="5"/>
  <c r="S155" i="5"/>
  <c r="T155" i="5"/>
  <c r="Z148" i="5"/>
  <c r="AA148" i="5"/>
  <c r="G148" i="5"/>
  <c r="S147" i="5"/>
  <c r="T147" i="5"/>
  <c r="Z140" i="5"/>
  <c r="AA140" i="5"/>
  <c r="G140" i="5"/>
  <c r="S139" i="5"/>
  <c r="T139" i="5"/>
  <c r="Z132" i="5"/>
  <c r="AA132" i="5"/>
  <c r="G132" i="5"/>
  <c r="S131" i="5"/>
  <c r="T131" i="5"/>
  <c r="Z124" i="5"/>
  <c r="AA124" i="5"/>
  <c r="G124" i="5"/>
  <c r="S123" i="5"/>
  <c r="T123" i="5"/>
  <c r="Z116" i="5"/>
  <c r="AA116" i="5"/>
  <c r="G116" i="5"/>
  <c r="S115" i="5"/>
  <c r="T115" i="5"/>
  <c r="Z108" i="5"/>
  <c r="AA108" i="5"/>
  <c r="G108" i="5"/>
  <c r="S107" i="5"/>
  <c r="T107" i="5"/>
  <c r="Z100" i="5"/>
  <c r="AA100" i="5"/>
  <c r="G100" i="5"/>
  <c r="S99" i="5"/>
  <c r="T99" i="5"/>
  <c r="Z92" i="5"/>
  <c r="AA92" i="5"/>
  <c r="G92" i="5"/>
  <c r="S91" i="5"/>
  <c r="T91" i="5"/>
  <c r="Z84" i="5"/>
  <c r="AA84" i="5"/>
  <c r="G84" i="5"/>
  <c r="S83" i="5"/>
  <c r="T83" i="5"/>
  <c r="Z76" i="5"/>
  <c r="AA76" i="5"/>
  <c r="G76" i="5"/>
  <c r="S75" i="5"/>
  <c r="T75" i="5"/>
  <c r="Z68" i="5"/>
  <c r="AA68" i="5"/>
  <c r="G68" i="5"/>
  <c r="S67" i="5"/>
  <c r="T67" i="5"/>
  <c r="Z60" i="5"/>
  <c r="AA60" i="5"/>
  <c r="G60" i="5"/>
  <c r="S59" i="5"/>
  <c r="T59" i="5"/>
  <c r="Z52" i="5"/>
  <c r="AA52" i="5"/>
  <c r="G52" i="5"/>
  <c r="S51" i="5"/>
  <c r="T51" i="5"/>
  <c r="Z44" i="5"/>
  <c r="AA44" i="5"/>
  <c r="G44" i="5"/>
  <c r="S43" i="5"/>
  <c r="T43" i="5"/>
  <c r="Z36" i="5"/>
  <c r="AA36" i="5"/>
  <c r="G36" i="5"/>
  <c r="S35" i="5"/>
  <c r="T35" i="5"/>
  <c r="Z28" i="5"/>
  <c r="AA28" i="5"/>
  <c r="G28" i="5"/>
  <c r="S27" i="5"/>
  <c r="T27" i="5"/>
  <c r="Z20" i="5"/>
  <c r="AA20" i="5"/>
  <c r="G20" i="5"/>
  <c r="S19" i="5"/>
  <c r="T19" i="5"/>
  <c r="Z12" i="5"/>
  <c r="AA12" i="5"/>
  <c r="G12" i="5"/>
  <c r="S11" i="5"/>
  <c r="T11" i="5"/>
  <c r="Z4" i="5"/>
  <c r="AA4" i="5"/>
  <c r="G4" i="5"/>
  <c r="S3" i="5"/>
  <c r="T3" i="5"/>
  <c r="S149" i="5"/>
  <c r="T149" i="5"/>
  <c r="Z142" i="5"/>
  <c r="AA142" i="5"/>
  <c r="G118" i="5"/>
  <c r="S109" i="5"/>
  <c r="T109" i="5"/>
  <c r="Z54" i="5"/>
  <c r="AA54" i="5"/>
  <c r="G22" i="5"/>
  <c r="Z14" i="5"/>
  <c r="AA14" i="5"/>
  <c r="Z167" i="5"/>
  <c r="AA167" i="5"/>
  <c r="G167" i="5"/>
  <c r="S166" i="5"/>
  <c r="T166" i="5"/>
  <c r="Z159" i="5"/>
  <c r="AA159" i="5"/>
  <c r="G159" i="5"/>
  <c r="S158" i="5"/>
  <c r="T158" i="5"/>
  <c r="Z151" i="5"/>
  <c r="AA151" i="5"/>
  <c r="G151" i="5"/>
  <c r="S150" i="5"/>
  <c r="T150" i="5"/>
  <c r="Z143" i="5"/>
  <c r="AA143" i="5"/>
  <c r="G143" i="5"/>
  <c r="S142" i="5"/>
  <c r="T142" i="5"/>
  <c r="Z135" i="5"/>
  <c r="AA135" i="5"/>
  <c r="G135" i="5"/>
  <c r="S134" i="5"/>
  <c r="T134" i="5"/>
  <c r="Z127" i="5"/>
  <c r="AA127" i="5"/>
  <c r="G127" i="5"/>
  <c r="S126" i="5"/>
  <c r="T126" i="5"/>
  <c r="Z119" i="5"/>
  <c r="AA119" i="5"/>
  <c r="G119" i="5"/>
  <c r="S118" i="5"/>
  <c r="T118" i="5"/>
  <c r="Z111" i="5"/>
  <c r="AA111" i="5"/>
  <c r="G111" i="5"/>
  <c r="S110" i="5"/>
  <c r="T110" i="5"/>
  <c r="Z103" i="5"/>
  <c r="AA103" i="5"/>
  <c r="G103" i="5"/>
  <c r="S102" i="5"/>
  <c r="T102" i="5"/>
  <c r="Z95" i="5"/>
  <c r="AA95" i="5"/>
  <c r="G95" i="5"/>
  <c r="S94" i="5"/>
  <c r="T94" i="5"/>
  <c r="Z87" i="5"/>
  <c r="AA87" i="5"/>
  <c r="G87" i="5"/>
  <c r="S86" i="5"/>
  <c r="T86" i="5"/>
  <c r="Z79" i="5"/>
  <c r="AA79" i="5"/>
  <c r="G79" i="5"/>
  <c r="S78" i="5"/>
  <c r="T78" i="5"/>
  <c r="Z71" i="5"/>
  <c r="AA71" i="5"/>
  <c r="G71" i="5"/>
  <c r="S70" i="5"/>
  <c r="T70" i="5"/>
  <c r="Z63" i="5"/>
  <c r="AA63" i="5"/>
  <c r="G63" i="5"/>
  <c r="S62" i="5"/>
  <c r="T62" i="5"/>
  <c r="Z55" i="5"/>
  <c r="AA55" i="5"/>
  <c r="G55" i="5"/>
  <c r="S54" i="5"/>
  <c r="T54" i="5"/>
  <c r="Z47" i="5"/>
  <c r="AA47" i="5"/>
  <c r="G47" i="5"/>
  <c r="S46" i="5"/>
  <c r="T46" i="5"/>
  <c r="Z39" i="5"/>
  <c r="AA39" i="5"/>
  <c r="G39" i="5"/>
  <c r="S38" i="5"/>
  <c r="T38" i="5"/>
  <c r="Z31" i="5"/>
  <c r="AA31" i="5"/>
  <c r="G31" i="5"/>
  <c r="S30" i="5"/>
  <c r="T30" i="5"/>
  <c r="Z23" i="5"/>
  <c r="AA23" i="5"/>
  <c r="G23" i="5"/>
  <c r="S22" i="5"/>
  <c r="T22" i="5"/>
  <c r="Z15" i="5"/>
  <c r="AA15" i="5"/>
  <c r="G15" i="5"/>
  <c r="S14" i="5"/>
  <c r="T14" i="5"/>
  <c r="Z7" i="5"/>
  <c r="AA7" i="5"/>
  <c r="G7" i="5"/>
  <c r="S6" i="5"/>
  <c r="T6" i="5"/>
  <c r="S165" i="5"/>
  <c r="T165" i="5"/>
  <c r="Z158" i="5"/>
  <c r="AA158" i="5"/>
  <c r="Z150" i="5"/>
  <c r="AA150" i="5"/>
  <c r="G142" i="5"/>
  <c r="Z134" i="5"/>
  <c r="AA134" i="5"/>
  <c r="G126" i="5"/>
  <c r="Z118" i="5"/>
  <c r="AA118" i="5"/>
  <c r="S117" i="5"/>
  <c r="T117" i="5"/>
  <c r="Z110" i="5"/>
  <c r="AA110" i="5"/>
  <c r="Z102" i="5"/>
  <c r="AA102" i="5"/>
  <c r="S93" i="5"/>
  <c r="T93" i="5"/>
  <c r="G86" i="5"/>
  <c r="G78" i="5"/>
  <c r="Z70" i="5"/>
  <c r="AA70" i="5"/>
  <c r="S69" i="5"/>
  <c r="T69" i="5"/>
  <c r="Z62" i="5"/>
  <c r="AA62" i="5"/>
  <c r="S61" i="5"/>
  <c r="T61" i="5"/>
  <c r="S53" i="5"/>
  <c r="T53" i="5"/>
  <c r="G46" i="5"/>
  <c r="S37" i="5"/>
  <c r="T37" i="5"/>
  <c r="G30" i="5"/>
  <c r="G14" i="5"/>
  <c r="S13" i="5"/>
  <c r="T13" i="5"/>
  <c r="Z6" i="5"/>
  <c r="AA6" i="5"/>
  <c r="G6" i="5"/>
  <c r="I6" i="5"/>
  <c r="S169" i="5"/>
  <c r="T169" i="5"/>
  <c r="Z162" i="5"/>
  <c r="AA162" i="5"/>
  <c r="G162" i="5"/>
  <c r="S161" i="5"/>
  <c r="T161" i="5"/>
  <c r="Z154" i="5"/>
  <c r="AA154" i="5"/>
  <c r="G154" i="5"/>
  <c r="S153" i="5"/>
  <c r="T153" i="5"/>
  <c r="Z146" i="5"/>
  <c r="AA146" i="5"/>
  <c r="G146" i="5"/>
  <c r="S145" i="5"/>
  <c r="T145" i="5"/>
  <c r="Z138" i="5"/>
  <c r="AA138" i="5"/>
  <c r="G138" i="5"/>
  <c r="I138" i="5"/>
  <c r="S137" i="5"/>
  <c r="T137" i="5"/>
  <c r="Z130" i="5"/>
  <c r="AA130" i="5"/>
  <c r="G130" i="5"/>
  <c r="S129" i="5"/>
  <c r="T129" i="5"/>
  <c r="Z122" i="5"/>
  <c r="AA122" i="5"/>
  <c r="G122" i="5"/>
  <c r="S121" i="5"/>
  <c r="T121" i="5"/>
  <c r="Z114" i="5"/>
  <c r="AA114" i="5"/>
  <c r="G114" i="5"/>
  <c r="S113" i="5"/>
  <c r="T113" i="5"/>
  <c r="Z106" i="5"/>
  <c r="AA106" i="5"/>
  <c r="G106" i="5"/>
  <c r="I106" i="5"/>
  <c r="S105" i="5"/>
  <c r="T105" i="5"/>
  <c r="Z98" i="5"/>
  <c r="AA98" i="5"/>
  <c r="G98" i="5"/>
  <c r="S97" i="5"/>
  <c r="T97" i="5"/>
  <c r="Z90" i="5"/>
  <c r="AA90" i="5"/>
  <c r="G90" i="5"/>
  <c r="S89" i="5"/>
  <c r="T89" i="5"/>
  <c r="Z82" i="5"/>
  <c r="AA82" i="5"/>
  <c r="G82" i="5"/>
  <c r="S81" i="5"/>
  <c r="T81" i="5"/>
  <c r="Z74" i="5"/>
  <c r="AA74" i="5"/>
  <c r="G74" i="5"/>
  <c r="I74" i="5"/>
  <c r="S73" i="5"/>
  <c r="T73" i="5"/>
  <c r="Z66" i="5"/>
  <c r="AA66" i="5"/>
  <c r="G66" i="5"/>
  <c r="S65" i="5"/>
  <c r="T65" i="5"/>
  <c r="Z58" i="5"/>
  <c r="AA58" i="5"/>
  <c r="G58" i="5"/>
  <c r="S57" i="5"/>
  <c r="T57" i="5"/>
  <c r="Z50" i="5"/>
  <c r="AA50" i="5"/>
  <c r="G50" i="5"/>
  <c r="S49" i="5"/>
  <c r="T49" i="5"/>
  <c r="Z42" i="5"/>
  <c r="AA42" i="5"/>
  <c r="G42" i="5"/>
  <c r="I42" i="5"/>
  <c r="S41" i="5"/>
  <c r="T41" i="5"/>
  <c r="Z34" i="5"/>
  <c r="AA34" i="5"/>
  <c r="G34" i="5"/>
  <c r="S33" i="5"/>
  <c r="T33" i="5"/>
  <c r="Z26" i="5"/>
  <c r="AA26" i="5"/>
  <c r="G26" i="5"/>
  <c r="S25" i="5"/>
  <c r="T25" i="5"/>
  <c r="Z18" i="5"/>
  <c r="AA18" i="5"/>
  <c r="G18" i="5"/>
  <c r="S17" i="5"/>
  <c r="T17" i="5"/>
  <c r="Z10" i="5"/>
  <c r="AA10" i="5"/>
  <c r="G10" i="5"/>
  <c r="I10" i="5"/>
  <c r="S9" i="5"/>
  <c r="T9" i="5"/>
  <c r="G2" i="5"/>
  <c r="S157" i="5"/>
  <c r="T157" i="5"/>
  <c r="G150" i="5"/>
  <c r="I150" i="5"/>
  <c r="S141" i="5"/>
  <c r="T141" i="5"/>
  <c r="S133" i="5"/>
  <c r="T133" i="5"/>
  <c r="Z94" i="5"/>
  <c r="AA94" i="5"/>
  <c r="G62" i="5"/>
  <c r="I62" i="5"/>
  <c r="G54" i="5"/>
  <c r="Z165" i="5"/>
  <c r="AA165" i="5"/>
  <c r="G165" i="5"/>
  <c r="S164" i="5"/>
  <c r="T164" i="5"/>
  <c r="Z157" i="5"/>
  <c r="AA157" i="5"/>
  <c r="G157" i="5"/>
  <c r="S156" i="5"/>
  <c r="T156" i="5"/>
  <c r="Z149" i="5"/>
  <c r="AA149" i="5"/>
  <c r="G149" i="5"/>
  <c r="S148" i="5"/>
  <c r="T148" i="5"/>
  <c r="Z141" i="5"/>
  <c r="AA141" i="5"/>
  <c r="G141" i="5"/>
  <c r="I141" i="5"/>
  <c r="S140" i="5"/>
  <c r="T140" i="5"/>
  <c r="Z133" i="5"/>
  <c r="AA133" i="5"/>
  <c r="G133" i="5"/>
  <c r="S132" i="5"/>
  <c r="T132" i="5"/>
  <c r="Z125" i="5"/>
  <c r="AA125" i="5"/>
  <c r="G125" i="5"/>
  <c r="S124" i="5"/>
  <c r="T124" i="5"/>
  <c r="Z117" i="5"/>
  <c r="AA117" i="5"/>
  <c r="G117" i="5"/>
  <c r="S116" i="5"/>
  <c r="T116" i="5"/>
  <c r="Z109" i="5"/>
  <c r="AA109" i="5"/>
  <c r="G109" i="5"/>
  <c r="I109" i="5"/>
  <c r="S108" i="5"/>
  <c r="T108" i="5"/>
  <c r="Z101" i="5"/>
  <c r="AA101" i="5"/>
  <c r="G101" i="5"/>
  <c r="S100" i="5"/>
  <c r="T100" i="5"/>
  <c r="Z93" i="5"/>
  <c r="AA93" i="5"/>
  <c r="G93" i="5"/>
  <c r="S92" i="5"/>
  <c r="T92" i="5"/>
  <c r="Z85" i="5"/>
  <c r="AA85" i="5"/>
  <c r="G85" i="5"/>
  <c r="S84" i="5"/>
  <c r="T84" i="5"/>
  <c r="Z77" i="5"/>
  <c r="AA77" i="5"/>
  <c r="G77" i="5"/>
  <c r="I77" i="5"/>
  <c r="S76" i="5"/>
  <c r="T76" i="5"/>
  <c r="Z69" i="5"/>
  <c r="AA69" i="5"/>
  <c r="G69" i="5"/>
  <c r="S68" i="5"/>
  <c r="T68" i="5"/>
  <c r="Z61" i="5"/>
  <c r="AA61" i="5"/>
  <c r="G61" i="5"/>
  <c r="S60" i="5"/>
  <c r="T60" i="5"/>
  <c r="Z53" i="5"/>
  <c r="AA53" i="5"/>
  <c r="G53" i="5"/>
  <c r="S52" i="5"/>
  <c r="T52" i="5"/>
  <c r="Z45" i="5"/>
  <c r="AA45" i="5"/>
  <c r="G45" i="5"/>
  <c r="I45" i="5"/>
  <c r="S44" i="5"/>
  <c r="T44" i="5"/>
  <c r="Z37" i="5"/>
  <c r="AA37" i="5"/>
  <c r="G37" i="5"/>
  <c r="S36" i="5"/>
  <c r="T36" i="5"/>
  <c r="Z29" i="5"/>
  <c r="AA29" i="5"/>
  <c r="G29" i="5"/>
  <c r="S28" i="5"/>
  <c r="T28" i="5"/>
  <c r="Z21" i="5"/>
  <c r="AA21" i="5"/>
  <c r="G21" i="5"/>
  <c r="I21" i="5"/>
  <c r="S20" i="5"/>
  <c r="T20" i="5"/>
  <c r="Z13" i="5"/>
  <c r="AA13" i="5"/>
  <c r="G13" i="5"/>
  <c r="I13" i="5"/>
  <c r="S12" i="5"/>
  <c r="T12" i="5"/>
  <c r="Z5" i="5"/>
  <c r="AA5" i="5"/>
  <c r="G5" i="5"/>
  <c r="I5" i="5"/>
  <c r="S4" i="5"/>
  <c r="T4" i="5"/>
  <c r="Z2" i="5"/>
  <c r="AA2" i="5"/>
  <c r="Z112" i="5"/>
  <c r="AA112" i="5"/>
  <c r="G112" i="5"/>
  <c r="S111" i="5"/>
  <c r="T111" i="5"/>
  <c r="Z104" i="5"/>
  <c r="AA104" i="5"/>
  <c r="G104" i="5"/>
  <c r="S103" i="5"/>
  <c r="T103" i="5"/>
  <c r="Z96" i="5"/>
  <c r="AA96" i="5"/>
  <c r="G96" i="5"/>
  <c r="S95" i="5"/>
  <c r="T95" i="5"/>
  <c r="Z88" i="5"/>
  <c r="AA88" i="5"/>
  <c r="G88" i="5"/>
  <c r="S87" i="5"/>
  <c r="T87" i="5"/>
  <c r="Z80" i="5"/>
  <c r="AA80" i="5"/>
  <c r="G80" i="5"/>
  <c r="S79" i="5"/>
  <c r="T79" i="5"/>
  <c r="Z72" i="5"/>
  <c r="AA72" i="5"/>
  <c r="G72" i="5"/>
  <c r="S71" i="5"/>
  <c r="T71" i="5"/>
  <c r="Z64" i="5"/>
  <c r="AA64" i="5"/>
  <c r="G64" i="5"/>
  <c r="S63" i="5"/>
  <c r="T63" i="5"/>
  <c r="Z56" i="5"/>
  <c r="AA56" i="5"/>
  <c r="G56" i="5"/>
  <c r="S55" i="5"/>
  <c r="T55" i="5"/>
  <c r="Z48" i="5"/>
  <c r="AA48" i="5"/>
  <c r="G48" i="5"/>
  <c r="S47" i="5"/>
  <c r="T47" i="5"/>
  <c r="Z40" i="5"/>
  <c r="AA40" i="5"/>
  <c r="G40" i="5"/>
  <c r="S39" i="5"/>
  <c r="T39" i="5"/>
  <c r="Z32" i="5"/>
  <c r="AA32" i="5"/>
  <c r="G32" i="5"/>
  <c r="S31" i="5"/>
  <c r="T31" i="5"/>
  <c r="Z24" i="5"/>
  <c r="AA24" i="5"/>
  <c r="G24" i="5"/>
  <c r="S23" i="5"/>
  <c r="T23" i="5"/>
  <c r="Z16" i="5"/>
  <c r="AA16" i="5"/>
  <c r="G16" i="5"/>
  <c r="I16" i="5"/>
  <c r="S15" i="5"/>
  <c r="T15" i="5"/>
  <c r="Z8" i="5"/>
  <c r="AA8" i="5"/>
  <c r="G8" i="5"/>
  <c r="S7" i="5"/>
  <c r="T7" i="5"/>
  <c r="Z166" i="5"/>
  <c r="AA166" i="5"/>
  <c r="G158" i="5"/>
  <c r="Z168" i="5"/>
  <c r="AA168" i="5"/>
  <c r="G168" i="5"/>
  <c r="I168" i="5"/>
  <c r="S167" i="5"/>
  <c r="T167" i="5"/>
  <c r="Z160" i="5"/>
  <c r="AA160" i="5"/>
  <c r="G160" i="5"/>
  <c r="S159" i="5"/>
  <c r="T159" i="5"/>
  <c r="Z152" i="5"/>
  <c r="AA152" i="5"/>
  <c r="G152" i="5"/>
  <c r="S151" i="5"/>
  <c r="T151" i="5"/>
  <c r="Z144" i="5"/>
  <c r="AA144" i="5"/>
  <c r="G144" i="5"/>
  <c r="S143" i="5"/>
  <c r="T143" i="5"/>
  <c r="Z136" i="5"/>
  <c r="AA136" i="5"/>
  <c r="G136" i="5"/>
  <c r="S135" i="5"/>
  <c r="T135" i="5"/>
  <c r="Z128" i="5"/>
  <c r="AA128" i="5"/>
  <c r="G128" i="5"/>
  <c r="S127" i="5"/>
  <c r="T127" i="5"/>
  <c r="Z120" i="5"/>
  <c r="AA120" i="5"/>
  <c r="G120" i="5"/>
  <c r="S119" i="5"/>
  <c r="T119" i="5"/>
  <c r="Z163" i="5"/>
  <c r="AA163" i="5"/>
  <c r="G163" i="5"/>
  <c r="S162" i="5"/>
  <c r="T162" i="5"/>
  <c r="Z155" i="5"/>
  <c r="AA155" i="5"/>
  <c r="G155" i="5"/>
  <c r="S154" i="5"/>
  <c r="T154" i="5"/>
  <c r="Z147" i="5"/>
  <c r="AA147" i="5"/>
  <c r="G147" i="5"/>
  <c r="I147" i="5"/>
  <c r="S146" i="5"/>
  <c r="T146" i="5"/>
  <c r="Z139" i="5"/>
  <c r="AA139" i="5"/>
  <c r="G139" i="5"/>
  <c r="S138" i="5"/>
  <c r="T138" i="5"/>
  <c r="Z131" i="5"/>
  <c r="AA131" i="5"/>
  <c r="G131" i="5"/>
  <c r="S130" i="5"/>
  <c r="T130" i="5"/>
  <c r="Z123" i="5"/>
  <c r="AA123" i="5"/>
  <c r="G123" i="5"/>
  <c r="S122" i="5"/>
  <c r="T122" i="5"/>
  <c r="Z115" i="5"/>
  <c r="AA115" i="5"/>
  <c r="G115" i="5"/>
  <c r="S114" i="5"/>
  <c r="T114" i="5"/>
  <c r="Z107" i="5"/>
  <c r="AA107" i="5"/>
  <c r="G107" i="5"/>
  <c r="I107" i="5"/>
  <c r="S106" i="5"/>
  <c r="T106" i="5"/>
  <c r="Z99" i="5"/>
  <c r="AA99" i="5"/>
  <c r="G99" i="5"/>
  <c r="S98" i="5"/>
  <c r="T98" i="5"/>
  <c r="Z91" i="5"/>
  <c r="AA91" i="5"/>
  <c r="G91" i="5"/>
  <c r="S90" i="5"/>
  <c r="T90" i="5"/>
  <c r="Z83" i="5"/>
  <c r="AA83" i="5"/>
  <c r="G83" i="5"/>
  <c r="S82" i="5"/>
  <c r="T82" i="5"/>
  <c r="Z75" i="5"/>
  <c r="AA75" i="5"/>
  <c r="G75" i="5"/>
  <c r="S74" i="5"/>
  <c r="T74" i="5"/>
  <c r="Z67" i="5"/>
  <c r="AA67" i="5"/>
  <c r="G67" i="5"/>
  <c r="S66" i="5"/>
  <c r="T66" i="5"/>
  <c r="Z59" i="5"/>
  <c r="AA59" i="5"/>
  <c r="G59" i="5"/>
  <c r="S58" i="5"/>
  <c r="T58" i="5"/>
  <c r="Z51" i="5"/>
  <c r="AA51" i="5"/>
  <c r="G51" i="5"/>
  <c r="S50" i="5"/>
  <c r="T50" i="5"/>
  <c r="Z43" i="5"/>
  <c r="AA43" i="5"/>
  <c r="G43" i="5"/>
  <c r="S42" i="5"/>
  <c r="T42" i="5"/>
  <c r="Z35" i="5"/>
  <c r="AA35" i="5"/>
  <c r="G35" i="5"/>
  <c r="S34" i="5"/>
  <c r="T34" i="5"/>
  <c r="Z27" i="5"/>
  <c r="AA27" i="5"/>
  <c r="G27" i="5"/>
  <c r="I27" i="5"/>
  <c r="S26" i="5"/>
  <c r="T26" i="5"/>
  <c r="Z19" i="5"/>
  <c r="AA19" i="5"/>
  <c r="G19" i="5"/>
  <c r="S18" i="5"/>
  <c r="T18" i="5"/>
  <c r="Z11" i="5"/>
  <c r="AA11" i="5"/>
  <c r="G11" i="5"/>
  <c r="S10" i="5"/>
  <c r="T10" i="5"/>
  <c r="Z3" i="5"/>
  <c r="AA3" i="5"/>
  <c r="G3" i="5"/>
  <c r="S2" i="5"/>
  <c r="T2" i="5"/>
  <c r="V37" i="5"/>
  <c r="K89" i="5"/>
  <c r="K61" i="5"/>
  <c r="K34" i="5"/>
  <c r="K31" i="5"/>
  <c r="V132" i="5"/>
  <c r="K77" i="5"/>
  <c r="V65" i="5"/>
  <c r="K47" i="5"/>
  <c r="V13" i="5"/>
  <c r="V91" i="5"/>
  <c r="V41" i="5"/>
  <c r="K65" i="5"/>
  <c r="K59" i="5"/>
  <c r="K139" i="5"/>
  <c r="K16" i="5"/>
  <c r="K145" i="5"/>
  <c r="K125" i="5"/>
  <c r="K103" i="5"/>
  <c r="K71" i="5"/>
  <c r="K42" i="5"/>
  <c r="K39" i="5"/>
  <c r="K26" i="5"/>
  <c r="K14" i="5"/>
  <c r="K8" i="5"/>
  <c r="K157" i="5"/>
  <c r="K137" i="5"/>
  <c r="V111" i="5"/>
  <c r="K87" i="5"/>
  <c r="K81" i="5"/>
  <c r="K75" i="5"/>
  <c r="K46" i="5"/>
  <c r="K43" i="5"/>
  <c r="K30" i="5"/>
  <c r="K27" i="5"/>
  <c r="K15" i="5"/>
  <c r="K6" i="5"/>
  <c r="K3" i="5"/>
  <c r="K161" i="5"/>
  <c r="K155" i="5"/>
  <c r="K135" i="5"/>
  <c r="K105" i="5"/>
  <c r="K85" i="5"/>
  <c r="K73" i="5"/>
  <c r="V33" i="5"/>
  <c r="K22" i="5"/>
  <c r="K10" i="5"/>
  <c r="K38" i="5"/>
  <c r="K35" i="5"/>
  <c r="K4" i="5"/>
  <c r="AC2" i="5"/>
  <c r="K153" i="5"/>
  <c r="K121" i="5"/>
  <c r="V87" i="5"/>
  <c r="V81" i="5"/>
  <c r="V63" i="5"/>
  <c r="K55" i="5"/>
  <c r="K49" i="5"/>
  <c r="K45" i="5"/>
  <c r="K41" i="5"/>
  <c r="K37" i="5"/>
  <c r="K33" i="5"/>
  <c r="K29" i="5"/>
  <c r="K25" i="5"/>
  <c r="V159" i="5"/>
  <c r="V135" i="5"/>
  <c r="K119" i="5"/>
  <c r="K93" i="5"/>
  <c r="V85" i="5"/>
  <c r="V67" i="5"/>
  <c r="K53" i="5"/>
  <c r="V15" i="5"/>
  <c r="K7" i="5"/>
  <c r="K23" i="5"/>
  <c r="K123" i="5"/>
  <c r="V113" i="5"/>
  <c r="V89" i="5"/>
  <c r="V83" i="5"/>
  <c r="K69" i="5"/>
  <c r="K57" i="5"/>
  <c r="V19" i="5"/>
  <c r="K107" i="5"/>
  <c r="K141" i="5"/>
  <c r="K109" i="5"/>
  <c r="K97" i="5"/>
  <c r="K91" i="5"/>
  <c r="K48" i="5"/>
  <c r="K44" i="5"/>
  <c r="K40" i="5"/>
  <c r="K36" i="5"/>
  <c r="K32" i="5"/>
  <c r="K28" i="5"/>
  <c r="K24" i="5"/>
  <c r="M137" i="5"/>
  <c r="AC137" i="5"/>
  <c r="M134" i="5"/>
  <c r="AC134" i="5"/>
  <c r="M57" i="5"/>
  <c r="AC57" i="5"/>
  <c r="M54" i="5"/>
  <c r="AC54" i="5"/>
  <c r="M47" i="5"/>
  <c r="AC47" i="5"/>
  <c r="M31" i="5"/>
  <c r="AC31" i="5"/>
  <c r="M27" i="5"/>
  <c r="AC27" i="5"/>
  <c r="M23" i="5"/>
  <c r="AC23" i="5"/>
  <c r="M16" i="5"/>
  <c r="AC16" i="5"/>
  <c r="M9" i="5"/>
  <c r="AC9" i="5"/>
  <c r="K5" i="5"/>
  <c r="AE5" i="5"/>
  <c r="K163" i="5"/>
  <c r="M163" i="5"/>
  <c r="AC163" i="5"/>
  <c r="M160" i="5"/>
  <c r="AC160" i="5"/>
  <c r="V155" i="5"/>
  <c r="K147" i="5"/>
  <c r="M147" i="5"/>
  <c r="AC147" i="5"/>
  <c r="M144" i="5"/>
  <c r="AC144" i="5"/>
  <c r="V136" i="5"/>
  <c r="K131" i="5"/>
  <c r="M131" i="5"/>
  <c r="AC131" i="5"/>
  <c r="AN131" i="5" s="1"/>
  <c r="M128" i="5"/>
  <c r="AC128" i="5"/>
  <c r="K115" i="5"/>
  <c r="M115" i="5"/>
  <c r="AC115" i="5"/>
  <c r="M112" i="5"/>
  <c r="AC112" i="5"/>
  <c r="V107" i="5"/>
  <c r="K99" i="5"/>
  <c r="M99" i="5"/>
  <c r="AC99" i="5"/>
  <c r="M96" i="5"/>
  <c r="AC96" i="5"/>
  <c r="K83" i="5"/>
  <c r="M83" i="5"/>
  <c r="AC83" i="5"/>
  <c r="M80" i="5"/>
  <c r="AC80" i="5"/>
  <c r="K67" i="5"/>
  <c r="M67" i="5"/>
  <c r="AC67" i="5"/>
  <c r="M64" i="5"/>
  <c r="AC64" i="5"/>
  <c r="V59" i="5"/>
  <c r="K51" i="5"/>
  <c r="M51" i="5"/>
  <c r="AC51" i="5"/>
  <c r="K20" i="5"/>
  <c r="M20" i="5"/>
  <c r="AC20" i="5"/>
  <c r="M13" i="5"/>
  <c r="AC13" i="5"/>
  <c r="V11" i="5"/>
  <c r="K9" i="5"/>
  <c r="AE9" i="5"/>
  <c r="M43" i="5"/>
  <c r="AC43" i="5"/>
  <c r="M154" i="5"/>
  <c r="AC154" i="5"/>
  <c r="M109" i="5"/>
  <c r="AC109" i="5"/>
  <c r="M93" i="5"/>
  <c r="AC93" i="5"/>
  <c r="M77" i="5"/>
  <c r="AC77" i="5"/>
  <c r="M74" i="5"/>
  <c r="AC74" i="5"/>
  <c r="M61" i="5"/>
  <c r="AC61" i="5"/>
  <c r="M58" i="5"/>
  <c r="AC58" i="5"/>
  <c r="M48" i="5"/>
  <c r="AC48" i="5"/>
  <c r="M44" i="5"/>
  <c r="AC44" i="5"/>
  <c r="M40" i="5"/>
  <c r="AC40" i="5"/>
  <c r="M36" i="5"/>
  <c r="AC36" i="5"/>
  <c r="M32" i="5"/>
  <c r="AC32" i="5"/>
  <c r="M28" i="5"/>
  <c r="AC28" i="5"/>
  <c r="M24" i="5"/>
  <c r="AC24" i="5"/>
  <c r="M17" i="5"/>
  <c r="AC17" i="5"/>
  <c r="K13" i="5"/>
  <c r="AE13" i="5"/>
  <c r="M6" i="5"/>
  <c r="AC6" i="5"/>
  <c r="M35" i="5"/>
  <c r="AC35" i="5"/>
  <c r="M157" i="5"/>
  <c r="AC157" i="5"/>
  <c r="K167" i="5"/>
  <c r="M167" i="5"/>
  <c r="AC167" i="5"/>
  <c r="M164" i="5"/>
  <c r="AC164" i="5"/>
  <c r="V156" i="5"/>
  <c r="K151" i="5"/>
  <c r="M151" i="5"/>
  <c r="AC151" i="5"/>
  <c r="M148" i="5"/>
  <c r="AC148" i="5"/>
  <c r="M135" i="5"/>
  <c r="AC135" i="5"/>
  <c r="M132" i="5"/>
  <c r="AC132" i="5"/>
  <c r="M119" i="5"/>
  <c r="AC119" i="5"/>
  <c r="M116" i="5"/>
  <c r="AC116" i="5"/>
  <c r="M103" i="5"/>
  <c r="AC103" i="5"/>
  <c r="M100" i="5"/>
  <c r="AC100" i="5"/>
  <c r="M87" i="5"/>
  <c r="AC87" i="5"/>
  <c r="M84" i="5"/>
  <c r="AC84" i="5"/>
  <c r="M71" i="5"/>
  <c r="AC71" i="5"/>
  <c r="M68" i="5"/>
  <c r="AC68" i="5"/>
  <c r="M55" i="5"/>
  <c r="AC55" i="5"/>
  <c r="M52" i="5"/>
  <c r="AC52" i="5"/>
  <c r="M21" i="5"/>
  <c r="AC21" i="5"/>
  <c r="K17" i="5"/>
  <c r="AE17" i="5"/>
  <c r="M10" i="5"/>
  <c r="AC10" i="5"/>
  <c r="M3" i="5"/>
  <c r="AC3" i="5"/>
  <c r="M121" i="5"/>
  <c r="AC121" i="5"/>
  <c r="M118" i="5"/>
  <c r="AC118" i="5"/>
  <c r="M86" i="5"/>
  <c r="AC86" i="5"/>
  <c r="M73" i="5"/>
  <c r="AC73" i="5"/>
  <c r="M70" i="5"/>
  <c r="AC70" i="5"/>
  <c r="M122" i="5"/>
  <c r="AC122" i="5"/>
  <c r="M90" i="5"/>
  <c r="AC90" i="5"/>
  <c r="M161" i="5"/>
  <c r="AC161" i="5"/>
  <c r="M145" i="5"/>
  <c r="AC145" i="5"/>
  <c r="M142" i="5"/>
  <c r="AC142" i="5"/>
  <c r="K129" i="5"/>
  <c r="M129" i="5"/>
  <c r="AC129" i="5"/>
  <c r="M126" i="5"/>
  <c r="AC126" i="5"/>
  <c r="K113" i="5"/>
  <c r="M113" i="5"/>
  <c r="AC113" i="5"/>
  <c r="M110" i="5"/>
  <c r="AC110" i="5"/>
  <c r="M97" i="5"/>
  <c r="AC97" i="5"/>
  <c r="M94" i="5"/>
  <c r="AC94" i="5"/>
  <c r="M81" i="5"/>
  <c r="AC81" i="5"/>
  <c r="M78" i="5"/>
  <c r="AC78" i="5"/>
  <c r="M65" i="5"/>
  <c r="AC65" i="5"/>
  <c r="M62" i="5"/>
  <c r="AC62" i="5"/>
  <c r="M49" i="5"/>
  <c r="AC49" i="5"/>
  <c r="M45" i="5"/>
  <c r="AC45" i="5"/>
  <c r="V43" i="5"/>
  <c r="M41" i="5"/>
  <c r="AC41" i="5"/>
  <c r="V39" i="5"/>
  <c r="M37" i="5"/>
  <c r="AC37" i="5"/>
  <c r="V35" i="5"/>
  <c r="M33" i="5"/>
  <c r="AC33" i="5"/>
  <c r="M29" i="5"/>
  <c r="AC29" i="5"/>
  <c r="M25" i="5"/>
  <c r="AC25" i="5"/>
  <c r="K21" i="5"/>
  <c r="AE21" i="5"/>
  <c r="M14" i="5"/>
  <c r="AC14" i="5"/>
  <c r="V9" i="5"/>
  <c r="M7" i="5"/>
  <c r="AC7" i="5"/>
  <c r="M153" i="5"/>
  <c r="AC153" i="5"/>
  <c r="M102" i="5"/>
  <c r="AC102" i="5"/>
  <c r="M141" i="5"/>
  <c r="AC141" i="5"/>
  <c r="M138" i="5"/>
  <c r="AC138" i="5"/>
  <c r="M125" i="5"/>
  <c r="AC125" i="5"/>
  <c r="M158" i="5"/>
  <c r="AC158" i="5"/>
  <c r="K168" i="5"/>
  <c r="M168" i="5"/>
  <c r="AC168" i="5"/>
  <c r="V160" i="5"/>
  <c r="M155" i="5"/>
  <c r="AC155" i="5"/>
  <c r="M152" i="5"/>
  <c r="AC152" i="5"/>
  <c r="M139" i="5"/>
  <c r="AC139" i="5"/>
  <c r="M136" i="5"/>
  <c r="AC136" i="5"/>
  <c r="M123" i="5"/>
  <c r="AC123" i="5"/>
  <c r="M120" i="5"/>
  <c r="AC120" i="5"/>
  <c r="M107" i="5"/>
  <c r="AC107" i="5"/>
  <c r="M104" i="5"/>
  <c r="AC104" i="5"/>
  <c r="M91" i="5"/>
  <c r="AC91" i="5"/>
  <c r="M88" i="5"/>
  <c r="AC88" i="5"/>
  <c r="M75" i="5"/>
  <c r="AC75" i="5"/>
  <c r="M72" i="5"/>
  <c r="AC72" i="5"/>
  <c r="M59" i="5"/>
  <c r="AC59" i="5"/>
  <c r="M56" i="5"/>
  <c r="AC56" i="5"/>
  <c r="K18" i="5"/>
  <c r="M18" i="5"/>
  <c r="AC18" i="5"/>
  <c r="K11" i="5"/>
  <c r="M11" i="5"/>
  <c r="AC11" i="5"/>
  <c r="M4" i="5"/>
  <c r="AC4" i="5"/>
  <c r="M166" i="5"/>
  <c r="AC166" i="5"/>
  <c r="M150" i="5"/>
  <c r="AC150" i="5"/>
  <c r="M105" i="5"/>
  <c r="AC105" i="5"/>
  <c r="M89" i="5"/>
  <c r="AC89" i="5"/>
  <c r="M39" i="5"/>
  <c r="AC39" i="5"/>
  <c r="M106" i="5"/>
  <c r="AC106" i="5"/>
  <c r="K165" i="5"/>
  <c r="M165" i="5"/>
  <c r="AC165" i="5"/>
  <c r="M162" i="5"/>
  <c r="AC162" i="5"/>
  <c r="K149" i="5"/>
  <c r="M149" i="5"/>
  <c r="AC149" i="5"/>
  <c r="M146" i="5"/>
  <c r="AC146" i="5"/>
  <c r="K133" i="5"/>
  <c r="M133" i="5"/>
  <c r="AC133" i="5"/>
  <c r="M130" i="5"/>
  <c r="AC130" i="5"/>
  <c r="K117" i="5"/>
  <c r="M117" i="5"/>
  <c r="AC117" i="5"/>
  <c r="M114" i="5"/>
  <c r="AC114" i="5"/>
  <c r="V109" i="5"/>
  <c r="K101" i="5"/>
  <c r="M101" i="5"/>
  <c r="AC101" i="5"/>
  <c r="M98" i="5"/>
  <c r="AC98" i="5"/>
  <c r="M85" i="5"/>
  <c r="AC85" i="5"/>
  <c r="M82" i="5"/>
  <c r="AC82" i="5"/>
  <c r="M69" i="5"/>
  <c r="AC69" i="5"/>
  <c r="M66" i="5"/>
  <c r="AC66" i="5"/>
  <c r="V61" i="5"/>
  <c r="M53" i="5"/>
  <c r="AC53" i="5"/>
  <c r="M50" i="5"/>
  <c r="AC50" i="5"/>
  <c r="M46" i="5"/>
  <c r="AC46" i="5"/>
  <c r="M42" i="5"/>
  <c r="AC42" i="5"/>
  <c r="M38" i="5"/>
  <c r="AC38" i="5"/>
  <c r="M34" i="5"/>
  <c r="AC34" i="5"/>
  <c r="M30" i="5"/>
  <c r="AC30" i="5"/>
  <c r="M26" i="5"/>
  <c r="AC26" i="5"/>
  <c r="M22" i="5"/>
  <c r="AC22" i="5"/>
  <c r="V17" i="5"/>
  <c r="M15" i="5"/>
  <c r="AC15" i="5"/>
  <c r="M8" i="5"/>
  <c r="AC8" i="5"/>
  <c r="K169" i="5"/>
  <c r="M169" i="5"/>
  <c r="AC169" i="5"/>
  <c r="K159" i="5"/>
  <c r="M159" i="5"/>
  <c r="AC159" i="5"/>
  <c r="M156" i="5"/>
  <c r="AC156" i="5"/>
  <c r="K143" i="5"/>
  <c r="M143" i="5"/>
  <c r="AC143" i="5"/>
  <c r="M140" i="5"/>
  <c r="AC140" i="5"/>
  <c r="K127" i="5"/>
  <c r="M127" i="5"/>
  <c r="AC127" i="5"/>
  <c r="M124" i="5"/>
  <c r="AC124" i="5"/>
  <c r="K111" i="5"/>
  <c r="M111" i="5"/>
  <c r="AC111" i="5"/>
  <c r="M108" i="5"/>
  <c r="AC108" i="5"/>
  <c r="K95" i="5"/>
  <c r="M95" i="5"/>
  <c r="AC95" i="5"/>
  <c r="M92" i="5"/>
  <c r="AC92" i="5"/>
  <c r="K79" i="5"/>
  <c r="M79" i="5"/>
  <c r="AC79" i="5"/>
  <c r="M76" i="5"/>
  <c r="AC76" i="5"/>
  <c r="K63" i="5"/>
  <c r="M63" i="5"/>
  <c r="AC63" i="5"/>
  <c r="M60" i="5"/>
  <c r="AC60" i="5"/>
  <c r="K19" i="5"/>
  <c r="M19" i="5"/>
  <c r="AC19" i="5"/>
  <c r="K12" i="5"/>
  <c r="M12" i="5"/>
  <c r="AC12" i="5"/>
  <c r="M5" i="5"/>
  <c r="AC5" i="5"/>
  <c r="V157" i="5"/>
  <c r="V137" i="5"/>
  <c r="K166" i="5"/>
  <c r="K162" i="5"/>
  <c r="K158" i="5"/>
  <c r="K154" i="5"/>
  <c r="K150" i="5"/>
  <c r="K146" i="5"/>
  <c r="K142" i="5"/>
  <c r="K138" i="5"/>
  <c r="K134" i="5"/>
  <c r="K130" i="5"/>
  <c r="K126" i="5"/>
  <c r="K122" i="5"/>
  <c r="K118" i="5"/>
  <c r="K114" i="5"/>
  <c r="K110" i="5"/>
  <c r="K106" i="5"/>
  <c r="K102" i="5"/>
  <c r="K98" i="5"/>
  <c r="K94" i="5"/>
  <c r="K90" i="5"/>
  <c r="K86" i="5"/>
  <c r="K82" i="5"/>
  <c r="K78" i="5"/>
  <c r="K74" i="5"/>
  <c r="K70" i="5"/>
  <c r="K66" i="5"/>
  <c r="K62" i="5"/>
  <c r="K58" i="5"/>
  <c r="K54" i="5"/>
  <c r="K50" i="5"/>
  <c r="V112" i="5"/>
  <c r="V108" i="5"/>
  <c r="V88" i="5"/>
  <c r="V84" i="5"/>
  <c r="V64" i="5"/>
  <c r="V60" i="5"/>
  <c r="V44" i="5"/>
  <c r="V40" i="5"/>
  <c r="V36" i="5"/>
  <c r="V20" i="5"/>
  <c r="V16" i="5"/>
  <c r="K164" i="5"/>
  <c r="K160" i="5"/>
  <c r="K156" i="5"/>
  <c r="K152" i="5"/>
  <c r="K148" i="5"/>
  <c r="K144" i="5"/>
  <c r="K140" i="5"/>
  <c r="K136" i="5"/>
  <c r="K132" i="5"/>
  <c r="K128" i="5"/>
  <c r="K124" i="5"/>
  <c r="K120" i="5"/>
  <c r="K116" i="5"/>
  <c r="K112" i="5"/>
  <c r="K108" i="5"/>
  <c r="K104" i="5"/>
  <c r="K100" i="5"/>
  <c r="K96" i="5"/>
  <c r="K92" i="5"/>
  <c r="K88" i="5"/>
  <c r="K84" i="5"/>
  <c r="K80" i="5"/>
  <c r="K76" i="5"/>
  <c r="K72" i="5"/>
  <c r="K68" i="5"/>
  <c r="K64" i="5"/>
  <c r="K60" i="5"/>
  <c r="K56" i="5"/>
  <c r="K52" i="5"/>
  <c r="V162" i="5"/>
  <c r="V114" i="5"/>
  <c r="V110" i="5"/>
  <c r="V106" i="5"/>
  <c r="V90" i="5"/>
  <c r="V86" i="5"/>
  <c r="V82" i="5"/>
  <c r="V66" i="5"/>
  <c r="V62" i="5"/>
  <c r="V58" i="5"/>
  <c r="V42" i="5"/>
  <c r="V38" i="5"/>
  <c r="V34" i="5"/>
  <c r="V18" i="5"/>
  <c r="V14" i="5"/>
  <c r="V158" i="5"/>
  <c r="V134" i="5"/>
  <c r="V161" i="5"/>
  <c r="V133" i="5"/>
  <c r="V12" i="5"/>
  <c r="V10" i="5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V32" i="3" l="1"/>
  <c r="V34" i="3"/>
  <c r="V12" i="3"/>
  <c r="V31" i="3"/>
  <c r="V129" i="3"/>
  <c r="V153" i="3"/>
  <c r="V35" i="3"/>
  <c r="V155" i="3"/>
  <c r="V173" i="3"/>
  <c r="V30" i="3"/>
  <c r="V23" i="3"/>
  <c r="V167" i="3"/>
  <c r="V24" i="3"/>
  <c r="V25" i="3"/>
  <c r="V169" i="3"/>
  <c r="V168" i="3"/>
  <c r="V171" i="3"/>
  <c r="V172" i="3"/>
  <c r="V29" i="3"/>
  <c r="K8" i="7"/>
  <c r="J8" i="7"/>
  <c r="V28" i="3"/>
  <c r="L100" i="7"/>
  <c r="K7" i="7"/>
  <c r="H8" i="7"/>
  <c r="G8" i="7"/>
  <c r="AN63" i="5"/>
  <c r="D71" i="7" s="1"/>
  <c r="AN73" i="5"/>
  <c r="D81" i="7" s="1"/>
  <c r="AN48" i="5"/>
  <c r="D56" i="7" s="1"/>
  <c r="AN77" i="5"/>
  <c r="D85" i="7" s="1"/>
  <c r="AN67" i="5"/>
  <c r="D75" i="7" s="1"/>
  <c r="AN25" i="5"/>
  <c r="D33" i="7" s="1"/>
  <c r="AN57" i="5"/>
  <c r="D65" i="7" s="1"/>
  <c r="AN150" i="5"/>
  <c r="D158" i="7" s="1"/>
  <c r="AN139" i="5"/>
  <c r="D147" i="7" s="1"/>
  <c r="AN167" i="5"/>
  <c r="D175" i="7" s="1"/>
  <c r="AN55" i="5"/>
  <c r="D63" i="7" s="1"/>
  <c r="AN89" i="5"/>
  <c r="D97" i="7" s="1"/>
  <c r="AN45" i="5"/>
  <c r="D53" i="7" s="1"/>
  <c r="AN120" i="5"/>
  <c r="D128" i="7" s="1"/>
  <c r="AN78" i="5"/>
  <c r="D86" i="7" s="1"/>
  <c r="AN156" i="5"/>
  <c r="D164" i="7" s="1"/>
  <c r="AN98" i="5"/>
  <c r="D106" i="7" s="1"/>
  <c r="AN117" i="5"/>
  <c r="D125" i="7" s="1"/>
  <c r="AN146" i="5"/>
  <c r="D154" i="7" s="1"/>
  <c r="AN91" i="5"/>
  <c r="D99" i="7" s="1"/>
  <c r="AN49" i="5"/>
  <c r="D57" i="7" s="1"/>
  <c r="AN113" i="5"/>
  <c r="D121" i="7" s="1"/>
  <c r="AN122" i="5"/>
  <c r="D130" i="7" s="1"/>
  <c r="AN100" i="5"/>
  <c r="D108" i="7" s="1"/>
  <c r="AN80" i="5"/>
  <c r="D88" i="7" s="1"/>
  <c r="AN128" i="5"/>
  <c r="D136" i="7" s="1"/>
  <c r="AN72" i="5"/>
  <c r="D80" i="7" s="1"/>
  <c r="AN140" i="5"/>
  <c r="D148" i="7" s="1"/>
  <c r="AN130" i="5"/>
  <c r="D138" i="7" s="1"/>
  <c r="AN168" i="5"/>
  <c r="D176" i="7" s="1"/>
  <c r="AN154" i="5"/>
  <c r="D162" i="7" s="1"/>
  <c r="AN56" i="5"/>
  <c r="D64" i="7" s="1"/>
  <c r="AN119" i="5"/>
  <c r="D127" i="7" s="1"/>
  <c r="AN4" i="5"/>
  <c r="D12" i="7" s="1"/>
  <c r="AR6" i="5"/>
  <c r="F14" i="7" s="1"/>
  <c r="AR70" i="5"/>
  <c r="F78" i="7" s="1"/>
  <c r="AR134" i="5"/>
  <c r="F142" i="7" s="1"/>
  <c r="AR141" i="5"/>
  <c r="F149" i="7" s="1"/>
  <c r="AR113" i="5"/>
  <c r="F121" i="7" s="1"/>
  <c r="AR43" i="5"/>
  <c r="F51" i="7" s="1"/>
  <c r="AR107" i="5"/>
  <c r="F115" i="7" s="1"/>
  <c r="AR168" i="5"/>
  <c r="F176" i="7" s="1"/>
  <c r="AR133" i="5"/>
  <c r="F141" i="7" s="1"/>
  <c r="AR24" i="5"/>
  <c r="F32" i="7" s="1"/>
  <c r="AR88" i="5"/>
  <c r="F96" i="7" s="1"/>
  <c r="AR144" i="5"/>
  <c r="F152" i="7" s="1"/>
  <c r="AR17" i="5"/>
  <c r="F25" i="7" s="1"/>
  <c r="AR76" i="5"/>
  <c r="F84" i="7" s="1"/>
  <c r="AR26" i="5"/>
  <c r="F34" i="7" s="1"/>
  <c r="AR90" i="5"/>
  <c r="F98" i="7" s="1"/>
  <c r="AR154" i="5"/>
  <c r="F162" i="7" s="1"/>
  <c r="AR100" i="5"/>
  <c r="F108" i="7" s="1"/>
  <c r="AR23" i="5"/>
  <c r="F31" i="7" s="1"/>
  <c r="AR87" i="5"/>
  <c r="AT87" i="5" s="1"/>
  <c r="AR151" i="5"/>
  <c r="F159" i="7" s="1"/>
  <c r="AR116" i="5"/>
  <c r="F124" i="7" s="1"/>
  <c r="AN165" i="5"/>
  <c r="D173" i="7" s="1"/>
  <c r="AR14" i="5"/>
  <c r="F22" i="7" s="1"/>
  <c r="AR78" i="5"/>
  <c r="F86" i="7" s="1"/>
  <c r="AR142" i="5"/>
  <c r="F150" i="7" s="1"/>
  <c r="AR149" i="5"/>
  <c r="F157" i="7" s="1"/>
  <c r="AR121" i="5"/>
  <c r="F129" i="7" s="1"/>
  <c r="AR51" i="5"/>
  <c r="F59" i="7" s="1"/>
  <c r="AR115" i="5"/>
  <c r="F123" i="7" s="1"/>
  <c r="AR37" i="5"/>
  <c r="F45" i="7" s="1"/>
  <c r="AR157" i="5"/>
  <c r="F165" i="7" s="1"/>
  <c r="AR32" i="5"/>
  <c r="AT32" i="5" s="1"/>
  <c r="AR152" i="5"/>
  <c r="F160" i="7" s="1"/>
  <c r="AR89" i="5"/>
  <c r="F97" i="7" s="1"/>
  <c r="AR148" i="5"/>
  <c r="F156" i="7" s="1"/>
  <c r="AR34" i="5"/>
  <c r="F42" i="7" s="1"/>
  <c r="AR98" i="5"/>
  <c r="F106" i="7" s="1"/>
  <c r="AR162" i="5"/>
  <c r="F170" i="7" s="1"/>
  <c r="AR108" i="5"/>
  <c r="F116" i="7" s="1"/>
  <c r="AR31" i="5"/>
  <c r="F39" i="7" s="1"/>
  <c r="AR95" i="5"/>
  <c r="F103" i="7" s="1"/>
  <c r="AR159" i="5"/>
  <c r="F167" i="7" s="1"/>
  <c r="AN151" i="5"/>
  <c r="D159" i="7" s="1"/>
  <c r="AN68" i="5"/>
  <c r="D76" i="7" s="1"/>
  <c r="AR22" i="5"/>
  <c r="AT22" i="5" s="1"/>
  <c r="AR86" i="5"/>
  <c r="F94" i="7" s="1"/>
  <c r="AR150" i="5"/>
  <c r="F158" i="7" s="1"/>
  <c r="AR124" i="5"/>
  <c r="F132" i="7" s="1"/>
  <c r="AR129" i="5"/>
  <c r="F137" i="7" s="1"/>
  <c r="AR123" i="5"/>
  <c r="F131" i="7" s="1"/>
  <c r="AR96" i="5"/>
  <c r="F104" i="7" s="1"/>
  <c r="AR160" i="5"/>
  <c r="F168" i="7" s="1"/>
  <c r="AR145" i="5"/>
  <c r="F153" i="7" s="1"/>
  <c r="AR81" i="5"/>
  <c r="F89" i="7" s="1"/>
  <c r="AR42" i="5"/>
  <c r="F50" i="7" s="1"/>
  <c r="AR106" i="5"/>
  <c r="F114" i="7" s="1"/>
  <c r="AR4" i="5"/>
  <c r="F12" i="7" s="1"/>
  <c r="AR25" i="5"/>
  <c r="F33" i="7" s="1"/>
  <c r="AR39" i="5"/>
  <c r="F47" i="7" s="1"/>
  <c r="AR103" i="5"/>
  <c r="F111" i="7" s="1"/>
  <c r="AR167" i="5"/>
  <c r="F175" i="7" s="1"/>
  <c r="H7" i="7"/>
  <c r="AN105" i="5"/>
  <c r="D113" i="7" s="1"/>
  <c r="AN125" i="5"/>
  <c r="D133" i="7" s="1"/>
  <c r="AN81" i="5"/>
  <c r="D89" i="7" s="1"/>
  <c r="AN132" i="5"/>
  <c r="D140" i="7" s="1"/>
  <c r="AR45" i="5"/>
  <c r="F53" i="7" s="1"/>
  <c r="AN30" i="5"/>
  <c r="D38" i="7" s="1"/>
  <c r="AN46" i="5"/>
  <c r="D54" i="7" s="1"/>
  <c r="AR30" i="5"/>
  <c r="F38" i="7" s="1"/>
  <c r="AR94" i="5"/>
  <c r="AT94" i="5" s="1"/>
  <c r="AR158" i="5"/>
  <c r="F166" i="7" s="1"/>
  <c r="AR164" i="5"/>
  <c r="F172" i="7" s="1"/>
  <c r="AR3" i="5"/>
  <c r="F11" i="7" s="1"/>
  <c r="AR67" i="5"/>
  <c r="F75" i="7" s="1"/>
  <c r="AR131" i="5"/>
  <c r="F139" i="7" s="1"/>
  <c r="AR53" i="5"/>
  <c r="F61" i="7" s="1"/>
  <c r="AR41" i="5"/>
  <c r="F49" i="7" s="1"/>
  <c r="AR48" i="5"/>
  <c r="F56" i="7" s="1"/>
  <c r="AR104" i="5"/>
  <c r="F112" i="7" s="1"/>
  <c r="AR61" i="5"/>
  <c r="F69" i="7" s="1"/>
  <c r="AR161" i="5"/>
  <c r="F169" i="7" s="1"/>
  <c r="AR97" i="5"/>
  <c r="F105" i="7" s="1"/>
  <c r="AR50" i="5"/>
  <c r="F58" i="7" s="1"/>
  <c r="AR114" i="5"/>
  <c r="F122" i="7" s="1"/>
  <c r="AR12" i="5"/>
  <c r="F20" i="7" s="1"/>
  <c r="AR65" i="5"/>
  <c r="F73" i="7" s="1"/>
  <c r="AR47" i="5"/>
  <c r="F55" i="7" s="1"/>
  <c r="AR111" i="5"/>
  <c r="F119" i="7" s="1"/>
  <c r="AR20" i="5"/>
  <c r="F28" i="7" s="1"/>
  <c r="AN153" i="5"/>
  <c r="D161" i="7" s="1"/>
  <c r="AR59" i="5"/>
  <c r="F67" i="7" s="1"/>
  <c r="AN5" i="5"/>
  <c r="D13" i="7" s="1"/>
  <c r="AN15" i="5"/>
  <c r="D23" i="7" s="1"/>
  <c r="AN94" i="5"/>
  <c r="D102" i="7" s="1"/>
  <c r="AN70" i="5"/>
  <c r="D78" i="7" s="1"/>
  <c r="AN103" i="5"/>
  <c r="D111" i="7" s="1"/>
  <c r="AN164" i="5"/>
  <c r="D172" i="7" s="1"/>
  <c r="AR38" i="5"/>
  <c r="F46" i="7" s="1"/>
  <c r="AR102" i="5"/>
  <c r="AT102" i="5" s="1"/>
  <c r="AR166" i="5"/>
  <c r="F174" i="7" s="1"/>
  <c r="AR9" i="5"/>
  <c r="F17" i="7" s="1"/>
  <c r="AR11" i="5"/>
  <c r="F19" i="7" s="1"/>
  <c r="AR75" i="5"/>
  <c r="F83" i="7" s="1"/>
  <c r="AR139" i="5"/>
  <c r="F147" i="7" s="1"/>
  <c r="AR69" i="5"/>
  <c r="F77" i="7" s="1"/>
  <c r="AR57" i="5"/>
  <c r="F65" i="7" s="1"/>
  <c r="AR56" i="5"/>
  <c r="F64" i="7" s="1"/>
  <c r="AR112" i="5"/>
  <c r="F120" i="7" s="1"/>
  <c r="AR85" i="5"/>
  <c r="F93" i="7" s="1"/>
  <c r="AR5" i="5"/>
  <c r="F13" i="7" s="1"/>
  <c r="AR137" i="5"/>
  <c r="F145" i="7" s="1"/>
  <c r="AR58" i="5"/>
  <c r="F66" i="7" s="1"/>
  <c r="AR122" i="5"/>
  <c r="F130" i="7" s="1"/>
  <c r="AR28" i="5"/>
  <c r="F36" i="7" s="1"/>
  <c r="AR153" i="5"/>
  <c r="F161" i="7" s="1"/>
  <c r="AR55" i="5"/>
  <c r="AT55" i="5" s="1"/>
  <c r="AR119" i="5"/>
  <c r="F127" i="7" s="1"/>
  <c r="AR36" i="5"/>
  <c r="F44" i="7" s="1"/>
  <c r="AN127" i="5"/>
  <c r="D135" i="7" s="1"/>
  <c r="AN59" i="5"/>
  <c r="D67" i="7" s="1"/>
  <c r="AN147" i="5"/>
  <c r="D155" i="7" s="1"/>
  <c r="AR156" i="5"/>
  <c r="F164" i="7" s="1"/>
  <c r="AN28" i="5"/>
  <c r="D36" i="7" s="1"/>
  <c r="AR46" i="5"/>
  <c r="F54" i="7" s="1"/>
  <c r="AR110" i="5"/>
  <c r="F118" i="7" s="1"/>
  <c r="AR77" i="5"/>
  <c r="F85" i="7" s="1"/>
  <c r="AR33" i="5"/>
  <c r="F41" i="7" s="1"/>
  <c r="AR19" i="5"/>
  <c r="F27" i="7" s="1"/>
  <c r="AR83" i="5"/>
  <c r="F91" i="7" s="1"/>
  <c r="AR147" i="5"/>
  <c r="F155" i="7" s="1"/>
  <c r="AR93" i="5"/>
  <c r="F101" i="7" s="1"/>
  <c r="AR105" i="5"/>
  <c r="F113" i="7" s="1"/>
  <c r="AR64" i="5"/>
  <c r="F72" i="7" s="1"/>
  <c r="AR120" i="5"/>
  <c r="F128" i="7" s="1"/>
  <c r="AR165" i="5"/>
  <c r="F173" i="7" s="1"/>
  <c r="AR13" i="5"/>
  <c r="F21" i="7" s="1"/>
  <c r="AR66" i="5"/>
  <c r="F74" i="7" s="1"/>
  <c r="AR130" i="5"/>
  <c r="F138" i="7" s="1"/>
  <c r="AR44" i="5"/>
  <c r="F52" i="7" s="1"/>
  <c r="AR169" i="5"/>
  <c r="F177" i="7" s="1"/>
  <c r="AR63" i="5"/>
  <c r="AT63" i="5" s="1"/>
  <c r="AR127" i="5"/>
  <c r="F135" i="7" s="1"/>
  <c r="AR52" i="5"/>
  <c r="F60" i="7" s="1"/>
  <c r="AN11" i="5"/>
  <c r="D19" i="7" s="1"/>
  <c r="AN123" i="5"/>
  <c r="D131" i="7" s="1"/>
  <c r="AN142" i="5"/>
  <c r="D150" i="7" s="1"/>
  <c r="AR40" i="5"/>
  <c r="F48" i="7" s="1"/>
  <c r="AN92" i="5"/>
  <c r="D100" i="7" s="1"/>
  <c r="AN65" i="5"/>
  <c r="D73" i="7" s="1"/>
  <c r="AN97" i="5"/>
  <c r="D105" i="7" s="1"/>
  <c r="AN148" i="5"/>
  <c r="D156" i="7" s="1"/>
  <c r="AR54" i="5"/>
  <c r="F62" i="7" s="1"/>
  <c r="AR118" i="5"/>
  <c r="F126" i="7" s="1"/>
  <c r="AR101" i="5"/>
  <c r="F109" i="7" s="1"/>
  <c r="AR49" i="5"/>
  <c r="F57" i="7" s="1"/>
  <c r="AR27" i="5"/>
  <c r="F35" i="7" s="1"/>
  <c r="AR91" i="5"/>
  <c r="F99" i="7" s="1"/>
  <c r="AR155" i="5"/>
  <c r="F163" i="7" s="1"/>
  <c r="AR117" i="5"/>
  <c r="F125" i="7" s="1"/>
  <c r="AR8" i="5"/>
  <c r="F16" i="7" s="1"/>
  <c r="AR72" i="5"/>
  <c r="F80" i="7" s="1"/>
  <c r="AR128" i="5"/>
  <c r="F136" i="7" s="1"/>
  <c r="AR132" i="5"/>
  <c r="F140" i="7" s="1"/>
  <c r="AR21" i="5"/>
  <c r="F29" i="7" s="1"/>
  <c r="AR10" i="5"/>
  <c r="F18" i="7" s="1"/>
  <c r="AR74" i="5"/>
  <c r="F82" i="7" s="1"/>
  <c r="AR138" i="5"/>
  <c r="F146" i="7" s="1"/>
  <c r="AR60" i="5"/>
  <c r="F68" i="7" s="1"/>
  <c r="AR7" i="5"/>
  <c r="F15" i="7" s="1"/>
  <c r="AR71" i="5"/>
  <c r="F79" i="7" s="1"/>
  <c r="AR135" i="5"/>
  <c r="F143" i="7" s="1"/>
  <c r="AR84" i="5"/>
  <c r="F92" i="7" s="1"/>
  <c r="AR62" i="5"/>
  <c r="F70" i="7" s="1"/>
  <c r="AR126" i="5"/>
  <c r="F134" i="7" s="1"/>
  <c r="AR109" i="5"/>
  <c r="F117" i="7" s="1"/>
  <c r="AR73" i="5"/>
  <c r="F81" i="7" s="1"/>
  <c r="AR35" i="5"/>
  <c r="F43" i="7" s="1"/>
  <c r="AR99" i="5"/>
  <c r="F107" i="7" s="1"/>
  <c r="AR163" i="5"/>
  <c r="AT163" i="5" s="1"/>
  <c r="AR125" i="5"/>
  <c r="F133" i="7" s="1"/>
  <c r="AR16" i="5"/>
  <c r="F24" i="7" s="1"/>
  <c r="AR80" i="5"/>
  <c r="F88" i="7" s="1"/>
  <c r="AR136" i="5"/>
  <c r="AT136" i="5" s="1"/>
  <c r="AR140" i="5"/>
  <c r="F148" i="7" s="1"/>
  <c r="AR29" i="5"/>
  <c r="F37" i="7" s="1"/>
  <c r="AR18" i="5"/>
  <c r="F26" i="7" s="1"/>
  <c r="AR82" i="5"/>
  <c r="F90" i="7" s="1"/>
  <c r="AR146" i="5"/>
  <c r="F154" i="7" s="1"/>
  <c r="AR68" i="5"/>
  <c r="F76" i="7" s="1"/>
  <c r="AR15" i="5"/>
  <c r="F23" i="7" s="1"/>
  <c r="AR79" i="5"/>
  <c r="F87" i="7" s="1"/>
  <c r="AR143" i="5"/>
  <c r="F151" i="7" s="1"/>
  <c r="AR92" i="5"/>
  <c r="F100" i="7" s="1"/>
  <c r="AN79" i="5"/>
  <c r="D87" i="7" s="1"/>
  <c r="AN24" i="5"/>
  <c r="D32" i="7" s="1"/>
  <c r="AN27" i="5"/>
  <c r="D35" i="7" s="1"/>
  <c r="AN2" i="5"/>
  <c r="D10" i="7" s="1"/>
  <c r="AN101" i="5"/>
  <c r="D109" i="7" s="1"/>
  <c r="AN149" i="5"/>
  <c r="D157" i="7" s="1"/>
  <c r="AN104" i="5"/>
  <c r="D112" i="7" s="1"/>
  <c r="AN136" i="5"/>
  <c r="D144" i="7" s="1"/>
  <c r="AN138" i="5"/>
  <c r="D146" i="7" s="1"/>
  <c r="AN7" i="5"/>
  <c r="D15" i="7" s="1"/>
  <c r="AN145" i="5"/>
  <c r="D153" i="7" s="1"/>
  <c r="AN121" i="5"/>
  <c r="D129" i="7" s="1"/>
  <c r="AN71" i="5"/>
  <c r="D79" i="7" s="1"/>
  <c r="AN111" i="5"/>
  <c r="D119" i="7" s="1"/>
  <c r="AN34" i="5"/>
  <c r="D42" i="7" s="1"/>
  <c r="AN50" i="5"/>
  <c r="D58" i="7" s="1"/>
  <c r="AN18" i="5"/>
  <c r="D26" i="7" s="1"/>
  <c r="AN29" i="5"/>
  <c r="D37" i="7" s="1"/>
  <c r="AN41" i="5"/>
  <c r="D49" i="7" s="1"/>
  <c r="AN126" i="5"/>
  <c r="D134" i="7" s="1"/>
  <c r="AN6" i="5"/>
  <c r="D14" i="7" s="1"/>
  <c r="AN74" i="5"/>
  <c r="D82" i="7" s="1"/>
  <c r="AN64" i="5"/>
  <c r="D72" i="7" s="1"/>
  <c r="AN112" i="5"/>
  <c r="D120" i="7" s="1"/>
  <c r="AN9" i="5"/>
  <c r="D17" i="7" s="1"/>
  <c r="AN31" i="5"/>
  <c r="D39" i="7" s="1"/>
  <c r="AN134" i="5"/>
  <c r="D142" i="7" s="1"/>
  <c r="G7" i="7"/>
  <c r="AN12" i="5"/>
  <c r="D20" i="7" s="1"/>
  <c r="AN39" i="5"/>
  <c r="D47" i="7" s="1"/>
  <c r="AN166" i="5"/>
  <c r="D174" i="7" s="1"/>
  <c r="AN75" i="5"/>
  <c r="D83" i="7" s="1"/>
  <c r="AN141" i="5"/>
  <c r="D149" i="7" s="1"/>
  <c r="AN3" i="5"/>
  <c r="D11" i="7" s="1"/>
  <c r="AN143" i="5"/>
  <c r="D151" i="7" s="1"/>
  <c r="AN169" i="5"/>
  <c r="D177" i="7" s="1"/>
  <c r="AN22" i="5"/>
  <c r="D30" i="7" s="1"/>
  <c r="AN53" i="5"/>
  <c r="D61" i="7" s="1"/>
  <c r="AN33" i="5"/>
  <c r="D41" i="7" s="1"/>
  <c r="AN129" i="5"/>
  <c r="D137" i="7" s="1"/>
  <c r="AN115" i="5"/>
  <c r="D123" i="7" s="1"/>
  <c r="AN47" i="5"/>
  <c r="D55" i="7" s="1"/>
  <c r="AN124" i="5"/>
  <c r="D132" i="7" s="1"/>
  <c r="AN152" i="5"/>
  <c r="D160" i="7" s="1"/>
  <c r="AN95" i="5"/>
  <c r="D103" i="7" s="1"/>
  <c r="AN76" i="5"/>
  <c r="D84" i="7" s="1"/>
  <c r="AN26" i="5"/>
  <c r="D34" i="7" s="1"/>
  <c r="AN93" i="5"/>
  <c r="D101" i="7" s="1"/>
  <c r="AN51" i="5"/>
  <c r="D59" i="7" s="1"/>
  <c r="AN99" i="5"/>
  <c r="D107" i="7" s="1"/>
  <c r="AN44" i="5"/>
  <c r="D52" i="7" s="1"/>
  <c r="C17" i="8"/>
  <c r="C18" i="8"/>
  <c r="C16" i="8"/>
  <c r="AT2" i="5"/>
  <c r="F10" i="7"/>
  <c r="AN82" i="5"/>
  <c r="D90" i="7" s="1"/>
  <c r="AN107" i="5"/>
  <c r="AN161" i="5"/>
  <c r="D169" i="7" s="1"/>
  <c r="AN52" i="5"/>
  <c r="AN84" i="5"/>
  <c r="AN116" i="5"/>
  <c r="AN20" i="5"/>
  <c r="D28" i="7" s="1"/>
  <c r="AN160" i="5"/>
  <c r="I17" i="8"/>
  <c r="I18" i="8"/>
  <c r="I19" i="8"/>
  <c r="I16" i="8"/>
  <c r="Z4" i="3"/>
  <c r="AN38" i="5"/>
  <c r="D46" i="7" s="1"/>
  <c r="AN133" i="5"/>
  <c r="D141" i="7" s="1"/>
  <c r="AN162" i="5"/>
  <c r="D170" i="7" s="1"/>
  <c r="AN14" i="5"/>
  <c r="D22" i="7" s="1"/>
  <c r="AN32" i="5"/>
  <c r="D40" i="7" s="1"/>
  <c r="AN43" i="5"/>
  <c r="AN96" i="5"/>
  <c r="AN16" i="5"/>
  <c r="D24" i="7" s="1"/>
  <c r="AN137" i="5"/>
  <c r="D145" i="7" s="1"/>
  <c r="B24" i="9"/>
  <c r="B22" i="9"/>
  <c r="B23" i="9"/>
  <c r="AN85" i="5"/>
  <c r="D93" i="7" s="1"/>
  <c r="AN114" i="5"/>
  <c r="D122" i="7" s="1"/>
  <c r="AN88" i="5"/>
  <c r="AN158" i="5"/>
  <c r="D166" i="7" s="1"/>
  <c r="AN102" i="5"/>
  <c r="D110" i="7" s="1"/>
  <c r="AN110" i="5"/>
  <c r="D118" i="7" s="1"/>
  <c r="AN90" i="5"/>
  <c r="D98" i="7" s="1"/>
  <c r="AN86" i="5"/>
  <c r="D94" i="7" s="1"/>
  <c r="AN10" i="5"/>
  <c r="D18" i="7" s="1"/>
  <c r="AN87" i="5"/>
  <c r="AN144" i="5"/>
  <c r="AN163" i="5"/>
  <c r="AI23" i="5"/>
  <c r="AI24" i="5"/>
  <c r="AN19" i="5"/>
  <c r="AN42" i="5"/>
  <c r="D50" i="7" s="1"/>
  <c r="AN157" i="5"/>
  <c r="D165" i="7" s="1"/>
  <c r="AN17" i="5"/>
  <c r="D25" i="7" s="1"/>
  <c r="AN36" i="5"/>
  <c r="AN58" i="5"/>
  <c r="D66" i="7" s="1"/>
  <c r="AN23" i="5"/>
  <c r="AN54" i="5"/>
  <c r="D62" i="7" s="1"/>
  <c r="H22" i="9"/>
  <c r="H25" i="9"/>
  <c r="H24" i="9"/>
  <c r="H23" i="9"/>
  <c r="AN8" i="5"/>
  <c r="D16" i="7" s="1"/>
  <c r="AN66" i="5"/>
  <c r="D74" i="7" s="1"/>
  <c r="AN155" i="5"/>
  <c r="AN37" i="5"/>
  <c r="D45" i="7" s="1"/>
  <c r="AN118" i="5"/>
  <c r="D126" i="7" s="1"/>
  <c r="D14" i="9"/>
  <c r="D17" i="9" s="1"/>
  <c r="E8" i="8"/>
  <c r="E11" i="8" s="1"/>
  <c r="AN108" i="5"/>
  <c r="AN35" i="5"/>
  <c r="AN40" i="5"/>
  <c r="D48" i="7" s="1"/>
  <c r="AN61" i="5"/>
  <c r="D69" i="7" s="1"/>
  <c r="AN109" i="5"/>
  <c r="D117" i="7" s="1"/>
  <c r="AN60" i="5"/>
  <c r="AN159" i="5"/>
  <c r="AN69" i="5"/>
  <c r="D77" i="7" s="1"/>
  <c r="AN106" i="5"/>
  <c r="D114" i="7" s="1"/>
  <c r="AN62" i="5"/>
  <c r="D70" i="7" s="1"/>
  <c r="AN21" i="5"/>
  <c r="D29" i="7" s="1"/>
  <c r="AN135" i="5"/>
  <c r="AN13" i="5"/>
  <c r="D21" i="7" s="1"/>
  <c r="AN83" i="5"/>
  <c r="D139" i="7"/>
  <c r="AT169" i="5"/>
  <c r="AT115" i="5"/>
  <c r="BV14" i="3"/>
  <c r="E22" i="5"/>
  <c r="E86" i="5"/>
  <c r="E150" i="5"/>
  <c r="AM150" i="5" s="1"/>
  <c r="E109" i="5"/>
  <c r="AM109" i="5" s="1"/>
  <c r="E3" i="5"/>
  <c r="E67" i="5"/>
  <c r="E131" i="5"/>
  <c r="E37" i="5"/>
  <c r="E133" i="5"/>
  <c r="E57" i="5"/>
  <c r="E56" i="5"/>
  <c r="E96" i="5"/>
  <c r="E160" i="5"/>
  <c r="E42" i="5"/>
  <c r="AM42" i="5" s="1"/>
  <c r="E106" i="5"/>
  <c r="AM106" i="5" s="1"/>
  <c r="E119" i="5"/>
  <c r="E143" i="5"/>
  <c r="E46" i="5"/>
  <c r="E110" i="5"/>
  <c r="E33" i="5"/>
  <c r="AM33" i="5" s="1"/>
  <c r="E121" i="5"/>
  <c r="E27" i="5"/>
  <c r="AM27" i="5" s="1"/>
  <c r="C35" i="7" s="1"/>
  <c r="E91" i="5"/>
  <c r="E155" i="5"/>
  <c r="E93" i="5"/>
  <c r="E16" i="5"/>
  <c r="AM16" i="5" s="1"/>
  <c r="E80" i="5"/>
  <c r="E120" i="5"/>
  <c r="E140" i="5"/>
  <c r="E161" i="5"/>
  <c r="E148" i="5"/>
  <c r="E66" i="5"/>
  <c r="E130" i="5"/>
  <c r="E12" i="5"/>
  <c r="E68" i="5"/>
  <c r="E65" i="5"/>
  <c r="AM65" i="5" s="1"/>
  <c r="E15" i="5"/>
  <c r="E47" i="5"/>
  <c r="E79" i="5"/>
  <c r="E167" i="5"/>
  <c r="E84" i="5"/>
  <c r="E70" i="5"/>
  <c r="E51" i="5"/>
  <c r="E40" i="5"/>
  <c r="E103" i="5"/>
  <c r="E30" i="5"/>
  <c r="E94" i="5"/>
  <c r="E158" i="5"/>
  <c r="E124" i="5"/>
  <c r="E49" i="5"/>
  <c r="E129" i="5"/>
  <c r="AM129" i="5" s="1"/>
  <c r="E11" i="5"/>
  <c r="E75" i="5"/>
  <c r="E139" i="5"/>
  <c r="E64" i="5"/>
  <c r="E104" i="5"/>
  <c r="E17" i="5"/>
  <c r="AM17" i="5" s="1"/>
  <c r="E81" i="5"/>
  <c r="E50" i="5"/>
  <c r="E114" i="5"/>
  <c r="E28" i="5"/>
  <c r="E100" i="5"/>
  <c r="E153" i="5"/>
  <c r="E23" i="5"/>
  <c r="E55" i="5"/>
  <c r="E127" i="5"/>
  <c r="E151" i="5"/>
  <c r="E20" i="5"/>
  <c r="E92" i="5"/>
  <c r="E105" i="5"/>
  <c r="E54" i="5"/>
  <c r="E118" i="5"/>
  <c r="E77" i="5"/>
  <c r="AM77" i="5" s="1"/>
  <c r="E35" i="5"/>
  <c r="E99" i="5"/>
  <c r="E163" i="5"/>
  <c r="E53" i="5"/>
  <c r="E117" i="5"/>
  <c r="E156" i="5"/>
  <c r="E24" i="5"/>
  <c r="E88" i="5"/>
  <c r="E128" i="5"/>
  <c r="E61" i="5"/>
  <c r="E5" i="5"/>
  <c r="AM5" i="5" s="1"/>
  <c r="E10" i="5"/>
  <c r="AM10" i="5" s="1"/>
  <c r="E74" i="5"/>
  <c r="AM74" i="5" s="1"/>
  <c r="E138" i="5"/>
  <c r="AM138" i="5" s="1"/>
  <c r="E87" i="5"/>
  <c r="E45" i="5"/>
  <c r="AM45" i="5" s="1"/>
  <c r="E21" i="5"/>
  <c r="AM21" i="5" s="1"/>
  <c r="E26" i="5"/>
  <c r="E154" i="5"/>
  <c r="E14" i="5"/>
  <c r="E78" i="5"/>
  <c r="E142" i="5"/>
  <c r="E141" i="5"/>
  <c r="AM141" i="5" s="1"/>
  <c r="E164" i="5"/>
  <c r="E73" i="5"/>
  <c r="E59" i="5"/>
  <c r="E123" i="5"/>
  <c r="E48" i="5"/>
  <c r="E152" i="5"/>
  <c r="E165" i="5"/>
  <c r="E89" i="5"/>
  <c r="E29" i="5"/>
  <c r="E97" i="5"/>
  <c r="E34" i="5"/>
  <c r="E98" i="5"/>
  <c r="E162" i="5"/>
  <c r="E44" i="5"/>
  <c r="E108" i="5"/>
  <c r="E169" i="5"/>
  <c r="E31" i="5"/>
  <c r="E63" i="5"/>
  <c r="E111" i="5"/>
  <c r="E135" i="5"/>
  <c r="E36" i="5"/>
  <c r="E116" i="5"/>
  <c r="E6" i="5"/>
  <c r="AM6" i="5" s="1"/>
  <c r="E134" i="5"/>
  <c r="E115" i="5"/>
  <c r="E157" i="5"/>
  <c r="E144" i="5"/>
  <c r="E90" i="5"/>
  <c r="E38" i="5"/>
  <c r="E102" i="5"/>
  <c r="E166" i="5"/>
  <c r="E101" i="5"/>
  <c r="E19" i="5"/>
  <c r="E83" i="5"/>
  <c r="E147" i="5"/>
  <c r="AM147" i="5" s="1"/>
  <c r="C155" i="7" s="1"/>
  <c r="E168" i="5"/>
  <c r="AM168" i="5" s="1"/>
  <c r="C176" i="7" s="1"/>
  <c r="E69" i="5"/>
  <c r="E125" i="5"/>
  <c r="E41" i="5"/>
  <c r="E8" i="5"/>
  <c r="E72" i="5"/>
  <c r="E112" i="5"/>
  <c r="E58" i="5"/>
  <c r="E122" i="5"/>
  <c r="E159" i="5"/>
  <c r="E62" i="5"/>
  <c r="AM62" i="5" s="1"/>
  <c r="E126" i="5"/>
  <c r="E149" i="5"/>
  <c r="E9" i="5"/>
  <c r="AM9" i="5" s="1"/>
  <c r="E113" i="5"/>
  <c r="E43" i="5"/>
  <c r="E107" i="5"/>
  <c r="AM107" i="5" s="1"/>
  <c r="C115" i="7" s="1"/>
  <c r="E32" i="5"/>
  <c r="E136" i="5"/>
  <c r="E85" i="5"/>
  <c r="E132" i="5"/>
  <c r="E145" i="5"/>
  <c r="E13" i="5"/>
  <c r="AM13" i="5" s="1"/>
  <c r="E76" i="5"/>
  <c r="E137" i="5"/>
  <c r="E18" i="5"/>
  <c r="E82" i="5"/>
  <c r="E146" i="5"/>
  <c r="E4" i="5"/>
  <c r="E60" i="5"/>
  <c r="E25" i="5"/>
  <c r="E7" i="5"/>
  <c r="E39" i="5"/>
  <c r="E71" i="5"/>
  <c r="E95" i="5"/>
  <c r="E52" i="5"/>
  <c r="I91" i="5"/>
  <c r="AI48" i="5"/>
  <c r="I48" i="5"/>
  <c r="I133" i="5"/>
  <c r="I98" i="5"/>
  <c r="I15" i="5"/>
  <c r="I92" i="5"/>
  <c r="I11" i="5"/>
  <c r="I83" i="5"/>
  <c r="I115" i="5"/>
  <c r="E2" i="5"/>
  <c r="I123" i="5"/>
  <c r="I112" i="5"/>
  <c r="I69" i="5"/>
  <c r="I86" i="5"/>
  <c r="I111" i="5"/>
  <c r="I28" i="5"/>
  <c r="I156" i="5"/>
  <c r="I43" i="5"/>
  <c r="I128" i="5"/>
  <c r="I160" i="5"/>
  <c r="I8" i="5"/>
  <c r="I40" i="5"/>
  <c r="I72" i="5"/>
  <c r="I104" i="5"/>
  <c r="I29" i="5"/>
  <c r="I61" i="5"/>
  <c r="I93" i="5"/>
  <c r="I125" i="5"/>
  <c r="I157" i="5"/>
  <c r="I2" i="5"/>
  <c r="I26" i="5"/>
  <c r="I58" i="5"/>
  <c r="I90" i="5"/>
  <c r="I122" i="5"/>
  <c r="I154" i="5"/>
  <c r="I46" i="5"/>
  <c r="I7" i="5"/>
  <c r="I39" i="5"/>
  <c r="I71" i="5"/>
  <c r="I103" i="5"/>
  <c r="I135" i="5"/>
  <c r="I167" i="5"/>
  <c r="I20" i="5"/>
  <c r="I52" i="5"/>
  <c r="I84" i="5"/>
  <c r="I116" i="5"/>
  <c r="I148" i="5"/>
  <c r="I134" i="5"/>
  <c r="I25" i="5"/>
  <c r="I57" i="5"/>
  <c r="I89" i="5"/>
  <c r="I121" i="5"/>
  <c r="I153" i="5"/>
  <c r="I70" i="5"/>
  <c r="I94" i="5"/>
  <c r="I166" i="5"/>
  <c r="I101" i="5"/>
  <c r="I66" i="5"/>
  <c r="I97" i="5"/>
  <c r="I3" i="5"/>
  <c r="I75" i="5"/>
  <c r="I162" i="5"/>
  <c r="I22" i="5"/>
  <c r="I35" i="5"/>
  <c r="I139" i="5"/>
  <c r="I120" i="5"/>
  <c r="I152" i="5"/>
  <c r="I158" i="5"/>
  <c r="I32" i="5"/>
  <c r="I64" i="5"/>
  <c r="I96" i="5"/>
  <c r="I53" i="5"/>
  <c r="I85" i="5"/>
  <c r="I117" i="5"/>
  <c r="I149" i="5"/>
  <c r="I54" i="5"/>
  <c r="I18" i="5"/>
  <c r="I50" i="5"/>
  <c r="I82" i="5"/>
  <c r="I114" i="5"/>
  <c r="I146" i="5"/>
  <c r="I14" i="5"/>
  <c r="I126" i="5"/>
  <c r="I31" i="5"/>
  <c r="I63" i="5"/>
  <c r="I95" i="5"/>
  <c r="I127" i="5"/>
  <c r="I159" i="5"/>
  <c r="I12" i="5"/>
  <c r="I44" i="5"/>
  <c r="I76" i="5"/>
  <c r="I108" i="5"/>
  <c r="I140" i="5"/>
  <c r="I49" i="5"/>
  <c r="I81" i="5"/>
  <c r="I113" i="5"/>
  <c r="I145" i="5"/>
  <c r="I165" i="5"/>
  <c r="I34" i="5"/>
  <c r="I130" i="5"/>
  <c r="I142" i="5"/>
  <c r="I79" i="5"/>
  <c r="I124" i="5"/>
  <c r="I38" i="5"/>
  <c r="I67" i="5"/>
  <c r="I99" i="5"/>
  <c r="I19" i="5"/>
  <c r="I51" i="5"/>
  <c r="I155" i="5"/>
  <c r="I136" i="5"/>
  <c r="I80" i="5"/>
  <c r="I37" i="5"/>
  <c r="I47" i="5"/>
  <c r="I143" i="5"/>
  <c r="I60" i="5"/>
  <c r="I161" i="5"/>
  <c r="I59" i="5"/>
  <c r="I131" i="5"/>
  <c r="I163" i="5"/>
  <c r="I144" i="5"/>
  <c r="I24" i="5"/>
  <c r="I56" i="5"/>
  <c r="I88" i="5"/>
  <c r="I30" i="5"/>
  <c r="I78" i="5"/>
  <c r="I23" i="5"/>
  <c r="I55" i="5"/>
  <c r="I87" i="5"/>
  <c r="I119" i="5"/>
  <c r="I151" i="5"/>
  <c r="I118" i="5"/>
  <c r="I4" i="5"/>
  <c r="I36" i="5"/>
  <c r="I68" i="5"/>
  <c r="I100" i="5"/>
  <c r="I132" i="5"/>
  <c r="I164" i="5"/>
  <c r="I102" i="5"/>
  <c r="I41" i="5"/>
  <c r="I73" i="5"/>
  <c r="I105" i="5"/>
  <c r="I137" i="5"/>
  <c r="I169" i="5"/>
  <c r="I110" i="5"/>
  <c r="BT23" i="3"/>
  <c r="BT22" i="3"/>
  <c r="BT24" i="3"/>
  <c r="BV15" i="3"/>
  <c r="BZ23" i="3"/>
  <c r="BZ24" i="3"/>
  <c r="BZ25" i="3"/>
  <c r="BZ22" i="3"/>
  <c r="AH7" i="5"/>
  <c r="AJ114" i="5"/>
  <c r="AJ130" i="5"/>
  <c r="AH70" i="5"/>
  <c r="AH36" i="5"/>
  <c r="AJ110" i="5"/>
  <c r="AI92" i="5"/>
  <c r="AH134" i="5"/>
  <c r="AI98" i="5"/>
  <c r="AJ66" i="5"/>
  <c r="AH25" i="5"/>
  <c r="AJ152" i="5"/>
  <c r="AJ89" i="5"/>
  <c r="AI37" i="5"/>
  <c r="AH153" i="5"/>
  <c r="AJ58" i="5"/>
  <c r="AI31" i="5"/>
  <c r="AJ12" i="5"/>
  <c r="AH100" i="5"/>
  <c r="AJ25" i="5"/>
  <c r="AH129" i="5"/>
  <c r="AI22" i="5"/>
  <c r="AJ3" i="5"/>
  <c r="AI34" i="5"/>
  <c r="AJ61" i="5"/>
  <c r="AJ47" i="5"/>
  <c r="AJ28" i="5"/>
  <c r="AI116" i="5"/>
  <c r="AH49" i="5"/>
  <c r="AJ129" i="5"/>
  <c r="AI38" i="5"/>
  <c r="AH51" i="5"/>
  <c r="AI8" i="5"/>
  <c r="AH85" i="5"/>
  <c r="AH113" i="5"/>
  <c r="AH71" i="5"/>
  <c r="AI28" i="5"/>
  <c r="AH140" i="5"/>
  <c r="AH65" i="5"/>
  <c r="AI129" i="5"/>
  <c r="AJ46" i="5"/>
  <c r="AJ67" i="5"/>
  <c r="AI32" i="5"/>
  <c r="AI101" i="5"/>
  <c r="AI95" i="5"/>
  <c r="AH156" i="5"/>
  <c r="AJ65" i="5"/>
  <c r="AI91" i="5"/>
  <c r="AI72" i="5"/>
  <c r="AI125" i="5"/>
  <c r="AH111" i="5"/>
  <c r="AI52" i="5"/>
  <c r="AI156" i="5"/>
  <c r="AI65" i="5"/>
  <c r="AJ153" i="5"/>
  <c r="AI86" i="5"/>
  <c r="AJ115" i="5"/>
  <c r="AI96" i="5"/>
  <c r="AJ149" i="5"/>
  <c r="AI135" i="5"/>
  <c r="AJ76" i="5"/>
  <c r="AJ164" i="5"/>
  <c r="AH89" i="5"/>
  <c r="AJ144" i="5"/>
  <c r="AI131" i="5"/>
  <c r="AI112" i="5"/>
  <c r="AH165" i="5"/>
  <c r="AH159" i="5"/>
  <c r="AJ92" i="5"/>
  <c r="AI18" i="5"/>
  <c r="AH155" i="5"/>
  <c r="AH21" i="5"/>
  <c r="AI147" i="5"/>
  <c r="AH147" i="5"/>
  <c r="AJ147" i="5"/>
  <c r="AJ168" i="5"/>
  <c r="AI168" i="5"/>
  <c r="AI16" i="5"/>
  <c r="AH16" i="5"/>
  <c r="AJ16" i="5"/>
  <c r="AH48" i="5"/>
  <c r="AJ48" i="5"/>
  <c r="AI13" i="5"/>
  <c r="AJ13" i="5"/>
  <c r="AH13" i="5"/>
  <c r="AI45" i="5"/>
  <c r="AJ45" i="5"/>
  <c r="AH45" i="5"/>
  <c r="AI77" i="5"/>
  <c r="AJ77" i="5"/>
  <c r="AH77" i="5"/>
  <c r="AH109" i="5"/>
  <c r="AI109" i="5"/>
  <c r="AJ109" i="5"/>
  <c r="AH141" i="5"/>
  <c r="AI141" i="5"/>
  <c r="AJ141" i="5"/>
  <c r="AI62" i="5"/>
  <c r="AJ62" i="5"/>
  <c r="AH62" i="5"/>
  <c r="AJ150" i="5"/>
  <c r="AH150" i="5"/>
  <c r="AI10" i="5"/>
  <c r="AJ10" i="5"/>
  <c r="AH10" i="5"/>
  <c r="AI42" i="5"/>
  <c r="AJ42" i="5"/>
  <c r="AH42" i="5"/>
  <c r="AI74" i="5"/>
  <c r="AJ74" i="5"/>
  <c r="AH74" i="5"/>
  <c r="AI106" i="5"/>
  <c r="AJ106" i="5"/>
  <c r="AH106" i="5"/>
  <c r="AI138" i="5"/>
  <c r="AJ138" i="5"/>
  <c r="AH138" i="5"/>
  <c r="AI6" i="5"/>
  <c r="AJ6" i="5"/>
  <c r="AH6" i="5"/>
  <c r="AI150" i="5"/>
  <c r="AH168" i="5"/>
  <c r="AH27" i="5"/>
  <c r="AJ27" i="5"/>
  <c r="AJ107" i="5"/>
  <c r="AH107" i="5"/>
  <c r="AI107" i="5"/>
  <c r="AI27" i="5"/>
  <c r="AJ7" i="5"/>
  <c r="AH31" i="5"/>
  <c r="AH55" i="5"/>
  <c r="AJ71" i="5"/>
  <c r="AH95" i="5"/>
  <c r="AJ119" i="5"/>
  <c r="AH135" i="5"/>
  <c r="AJ159" i="5"/>
  <c r="AJ162" i="5"/>
  <c r="AI12" i="5"/>
  <c r="AJ36" i="5"/>
  <c r="AH60" i="5"/>
  <c r="AI76" i="5"/>
  <c r="AJ100" i="5"/>
  <c r="AJ124" i="5"/>
  <c r="AI140" i="5"/>
  <c r="AH164" i="5"/>
  <c r="AH9" i="5"/>
  <c r="AI25" i="5"/>
  <c r="AJ49" i="5"/>
  <c r="AH73" i="5"/>
  <c r="AI89" i="5"/>
  <c r="AJ113" i="5"/>
  <c r="AH137" i="5"/>
  <c r="AI153" i="5"/>
  <c r="AH144" i="5"/>
  <c r="AH50" i="5"/>
  <c r="AI114" i="5"/>
  <c r="AH30" i="5"/>
  <c r="AI46" i="5"/>
  <c r="AJ70" i="5"/>
  <c r="AH94" i="5"/>
  <c r="AI110" i="5"/>
  <c r="AJ134" i="5"/>
  <c r="AH158" i="5"/>
  <c r="AI66" i="5"/>
  <c r="AI11" i="5"/>
  <c r="AI51" i="5"/>
  <c r="AI75" i="5"/>
  <c r="AJ91" i="5"/>
  <c r="AH115" i="5"/>
  <c r="AJ139" i="5"/>
  <c r="AI155" i="5"/>
  <c r="AH152" i="5"/>
  <c r="AH8" i="5"/>
  <c r="AH32" i="5"/>
  <c r="AH56" i="5"/>
  <c r="AH72" i="5"/>
  <c r="AH96" i="5"/>
  <c r="AH120" i="5"/>
  <c r="AJ21" i="5"/>
  <c r="AI61" i="5"/>
  <c r="AJ85" i="5"/>
  <c r="AH125" i="5"/>
  <c r="AI149" i="5"/>
  <c r="AH2" i="5"/>
  <c r="AI58" i="5"/>
  <c r="AH15" i="5"/>
  <c r="AJ31" i="5"/>
  <c r="AI55" i="5"/>
  <c r="AH79" i="5"/>
  <c r="AJ95" i="5"/>
  <c r="AI119" i="5"/>
  <c r="AJ143" i="5"/>
  <c r="AI159" i="5"/>
  <c r="AI162" i="5"/>
  <c r="AH20" i="5"/>
  <c r="AI36" i="5"/>
  <c r="AJ60" i="5"/>
  <c r="AJ84" i="5"/>
  <c r="AI100" i="5"/>
  <c r="AH124" i="5"/>
  <c r="AJ148" i="5"/>
  <c r="AI164" i="5"/>
  <c r="AJ9" i="5"/>
  <c r="AH33" i="5"/>
  <c r="AI49" i="5"/>
  <c r="AJ73" i="5"/>
  <c r="AH97" i="5"/>
  <c r="AI113" i="5"/>
  <c r="AJ137" i="5"/>
  <c r="AH161" i="5"/>
  <c r="AI144" i="5"/>
  <c r="AJ50" i="5"/>
  <c r="AJ30" i="5"/>
  <c r="AH54" i="5"/>
  <c r="AI70" i="5"/>
  <c r="AJ94" i="5"/>
  <c r="AH118" i="5"/>
  <c r="AI134" i="5"/>
  <c r="AJ158" i="5"/>
  <c r="AH90" i="5"/>
  <c r="AH11" i="5"/>
  <c r="AH35" i="5"/>
  <c r="AJ51" i="5"/>
  <c r="AH75" i="5"/>
  <c r="AH99" i="5"/>
  <c r="AI115" i="5"/>
  <c r="AH139" i="5"/>
  <c r="AJ163" i="5"/>
  <c r="AI152" i="5"/>
  <c r="AJ32" i="5"/>
  <c r="AJ56" i="5"/>
  <c r="AJ80" i="5"/>
  <c r="AJ96" i="5"/>
  <c r="AJ120" i="5"/>
  <c r="AH5" i="5"/>
  <c r="AI21" i="5"/>
  <c r="AH69" i="5"/>
  <c r="AI85" i="5"/>
  <c r="AJ133" i="5"/>
  <c r="AH149" i="5"/>
  <c r="AJ2" i="5"/>
  <c r="AJ122" i="5"/>
  <c r="AI15" i="5"/>
  <c r="AI39" i="5"/>
  <c r="AJ55" i="5"/>
  <c r="AI79" i="5"/>
  <c r="AI103" i="5"/>
  <c r="AH119" i="5"/>
  <c r="AI143" i="5"/>
  <c r="AJ167" i="5"/>
  <c r="AH162" i="5"/>
  <c r="AJ20" i="5"/>
  <c r="AH44" i="5"/>
  <c r="AI60" i="5"/>
  <c r="AH84" i="5"/>
  <c r="AH108" i="5"/>
  <c r="AI124" i="5"/>
  <c r="AH148" i="5"/>
  <c r="AI9" i="5"/>
  <c r="AJ33" i="5"/>
  <c r="AH57" i="5"/>
  <c r="AI73" i="5"/>
  <c r="AJ97" i="5"/>
  <c r="AH121" i="5"/>
  <c r="AI137" i="5"/>
  <c r="AJ161" i="5"/>
  <c r="AJ160" i="5"/>
  <c r="AI50" i="5"/>
  <c r="AH14" i="5"/>
  <c r="AI30" i="5"/>
  <c r="AJ54" i="5"/>
  <c r="AH78" i="5"/>
  <c r="AI94" i="5"/>
  <c r="AJ118" i="5"/>
  <c r="AH142" i="5"/>
  <c r="AI158" i="5"/>
  <c r="AJ90" i="5"/>
  <c r="AJ11" i="5"/>
  <c r="AI35" i="5"/>
  <c r="AH59" i="5"/>
  <c r="AJ75" i="5"/>
  <c r="AI99" i="5"/>
  <c r="AJ123" i="5"/>
  <c r="AI139" i="5"/>
  <c r="AH163" i="5"/>
  <c r="AH26" i="5"/>
  <c r="AJ40" i="5"/>
  <c r="AI56" i="5"/>
  <c r="AH80" i="5"/>
  <c r="AJ104" i="5"/>
  <c r="AI120" i="5"/>
  <c r="AJ5" i="5"/>
  <c r="AH29" i="5"/>
  <c r="AJ69" i="5"/>
  <c r="AH93" i="5"/>
  <c r="AI133" i="5"/>
  <c r="AJ157" i="5"/>
  <c r="AI2" i="5"/>
  <c r="AH122" i="5"/>
  <c r="AJ15" i="5"/>
  <c r="AH39" i="5"/>
  <c r="AI63" i="5"/>
  <c r="AJ79" i="5"/>
  <c r="AH103" i="5"/>
  <c r="AJ127" i="5"/>
  <c r="AH143" i="5"/>
  <c r="AH167" i="5"/>
  <c r="AH4" i="5"/>
  <c r="AI20" i="5"/>
  <c r="AJ44" i="5"/>
  <c r="AH68" i="5"/>
  <c r="AI84" i="5"/>
  <c r="AJ108" i="5"/>
  <c r="AH132" i="5"/>
  <c r="AI148" i="5"/>
  <c r="AH17" i="5"/>
  <c r="AI33" i="5"/>
  <c r="AJ57" i="5"/>
  <c r="AH81" i="5"/>
  <c r="AI97" i="5"/>
  <c r="AJ121" i="5"/>
  <c r="AH145" i="5"/>
  <c r="AI161" i="5"/>
  <c r="AH160" i="5"/>
  <c r="AJ14" i="5"/>
  <c r="AH38" i="5"/>
  <c r="AI54" i="5"/>
  <c r="AJ78" i="5"/>
  <c r="AH102" i="5"/>
  <c r="AI118" i="5"/>
  <c r="AJ142" i="5"/>
  <c r="AH166" i="5"/>
  <c r="AI90" i="5"/>
  <c r="AH19" i="5"/>
  <c r="AJ35" i="5"/>
  <c r="AI59" i="5"/>
  <c r="AH83" i="5"/>
  <c r="AJ99" i="5"/>
  <c r="AH123" i="5"/>
  <c r="AI163" i="5"/>
  <c r="AJ26" i="5"/>
  <c r="AH82" i="5"/>
  <c r="AI40" i="5"/>
  <c r="AI64" i="5"/>
  <c r="AI80" i="5"/>
  <c r="AI104" i="5"/>
  <c r="AJ136" i="5"/>
  <c r="AI5" i="5"/>
  <c r="AJ29" i="5"/>
  <c r="AH53" i="5"/>
  <c r="AI69" i="5"/>
  <c r="AJ93" i="5"/>
  <c r="AJ117" i="5"/>
  <c r="AH133" i="5"/>
  <c r="AI157" i="5"/>
  <c r="AI122" i="5"/>
  <c r="AH23" i="5"/>
  <c r="AJ39" i="5"/>
  <c r="AH63" i="5"/>
  <c r="AH87" i="5"/>
  <c r="AJ103" i="5"/>
  <c r="AI127" i="5"/>
  <c r="AH151" i="5"/>
  <c r="AI167" i="5"/>
  <c r="AJ4" i="5"/>
  <c r="AH28" i="5"/>
  <c r="AI44" i="5"/>
  <c r="AJ68" i="5"/>
  <c r="AH92" i="5"/>
  <c r="AI108" i="5"/>
  <c r="AJ132" i="5"/>
  <c r="AJ156" i="5"/>
  <c r="AJ17" i="5"/>
  <c r="AH41" i="5"/>
  <c r="AI57" i="5"/>
  <c r="AJ81" i="5"/>
  <c r="AH105" i="5"/>
  <c r="AI121" i="5"/>
  <c r="AJ145" i="5"/>
  <c r="AH169" i="5"/>
  <c r="AI160" i="5"/>
  <c r="AJ154" i="5"/>
  <c r="AI14" i="5"/>
  <c r="AJ38" i="5"/>
  <c r="AI78" i="5"/>
  <c r="AJ102" i="5"/>
  <c r="AH126" i="5"/>
  <c r="AI142" i="5"/>
  <c r="AJ166" i="5"/>
  <c r="AI19" i="5"/>
  <c r="AI43" i="5"/>
  <c r="AJ59" i="5"/>
  <c r="AI83" i="5"/>
  <c r="AI123" i="5"/>
  <c r="AJ128" i="5"/>
  <c r="AI26" i="5"/>
  <c r="AJ82" i="5"/>
  <c r="AH24" i="5"/>
  <c r="AH40" i="5"/>
  <c r="AK40" i="5" s="1"/>
  <c r="AH64" i="5"/>
  <c r="AH88" i="5"/>
  <c r="AH104" i="5"/>
  <c r="AK104" i="5" s="1"/>
  <c r="AH136" i="5"/>
  <c r="AI29" i="5"/>
  <c r="AJ53" i="5"/>
  <c r="AI93" i="5"/>
  <c r="AI117" i="5"/>
  <c r="AH157" i="5"/>
  <c r="AJ146" i="5"/>
  <c r="AH47" i="5"/>
  <c r="AJ63" i="5"/>
  <c r="AI87" i="5"/>
  <c r="AJ111" i="5"/>
  <c r="AH127" i="5"/>
  <c r="AJ151" i="5"/>
  <c r="AH130" i="5"/>
  <c r="AI4" i="5"/>
  <c r="AJ52" i="5"/>
  <c r="AI68" i="5"/>
  <c r="AH116" i="5"/>
  <c r="AI132" i="5"/>
  <c r="AH98" i="5"/>
  <c r="AI17" i="5"/>
  <c r="AJ41" i="5"/>
  <c r="AI81" i="5"/>
  <c r="AJ105" i="5"/>
  <c r="AI145" i="5"/>
  <c r="AJ169" i="5"/>
  <c r="AH18" i="5"/>
  <c r="AH154" i="5"/>
  <c r="AH22" i="5"/>
  <c r="AH86" i="5"/>
  <c r="AI102" i="5"/>
  <c r="AJ126" i="5"/>
  <c r="AI166" i="5"/>
  <c r="AH3" i="5"/>
  <c r="AJ19" i="5"/>
  <c r="AH43" i="5"/>
  <c r="AH67" i="5"/>
  <c r="AJ83" i="5"/>
  <c r="AJ131" i="5"/>
  <c r="AH128" i="5"/>
  <c r="AH34" i="5"/>
  <c r="AI82" i="5"/>
  <c r="AJ24" i="5"/>
  <c r="AJ64" i="5"/>
  <c r="AJ88" i="5"/>
  <c r="AH112" i="5"/>
  <c r="AI136" i="5"/>
  <c r="AH37" i="5"/>
  <c r="AI53" i="5"/>
  <c r="AH101" i="5"/>
  <c r="AH117" i="5"/>
  <c r="AJ165" i="5"/>
  <c r="AH146" i="5"/>
  <c r="AI7" i="5"/>
  <c r="AJ23" i="5"/>
  <c r="AI47" i="5"/>
  <c r="AI71" i="5"/>
  <c r="AJ87" i="5"/>
  <c r="AI111" i="5"/>
  <c r="AJ135" i="5"/>
  <c r="AI151" i="5"/>
  <c r="AI130" i="5"/>
  <c r="AH12" i="5"/>
  <c r="AH52" i="5"/>
  <c r="AH76" i="5"/>
  <c r="AJ116" i="5"/>
  <c r="AJ140" i="5"/>
  <c r="AJ98" i="5"/>
  <c r="AI41" i="5"/>
  <c r="AI105" i="5"/>
  <c r="AI169" i="5"/>
  <c r="AJ18" i="5"/>
  <c r="AH114" i="5"/>
  <c r="AI154" i="5"/>
  <c r="AJ22" i="5"/>
  <c r="AH46" i="5"/>
  <c r="AJ86" i="5"/>
  <c r="AH110" i="5"/>
  <c r="AI126" i="5"/>
  <c r="AH66" i="5"/>
  <c r="AI3" i="5"/>
  <c r="AJ43" i="5"/>
  <c r="AI67" i="5"/>
  <c r="AH91" i="5"/>
  <c r="AH131" i="5"/>
  <c r="AJ155" i="5"/>
  <c r="AI128" i="5"/>
  <c r="AJ34" i="5"/>
  <c r="AJ8" i="5"/>
  <c r="AJ72" i="5"/>
  <c r="AI88" i="5"/>
  <c r="AJ112" i="5"/>
  <c r="AJ37" i="5"/>
  <c r="AH61" i="5"/>
  <c r="AJ101" i="5"/>
  <c r="AJ125" i="5"/>
  <c r="AI165" i="5"/>
  <c r="AH58" i="5"/>
  <c r="AI146" i="5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6" i="3"/>
  <c r="R5" i="3"/>
  <c r="T13" i="3"/>
  <c r="U13" i="3"/>
  <c r="T14" i="3"/>
  <c r="U14" i="3"/>
  <c r="T15" i="3"/>
  <c r="U15" i="3"/>
  <c r="T16" i="3"/>
  <c r="U16" i="3"/>
  <c r="T17" i="3"/>
  <c r="U17" i="3"/>
  <c r="T18" i="3"/>
  <c r="U18" i="3"/>
  <c r="T19" i="3"/>
  <c r="U19" i="3"/>
  <c r="T20" i="3"/>
  <c r="U20" i="3"/>
  <c r="T21" i="3"/>
  <c r="U21" i="3"/>
  <c r="T22" i="3"/>
  <c r="U22" i="3"/>
  <c r="T23" i="3"/>
  <c r="U23" i="3"/>
  <c r="T24" i="3"/>
  <c r="U24" i="3"/>
  <c r="T25" i="3"/>
  <c r="U25" i="3"/>
  <c r="T26" i="3"/>
  <c r="U26" i="3"/>
  <c r="T27" i="3"/>
  <c r="U27" i="3"/>
  <c r="T28" i="3"/>
  <c r="U28" i="3"/>
  <c r="T29" i="3"/>
  <c r="U29" i="3"/>
  <c r="T30" i="3"/>
  <c r="U30" i="3"/>
  <c r="T31" i="3"/>
  <c r="U31" i="3"/>
  <c r="T32" i="3"/>
  <c r="U32" i="3"/>
  <c r="T33" i="3"/>
  <c r="U33" i="3"/>
  <c r="T34" i="3"/>
  <c r="U34" i="3"/>
  <c r="T35" i="3"/>
  <c r="U35" i="3"/>
  <c r="T36" i="3"/>
  <c r="U36" i="3"/>
  <c r="T37" i="3"/>
  <c r="U37" i="3"/>
  <c r="T38" i="3"/>
  <c r="U38" i="3"/>
  <c r="T39" i="3"/>
  <c r="U39" i="3"/>
  <c r="T40" i="3"/>
  <c r="U40" i="3"/>
  <c r="T41" i="3"/>
  <c r="U41" i="3"/>
  <c r="T42" i="3"/>
  <c r="U42" i="3"/>
  <c r="T43" i="3"/>
  <c r="U43" i="3"/>
  <c r="T44" i="3"/>
  <c r="U44" i="3"/>
  <c r="T45" i="3"/>
  <c r="U45" i="3"/>
  <c r="T46" i="3"/>
  <c r="U46" i="3"/>
  <c r="T47" i="3"/>
  <c r="U47" i="3"/>
  <c r="T48" i="3"/>
  <c r="U48" i="3"/>
  <c r="T49" i="3"/>
  <c r="U49" i="3"/>
  <c r="T50" i="3"/>
  <c r="U50" i="3"/>
  <c r="T51" i="3"/>
  <c r="U51" i="3"/>
  <c r="T52" i="3"/>
  <c r="U52" i="3"/>
  <c r="T53" i="3"/>
  <c r="U53" i="3"/>
  <c r="T54" i="3"/>
  <c r="U54" i="3"/>
  <c r="T55" i="3"/>
  <c r="U55" i="3"/>
  <c r="T56" i="3"/>
  <c r="U56" i="3"/>
  <c r="T57" i="3"/>
  <c r="U57" i="3"/>
  <c r="T58" i="3"/>
  <c r="U58" i="3"/>
  <c r="T59" i="3"/>
  <c r="U59" i="3"/>
  <c r="T60" i="3"/>
  <c r="U60" i="3"/>
  <c r="T61" i="3"/>
  <c r="U61" i="3"/>
  <c r="T62" i="3"/>
  <c r="U62" i="3"/>
  <c r="T63" i="3"/>
  <c r="U63" i="3"/>
  <c r="T64" i="3"/>
  <c r="U64" i="3"/>
  <c r="T65" i="3"/>
  <c r="U65" i="3"/>
  <c r="T66" i="3"/>
  <c r="U66" i="3"/>
  <c r="T67" i="3"/>
  <c r="U67" i="3"/>
  <c r="T68" i="3"/>
  <c r="U68" i="3"/>
  <c r="T69" i="3"/>
  <c r="U69" i="3"/>
  <c r="T70" i="3"/>
  <c r="U70" i="3"/>
  <c r="T71" i="3"/>
  <c r="U71" i="3"/>
  <c r="T72" i="3"/>
  <c r="U72" i="3"/>
  <c r="T73" i="3"/>
  <c r="U73" i="3"/>
  <c r="T74" i="3"/>
  <c r="U74" i="3"/>
  <c r="T75" i="3"/>
  <c r="U75" i="3"/>
  <c r="T76" i="3"/>
  <c r="U76" i="3"/>
  <c r="T77" i="3"/>
  <c r="U77" i="3"/>
  <c r="T78" i="3"/>
  <c r="U78" i="3"/>
  <c r="T79" i="3"/>
  <c r="U79" i="3"/>
  <c r="T80" i="3"/>
  <c r="U80" i="3"/>
  <c r="T81" i="3"/>
  <c r="U81" i="3"/>
  <c r="T82" i="3"/>
  <c r="U82" i="3"/>
  <c r="T83" i="3"/>
  <c r="U83" i="3"/>
  <c r="T84" i="3"/>
  <c r="U84" i="3"/>
  <c r="T85" i="3"/>
  <c r="U85" i="3"/>
  <c r="T86" i="3"/>
  <c r="U86" i="3"/>
  <c r="T87" i="3"/>
  <c r="U87" i="3"/>
  <c r="T88" i="3"/>
  <c r="U88" i="3"/>
  <c r="T89" i="3"/>
  <c r="U89" i="3"/>
  <c r="T90" i="3"/>
  <c r="U90" i="3"/>
  <c r="T91" i="3"/>
  <c r="U91" i="3"/>
  <c r="T92" i="3"/>
  <c r="U92" i="3"/>
  <c r="T93" i="3"/>
  <c r="U93" i="3"/>
  <c r="T94" i="3"/>
  <c r="U94" i="3"/>
  <c r="T95" i="3"/>
  <c r="U95" i="3"/>
  <c r="T96" i="3"/>
  <c r="U96" i="3"/>
  <c r="T97" i="3"/>
  <c r="U97" i="3"/>
  <c r="T98" i="3"/>
  <c r="U98" i="3"/>
  <c r="T99" i="3"/>
  <c r="U99" i="3"/>
  <c r="T100" i="3"/>
  <c r="U100" i="3"/>
  <c r="T101" i="3"/>
  <c r="U101" i="3"/>
  <c r="T102" i="3"/>
  <c r="U102" i="3"/>
  <c r="T103" i="3"/>
  <c r="U103" i="3"/>
  <c r="T104" i="3"/>
  <c r="U104" i="3"/>
  <c r="T105" i="3"/>
  <c r="U105" i="3"/>
  <c r="T106" i="3"/>
  <c r="U106" i="3"/>
  <c r="T107" i="3"/>
  <c r="U107" i="3"/>
  <c r="T108" i="3"/>
  <c r="U108" i="3"/>
  <c r="T109" i="3"/>
  <c r="U109" i="3"/>
  <c r="T110" i="3"/>
  <c r="U110" i="3"/>
  <c r="T111" i="3"/>
  <c r="U111" i="3"/>
  <c r="T112" i="3"/>
  <c r="U112" i="3"/>
  <c r="T113" i="3"/>
  <c r="U113" i="3"/>
  <c r="T114" i="3"/>
  <c r="U114" i="3"/>
  <c r="T115" i="3"/>
  <c r="U115" i="3"/>
  <c r="T116" i="3"/>
  <c r="U116" i="3"/>
  <c r="T117" i="3"/>
  <c r="U117" i="3"/>
  <c r="T118" i="3"/>
  <c r="U118" i="3"/>
  <c r="T119" i="3"/>
  <c r="U119" i="3"/>
  <c r="T120" i="3"/>
  <c r="U120" i="3"/>
  <c r="T121" i="3"/>
  <c r="U121" i="3"/>
  <c r="T122" i="3"/>
  <c r="U122" i="3"/>
  <c r="T123" i="3"/>
  <c r="U123" i="3"/>
  <c r="T124" i="3"/>
  <c r="U124" i="3"/>
  <c r="T125" i="3"/>
  <c r="U125" i="3"/>
  <c r="T126" i="3"/>
  <c r="U126" i="3"/>
  <c r="T127" i="3"/>
  <c r="U127" i="3"/>
  <c r="T128" i="3"/>
  <c r="U128" i="3"/>
  <c r="T129" i="3"/>
  <c r="U129" i="3"/>
  <c r="T130" i="3"/>
  <c r="U130" i="3"/>
  <c r="T131" i="3"/>
  <c r="U131" i="3"/>
  <c r="T132" i="3"/>
  <c r="U132" i="3"/>
  <c r="T133" i="3"/>
  <c r="U133" i="3"/>
  <c r="T134" i="3"/>
  <c r="U134" i="3"/>
  <c r="T135" i="3"/>
  <c r="U135" i="3"/>
  <c r="T136" i="3"/>
  <c r="U136" i="3"/>
  <c r="T137" i="3"/>
  <c r="U137" i="3"/>
  <c r="T138" i="3"/>
  <c r="U138" i="3"/>
  <c r="T139" i="3"/>
  <c r="U139" i="3"/>
  <c r="T140" i="3"/>
  <c r="U140" i="3"/>
  <c r="T141" i="3"/>
  <c r="U141" i="3"/>
  <c r="T142" i="3"/>
  <c r="U142" i="3"/>
  <c r="T143" i="3"/>
  <c r="U143" i="3"/>
  <c r="T144" i="3"/>
  <c r="U144" i="3"/>
  <c r="T145" i="3"/>
  <c r="U145" i="3"/>
  <c r="T146" i="3"/>
  <c r="U146" i="3"/>
  <c r="T147" i="3"/>
  <c r="U147" i="3"/>
  <c r="T148" i="3"/>
  <c r="U148" i="3"/>
  <c r="T149" i="3"/>
  <c r="U149" i="3"/>
  <c r="T150" i="3"/>
  <c r="U150" i="3"/>
  <c r="T151" i="3"/>
  <c r="U151" i="3"/>
  <c r="T152" i="3"/>
  <c r="U152" i="3"/>
  <c r="T153" i="3"/>
  <c r="U153" i="3"/>
  <c r="T154" i="3"/>
  <c r="U154" i="3"/>
  <c r="T155" i="3"/>
  <c r="U155" i="3"/>
  <c r="T156" i="3"/>
  <c r="U156" i="3"/>
  <c r="T157" i="3"/>
  <c r="U157" i="3"/>
  <c r="T158" i="3"/>
  <c r="U158" i="3"/>
  <c r="T159" i="3"/>
  <c r="U159" i="3"/>
  <c r="T160" i="3"/>
  <c r="U160" i="3"/>
  <c r="T161" i="3"/>
  <c r="U161" i="3"/>
  <c r="T162" i="3"/>
  <c r="U162" i="3"/>
  <c r="T163" i="3"/>
  <c r="U163" i="3"/>
  <c r="T164" i="3"/>
  <c r="U164" i="3"/>
  <c r="T165" i="3"/>
  <c r="U165" i="3"/>
  <c r="T166" i="3"/>
  <c r="U166" i="3"/>
  <c r="T167" i="3"/>
  <c r="U167" i="3"/>
  <c r="T168" i="3"/>
  <c r="U168" i="3"/>
  <c r="T169" i="3"/>
  <c r="U169" i="3"/>
  <c r="T170" i="3"/>
  <c r="U170" i="3"/>
  <c r="T171" i="3"/>
  <c r="U171" i="3"/>
  <c r="T172" i="3"/>
  <c r="U172" i="3"/>
  <c r="T173" i="3"/>
  <c r="U173" i="3"/>
  <c r="T12" i="3"/>
  <c r="U12" i="3"/>
  <c r="AT58" i="5" l="1"/>
  <c r="AT100" i="5"/>
  <c r="AT129" i="5"/>
  <c r="AT19" i="5"/>
  <c r="AT139" i="5"/>
  <c r="AT61" i="5"/>
  <c r="AT123" i="5"/>
  <c r="AT152" i="5"/>
  <c r="AT106" i="5"/>
  <c r="AT164" i="5"/>
  <c r="AT95" i="5"/>
  <c r="AT142" i="5"/>
  <c r="AT4" i="5"/>
  <c r="AT23" i="5"/>
  <c r="AT124" i="5"/>
  <c r="AT33" i="5"/>
  <c r="AT157" i="5"/>
  <c r="AT83" i="5"/>
  <c r="AT134" i="5"/>
  <c r="AT36" i="5"/>
  <c r="AT137" i="5"/>
  <c r="AT39" i="5"/>
  <c r="AT130" i="5"/>
  <c r="AT77" i="5"/>
  <c r="AT118" i="5"/>
  <c r="AT18" i="5"/>
  <c r="AT141" i="5"/>
  <c r="AT50" i="5"/>
  <c r="AT121" i="5"/>
  <c r="AT35" i="5"/>
  <c r="AT159" i="5"/>
  <c r="AT101" i="5"/>
  <c r="AT57" i="5"/>
  <c r="AT97" i="5"/>
  <c r="AT128" i="5"/>
  <c r="AT45" i="5"/>
  <c r="AT72" i="5"/>
  <c r="AT29" i="5"/>
  <c r="AT88" i="5"/>
  <c r="AT71" i="5"/>
  <c r="AT147" i="5"/>
  <c r="AT89" i="5"/>
  <c r="AT91" i="5"/>
  <c r="AK91" i="5"/>
  <c r="AT116" i="5"/>
  <c r="AT125" i="5"/>
  <c r="AK42" i="5"/>
  <c r="AT21" i="5"/>
  <c r="AT105" i="5"/>
  <c r="AT43" i="5"/>
  <c r="AK12" i="5"/>
  <c r="AT17" i="5"/>
  <c r="AT64" i="5"/>
  <c r="AT51" i="5"/>
  <c r="AT113" i="5"/>
  <c r="AT151" i="5"/>
  <c r="AT103" i="5"/>
  <c r="AT16" i="5"/>
  <c r="AT34" i="5"/>
  <c r="AT28" i="5"/>
  <c r="AT127" i="5"/>
  <c r="AT11" i="5"/>
  <c r="AT14" i="5"/>
  <c r="AT42" i="5"/>
  <c r="AT10" i="5"/>
  <c r="AT90" i="5"/>
  <c r="AT80" i="5"/>
  <c r="AT62" i="5"/>
  <c r="AT48" i="5"/>
  <c r="AK39" i="5"/>
  <c r="Y42" i="3"/>
  <c r="Y41" i="3"/>
  <c r="AT49" i="5"/>
  <c r="AT9" i="5"/>
  <c r="AK62" i="5"/>
  <c r="AT54" i="5"/>
  <c r="AT138" i="5"/>
  <c r="AT26" i="5"/>
  <c r="AT79" i="5"/>
  <c r="AT166" i="5"/>
  <c r="AT66" i="5"/>
  <c r="AT56" i="5"/>
  <c r="AT107" i="5"/>
  <c r="AK63" i="5"/>
  <c r="AT168" i="5"/>
  <c r="AT98" i="5"/>
  <c r="AT117" i="5"/>
  <c r="AT30" i="5"/>
  <c r="AT73" i="5"/>
  <c r="AT5" i="5"/>
  <c r="AT104" i="5"/>
  <c r="AT154" i="5"/>
  <c r="AT86" i="5"/>
  <c r="AT13" i="5"/>
  <c r="AT112" i="5"/>
  <c r="AT52" i="5"/>
  <c r="AT24" i="5"/>
  <c r="AT153" i="5"/>
  <c r="AT8" i="5"/>
  <c r="AT78" i="5"/>
  <c r="AT47" i="5"/>
  <c r="AT110" i="5"/>
  <c r="AT31" i="5"/>
  <c r="AT162" i="5"/>
  <c r="AT81" i="5"/>
  <c r="AT158" i="5"/>
  <c r="F71" i="7"/>
  <c r="F63" i="7"/>
  <c r="F110" i="7"/>
  <c r="AT46" i="5"/>
  <c r="AT82" i="5"/>
  <c r="AT165" i="5"/>
  <c r="AT53" i="5"/>
  <c r="AT65" i="5"/>
  <c r="AT27" i="5"/>
  <c r="AT146" i="5"/>
  <c r="AT108" i="5"/>
  <c r="F171" i="7"/>
  <c r="F102" i="7"/>
  <c r="F30" i="7"/>
  <c r="F40" i="7"/>
  <c r="F95" i="7"/>
  <c r="AT44" i="5"/>
  <c r="AT160" i="5"/>
  <c r="F144" i="7"/>
  <c r="AT161" i="5"/>
  <c r="AT149" i="5"/>
  <c r="AT126" i="5"/>
  <c r="AT69" i="5"/>
  <c r="AT99" i="5"/>
  <c r="AK119" i="5"/>
  <c r="AK149" i="5"/>
  <c r="AT155" i="5"/>
  <c r="AK61" i="5"/>
  <c r="AK110" i="5"/>
  <c r="AK86" i="5"/>
  <c r="AK157" i="5"/>
  <c r="AK108" i="5"/>
  <c r="AK134" i="5"/>
  <c r="AK131" i="5"/>
  <c r="AK146" i="5"/>
  <c r="AK67" i="5"/>
  <c r="AK22" i="5"/>
  <c r="AK135" i="5"/>
  <c r="AK83" i="5"/>
  <c r="AK46" i="5"/>
  <c r="AK41" i="5"/>
  <c r="AK28" i="5"/>
  <c r="AK19" i="5"/>
  <c r="AK107" i="5"/>
  <c r="AK58" i="5"/>
  <c r="AK101" i="5"/>
  <c r="AK3" i="5"/>
  <c r="AK166" i="5"/>
  <c r="AK160" i="5"/>
  <c r="AK17" i="5"/>
  <c r="AK90" i="5"/>
  <c r="AK152" i="5"/>
  <c r="AK60" i="5"/>
  <c r="AK109" i="5"/>
  <c r="AK76" i="5"/>
  <c r="AK136" i="5"/>
  <c r="AK162" i="5"/>
  <c r="AK111" i="5"/>
  <c r="AK133" i="5"/>
  <c r="AK132" i="5"/>
  <c r="AK106" i="5"/>
  <c r="AK85" i="5"/>
  <c r="AK114" i="5"/>
  <c r="AK77" i="5"/>
  <c r="AK66" i="5"/>
  <c r="AK52" i="5"/>
  <c r="AK143" i="5"/>
  <c r="AK92" i="5"/>
  <c r="AK112" i="5"/>
  <c r="AK64" i="5"/>
  <c r="AK6" i="5"/>
  <c r="AK45" i="5"/>
  <c r="AK74" i="5"/>
  <c r="C25" i="9"/>
  <c r="D19" i="9"/>
  <c r="AK43" i="5"/>
  <c r="AK154" i="5"/>
  <c r="AK98" i="5"/>
  <c r="AK127" i="5"/>
  <c r="AK24" i="5"/>
  <c r="AK53" i="5"/>
  <c r="AK82" i="5"/>
  <c r="AK38" i="5"/>
  <c r="AK26" i="5"/>
  <c r="AK35" i="5"/>
  <c r="AK54" i="5"/>
  <c r="AK125" i="5"/>
  <c r="AK32" i="5"/>
  <c r="AK150" i="5"/>
  <c r="AK156" i="5"/>
  <c r="AK140" i="5"/>
  <c r="C70" i="7"/>
  <c r="AO62" i="5"/>
  <c r="E70" i="7" s="1"/>
  <c r="C146" i="7"/>
  <c r="AO138" i="5"/>
  <c r="E146" i="7" s="1"/>
  <c r="C114" i="7"/>
  <c r="AO106" i="5"/>
  <c r="E114" i="7" s="1"/>
  <c r="D152" i="7"/>
  <c r="D168" i="7"/>
  <c r="D60" i="7"/>
  <c r="AK117" i="5"/>
  <c r="AK18" i="5"/>
  <c r="AK23" i="5"/>
  <c r="AK29" i="5"/>
  <c r="AK163" i="5"/>
  <c r="AK14" i="5"/>
  <c r="AK57" i="5"/>
  <c r="AK44" i="5"/>
  <c r="AK69" i="5"/>
  <c r="AK11" i="5"/>
  <c r="AK79" i="5"/>
  <c r="AK8" i="5"/>
  <c r="AK30" i="5"/>
  <c r="AK73" i="5"/>
  <c r="AK95" i="5"/>
  <c r="AK138" i="5"/>
  <c r="AK13" i="5"/>
  <c r="AK49" i="5"/>
  <c r="AK129" i="5"/>
  <c r="AK36" i="5"/>
  <c r="C82" i="7"/>
  <c r="AO74" i="5"/>
  <c r="E82" i="7" s="1"/>
  <c r="C50" i="7"/>
  <c r="AO42" i="5"/>
  <c r="E50" i="7" s="1"/>
  <c r="AO27" i="5"/>
  <c r="E35" i="7" s="1"/>
  <c r="E13" i="8"/>
  <c r="D19" i="8"/>
  <c r="D163" i="7"/>
  <c r="D51" i="7"/>
  <c r="AK116" i="5"/>
  <c r="AK169" i="5"/>
  <c r="AK4" i="5"/>
  <c r="AK33" i="5"/>
  <c r="AK159" i="5"/>
  <c r="AK71" i="5"/>
  <c r="AK70" i="5"/>
  <c r="C18" i="7"/>
  <c r="AO10" i="5"/>
  <c r="E18" i="7" s="1"/>
  <c r="D143" i="7"/>
  <c r="I31" i="9"/>
  <c r="I32" i="9" s="1"/>
  <c r="G23" i="9"/>
  <c r="G31" i="9" s="1"/>
  <c r="G32" i="9" s="1"/>
  <c r="I23" i="9"/>
  <c r="J23" i="9" s="1"/>
  <c r="D96" i="7"/>
  <c r="AK34" i="5"/>
  <c r="AK126" i="5"/>
  <c r="AK151" i="5"/>
  <c r="AK123" i="5"/>
  <c r="AK167" i="5"/>
  <c r="AK122" i="5"/>
  <c r="AK142" i="5"/>
  <c r="AK5" i="5"/>
  <c r="AK139" i="5"/>
  <c r="AK20" i="5"/>
  <c r="AK158" i="5"/>
  <c r="AK50" i="5"/>
  <c r="AK55" i="5"/>
  <c r="AK27" i="5"/>
  <c r="AK165" i="5"/>
  <c r="AK113" i="5"/>
  <c r="AK100" i="5"/>
  <c r="AK25" i="5"/>
  <c r="C13" i="7"/>
  <c r="AO5" i="5"/>
  <c r="E13" i="7" s="1"/>
  <c r="C73" i="7"/>
  <c r="AO65" i="5"/>
  <c r="E73" i="7" s="1"/>
  <c r="C41" i="7"/>
  <c r="AO33" i="5"/>
  <c r="E41" i="7" s="1"/>
  <c r="C117" i="7"/>
  <c r="AO109" i="5"/>
  <c r="E117" i="7" s="1"/>
  <c r="I24" i="9"/>
  <c r="J24" i="9" s="1"/>
  <c r="G24" i="9"/>
  <c r="G33" i="9" s="1"/>
  <c r="G34" i="9" s="1"/>
  <c r="I33" i="9"/>
  <c r="I34" i="9" s="1"/>
  <c r="D27" i="7"/>
  <c r="AK37" i="5"/>
  <c r="AK128" i="5"/>
  <c r="AK47" i="5"/>
  <c r="AK145" i="5"/>
  <c r="AK148" i="5"/>
  <c r="AK161" i="5"/>
  <c r="AK15" i="5"/>
  <c r="AK120" i="5"/>
  <c r="AK144" i="5"/>
  <c r="AK9" i="5"/>
  <c r="AK31" i="5"/>
  <c r="AK168" i="5"/>
  <c r="AK147" i="5"/>
  <c r="C21" i="7"/>
  <c r="AO13" i="5"/>
  <c r="E21" i="7" s="1"/>
  <c r="C137" i="7"/>
  <c r="AO129" i="5"/>
  <c r="E137" i="7" s="1"/>
  <c r="C158" i="7"/>
  <c r="AO150" i="5"/>
  <c r="E158" i="7" s="1"/>
  <c r="AO147" i="5"/>
  <c r="E155" i="7" s="1"/>
  <c r="I35" i="9"/>
  <c r="I36" i="9" s="1"/>
  <c r="I25" i="9"/>
  <c r="J25" i="9" s="1"/>
  <c r="G25" i="9"/>
  <c r="G35" i="9" s="1"/>
  <c r="G36" i="9" s="1"/>
  <c r="H16" i="8"/>
  <c r="H23" i="8" s="1"/>
  <c r="H24" i="8" s="1"/>
  <c r="J16" i="8"/>
  <c r="K16" i="8" s="1"/>
  <c r="J23" i="8"/>
  <c r="J24" i="8" s="1"/>
  <c r="B16" i="8"/>
  <c r="B23" i="8" s="1"/>
  <c r="D16" i="8"/>
  <c r="E16" i="8" s="1"/>
  <c r="D23" i="8"/>
  <c r="AK88" i="5"/>
  <c r="AK105" i="5"/>
  <c r="AK102" i="5"/>
  <c r="AK80" i="5"/>
  <c r="AK99" i="5"/>
  <c r="AK118" i="5"/>
  <c r="AK96" i="5"/>
  <c r="AK115" i="5"/>
  <c r="AK164" i="5"/>
  <c r="AK10" i="5"/>
  <c r="AK48" i="5"/>
  <c r="AK7" i="5"/>
  <c r="C17" i="7"/>
  <c r="AO9" i="5"/>
  <c r="E17" i="7" s="1"/>
  <c r="C29" i="7"/>
  <c r="AO21" i="5"/>
  <c r="E29" i="7" s="1"/>
  <c r="C24" i="7"/>
  <c r="AO16" i="5"/>
  <c r="E24" i="7" s="1"/>
  <c r="D167" i="7"/>
  <c r="D43" i="7"/>
  <c r="I29" i="9"/>
  <c r="I30" i="9" s="1"/>
  <c r="I22" i="9"/>
  <c r="J22" i="9" s="1"/>
  <c r="G22" i="9"/>
  <c r="G29" i="9" s="1"/>
  <c r="G30" i="9" s="1"/>
  <c r="D44" i="7"/>
  <c r="D95" i="7"/>
  <c r="C23" i="9"/>
  <c r="D23" i="9" s="1"/>
  <c r="C31" i="9"/>
  <c r="A23" i="9"/>
  <c r="A31" i="9" s="1"/>
  <c r="H19" i="8"/>
  <c r="H29" i="8" s="1"/>
  <c r="H30" i="8" s="1"/>
  <c r="J19" i="8"/>
  <c r="K19" i="8" s="1"/>
  <c r="J29" i="8"/>
  <c r="J30" i="8" s="1"/>
  <c r="B18" i="8"/>
  <c r="B27" i="8" s="1"/>
  <c r="D27" i="8"/>
  <c r="D18" i="8"/>
  <c r="E18" i="8" s="1"/>
  <c r="AO168" i="5"/>
  <c r="E176" i="7" s="1"/>
  <c r="AK130" i="5"/>
  <c r="AK87" i="5"/>
  <c r="AK103" i="5"/>
  <c r="AK59" i="5"/>
  <c r="AK78" i="5"/>
  <c r="AK121" i="5"/>
  <c r="AK75" i="5"/>
  <c r="AK124" i="5"/>
  <c r="AK2" i="5"/>
  <c r="AK72" i="5"/>
  <c r="AK94" i="5"/>
  <c r="AK137" i="5"/>
  <c r="AK21" i="5"/>
  <c r="AK51" i="5"/>
  <c r="C53" i="7"/>
  <c r="AO45" i="5"/>
  <c r="E53" i="7" s="1"/>
  <c r="C85" i="7"/>
  <c r="AO77" i="5"/>
  <c r="E85" i="7" s="1"/>
  <c r="C25" i="7"/>
  <c r="AO17" i="5"/>
  <c r="E25" i="7" s="1"/>
  <c r="D91" i="7"/>
  <c r="D68" i="7"/>
  <c r="D116" i="7"/>
  <c r="A22" i="9"/>
  <c r="A29" i="9" s="1"/>
  <c r="C29" i="9"/>
  <c r="C22" i="9"/>
  <c r="D22" i="9" s="1"/>
  <c r="D104" i="7"/>
  <c r="H18" i="8"/>
  <c r="H27" i="8" s="1"/>
  <c r="H28" i="8" s="1"/>
  <c r="J27" i="8"/>
  <c r="J28" i="8" s="1"/>
  <c r="J18" i="8"/>
  <c r="K18" i="8" s="1"/>
  <c r="D124" i="7"/>
  <c r="AO107" i="5"/>
  <c r="E115" i="7" s="1"/>
  <c r="D115" i="7"/>
  <c r="D17" i="8"/>
  <c r="E17" i="8" s="1"/>
  <c r="B17" i="8"/>
  <c r="B25" i="8" s="1"/>
  <c r="D25" i="8"/>
  <c r="AK81" i="5"/>
  <c r="AK68" i="5"/>
  <c r="AK93" i="5"/>
  <c r="AK84" i="5"/>
  <c r="AK97" i="5"/>
  <c r="AK56" i="5"/>
  <c r="AK141" i="5"/>
  <c r="AK16" i="5"/>
  <c r="AK155" i="5"/>
  <c r="AK89" i="5"/>
  <c r="AK65" i="5"/>
  <c r="AK153" i="5"/>
  <c r="AO6" i="5"/>
  <c r="E14" i="7" s="1"/>
  <c r="C14" i="7"/>
  <c r="C149" i="7"/>
  <c r="AO141" i="5"/>
  <c r="E149" i="7" s="1"/>
  <c r="D31" i="7"/>
  <c r="D171" i="7"/>
  <c r="C24" i="9"/>
  <c r="D24" i="9" s="1"/>
  <c r="A24" i="9"/>
  <c r="A33" i="9" s="1"/>
  <c r="C33" i="9"/>
  <c r="H17" i="8"/>
  <c r="H25" i="8" s="1"/>
  <c r="H26" i="8" s="1"/>
  <c r="J17" i="8"/>
  <c r="K17" i="8" s="1"/>
  <c r="J25" i="8"/>
  <c r="J26" i="8" s="1"/>
  <c r="D92" i="7"/>
  <c r="BV17" i="3"/>
  <c r="BV19" i="3" s="1"/>
  <c r="AM93" i="5"/>
  <c r="AT140" i="5"/>
  <c r="AT3" i="5"/>
  <c r="AT109" i="5"/>
  <c r="AM3" i="5"/>
  <c r="AT120" i="5"/>
  <c r="AT96" i="5"/>
  <c r="AT150" i="5"/>
  <c r="AT68" i="5"/>
  <c r="AT12" i="5"/>
  <c r="AT131" i="5"/>
  <c r="AT67" i="5"/>
  <c r="AM47" i="5"/>
  <c r="AT93" i="5"/>
  <c r="AT143" i="5"/>
  <c r="AT148" i="5"/>
  <c r="AT133" i="5"/>
  <c r="AT119" i="5"/>
  <c r="AT84" i="5"/>
  <c r="AT167" i="5"/>
  <c r="AT37" i="5"/>
  <c r="AT59" i="5"/>
  <c r="AT75" i="5"/>
  <c r="AT76" i="5"/>
  <c r="AT70" i="5"/>
  <c r="AT7" i="5"/>
  <c r="AT156" i="5"/>
  <c r="AT15" i="5"/>
  <c r="AT135" i="5"/>
  <c r="AT74" i="5"/>
  <c r="AT114" i="5"/>
  <c r="AT144" i="5"/>
  <c r="AT6" i="5"/>
  <c r="AT25" i="5"/>
  <c r="AT145" i="5"/>
  <c r="AT111" i="5"/>
  <c r="AT92" i="5"/>
  <c r="AT40" i="5"/>
  <c r="AT60" i="5"/>
  <c r="AT132" i="5"/>
  <c r="AT122" i="5"/>
  <c r="AT38" i="5"/>
  <c r="AT41" i="5"/>
  <c r="AT20" i="5"/>
  <c r="AT85" i="5"/>
  <c r="AM128" i="5"/>
  <c r="AM15" i="5"/>
  <c r="AM105" i="5"/>
  <c r="AM59" i="5"/>
  <c r="AM64" i="5"/>
  <c r="AM40" i="5"/>
  <c r="AM142" i="5"/>
  <c r="AM120" i="5"/>
  <c r="AM19" i="5"/>
  <c r="C27" i="7" s="1"/>
  <c r="AM117" i="5"/>
  <c r="AM38" i="5"/>
  <c r="AM131" i="5"/>
  <c r="AM165" i="5"/>
  <c r="AM159" i="5"/>
  <c r="C167" i="7" s="1"/>
  <c r="AM53" i="5"/>
  <c r="AM72" i="5"/>
  <c r="AM155" i="5"/>
  <c r="C163" i="7" s="1"/>
  <c r="AM130" i="5"/>
  <c r="AM111" i="5"/>
  <c r="AM167" i="5"/>
  <c r="AM133" i="5"/>
  <c r="AM22" i="5"/>
  <c r="AM50" i="5"/>
  <c r="AM161" i="5"/>
  <c r="AM69" i="5"/>
  <c r="AM88" i="5"/>
  <c r="C96" i="7" s="1"/>
  <c r="AM108" i="5"/>
  <c r="C116" i="7" s="1"/>
  <c r="AM121" i="5"/>
  <c r="AM86" i="5"/>
  <c r="AM102" i="5"/>
  <c r="AM151" i="5"/>
  <c r="AM143" i="5"/>
  <c r="AM34" i="5"/>
  <c r="AM12" i="5"/>
  <c r="AM132" i="5"/>
  <c r="AM116" i="5"/>
  <c r="C124" i="7" s="1"/>
  <c r="AM35" i="5"/>
  <c r="C43" i="7" s="1"/>
  <c r="AM136" i="5"/>
  <c r="AM115" i="5"/>
  <c r="AM51" i="5"/>
  <c r="AM140" i="5"/>
  <c r="AM153" i="5"/>
  <c r="AM63" i="5"/>
  <c r="AM39" i="5"/>
  <c r="AM84" i="5"/>
  <c r="C92" i="7" s="1"/>
  <c r="AM7" i="5"/>
  <c r="AM76" i="5"/>
  <c r="AM126" i="5"/>
  <c r="AM89" i="5"/>
  <c r="AM52" i="5"/>
  <c r="C60" i="7" s="1"/>
  <c r="AM46" i="5"/>
  <c r="AM160" i="5"/>
  <c r="C168" i="7" s="1"/>
  <c r="AM66" i="5"/>
  <c r="AM154" i="5"/>
  <c r="AM146" i="5"/>
  <c r="AM85" i="5"/>
  <c r="AM43" i="5"/>
  <c r="C51" i="7" s="1"/>
  <c r="AM110" i="5"/>
  <c r="AM119" i="5"/>
  <c r="AM149" i="5"/>
  <c r="AM152" i="5"/>
  <c r="AM97" i="5"/>
  <c r="AM125" i="5"/>
  <c r="AM144" i="5"/>
  <c r="C152" i="7" s="1"/>
  <c r="AM37" i="5"/>
  <c r="AM44" i="5"/>
  <c r="AM48" i="5"/>
  <c r="AM92" i="5"/>
  <c r="AM83" i="5"/>
  <c r="C91" i="7" s="1"/>
  <c r="AM137" i="5"/>
  <c r="AM100" i="5"/>
  <c r="AM80" i="5"/>
  <c r="AM139" i="5"/>
  <c r="AM112" i="5"/>
  <c r="AM101" i="5"/>
  <c r="AM81" i="5"/>
  <c r="AM73" i="5"/>
  <c r="AM78" i="5"/>
  <c r="AM49" i="5"/>
  <c r="AM127" i="5"/>
  <c r="AM96" i="5"/>
  <c r="C104" i="7" s="1"/>
  <c r="AM18" i="5"/>
  <c r="AM32" i="5"/>
  <c r="AM4" i="5"/>
  <c r="AM30" i="5"/>
  <c r="AM70" i="5"/>
  <c r="AM75" i="5"/>
  <c r="AM28" i="5"/>
  <c r="AM87" i="5"/>
  <c r="C95" i="7" s="1"/>
  <c r="AM55" i="5"/>
  <c r="AM67" i="5"/>
  <c r="AM41" i="5"/>
  <c r="AM124" i="5"/>
  <c r="AM113" i="5"/>
  <c r="AM25" i="5"/>
  <c r="AM166" i="5"/>
  <c r="AM134" i="5"/>
  <c r="AM90" i="5"/>
  <c r="AM82" i="5"/>
  <c r="AM58" i="5"/>
  <c r="AM95" i="5"/>
  <c r="AM164" i="5"/>
  <c r="AM31" i="5"/>
  <c r="AM157" i="5"/>
  <c r="AM56" i="5"/>
  <c r="AM60" i="5"/>
  <c r="C68" i="7" s="1"/>
  <c r="AM145" i="5"/>
  <c r="AM54" i="5"/>
  <c r="AM162" i="5"/>
  <c r="AM57" i="5"/>
  <c r="AM20" i="5"/>
  <c r="AM11" i="5"/>
  <c r="AM91" i="5"/>
  <c r="AM118" i="5"/>
  <c r="AM169" i="5"/>
  <c r="AM24" i="5"/>
  <c r="AM79" i="5"/>
  <c r="AM14" i="5"/>
  <c r="AM158" i="5"/>
  <c r="AM122" i="5"/>
  <c r="AM61" i="5"/>
  <c r="AM94" i="5"/>
  <c r="AM135" i="5"/>
  <c r="C143" i="7" s="1"/>
  <c r="AM29" i="5"/>
  <c r="AM68" i="5"/>
  <c r="AM114" i="5"/>
  <c r="AM148" i="5"/>
  <c r="AM103" i="5"/>
  <c r="AM104" i="5"/>
  <c r="AM123" i="5"/>
  <c r="AM8" i="5"/>
  <c r="AM36" i="5"/>
  <c r="C44" i="7" s="1"/>
  <c r="AM23" i="5"/>
  <c r="C31" i="7" s="1"/>
  <c r="AM163" i="5"/>
  <c r="C171" i="7" s="1"/>
  <c r="AM99" i="5"/>
  <c r="AM71" i="5"/>
  <c r="AM26" i="5"/>
  <c r="AM156" i="5"/>
  <c r="AM98" i="5"/>
  <c r="AM2" i="5"/>
  <c r="BU31" i="3"/>
  <c r="BS23" i="3"/>
  <c r="BS31" i="3" s="1"/>
  <c r="BU23" i="3"/>
  <c r="BV23" i="3" s="1"/>
  <c r="CA29" i="3"/>
  <c r="CA30" i="3" s="1"/>
  <c r="BY22" i="3"/>
  <c r="BY29" i="3" s="1"/>
  <c r="BY30" i="3" s="1"/>
  <c r="CA22" i="3"/>
  <c r="BU22" i="3"/>
  <c r="BU29" i="3"/>
  <c r="BS22" i="3"/>
  <c r="BS29" i="3" s="1"/>
  <c r="CA25" i="3"/>
  <c r="BY25" i="3"/>
  <c r="BY35" i="3" s="1"/>
  <c r="BY36" i="3" s="1"/>
  <c r="CA35" i="3"/>
  <c r="CA36" i="3" s="1"/>
  <c r="CA24" i="3"/>
  <c r="CB24" i="3" s="1"/>
  <c r="CA33" i="3"/>
  <c r="CA34" i="3" s="1"/>
  <c r="BY24" i="3"/>
  <c r="BY33" i="3" s="1"/>
  <c r="BY34" i="3" s="1"/>
  <c r="BY23" i="3"/>
  <c r="BY31" i="3" s="1"/>
  <c r="BY32" i="3" s="1"/>
  <c r="CA31" i="3"/>
  <c r="CA32" i="3" s="1"/>
  <c r="CA23" i="3"/>
  <c r="CB23" i="3" s="1"/>
  <c r="BS24" i="3"/>
  <c r="BS33" i="3" s="1"/>
  <c r="BU33" i="3"/>
  <c r="BU24" i="3"/>
  <c r="BV24" i="3" s="1"/>
  <c r="E6" i="3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2" i="2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2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6" i="3"/>
  <c r="F8" i="7" l="1"/>
  <c r="D8" i="7"/>
  <c r="F7" i="7"/>
  <c r="BT17" i="3"/>
  <c r="C11" i="8" s="1"/>
  <c r="C19" i="8" s="1"/>
  <c r="D7" i="7"/>
  <c r="J26" i="9"/>
  <c r="E26" i="9"/>
  <c r="K20" i="8"/>
  <c r="C164" i="7"/>
  <c r="AO156" i="5"/>
  <c r="E164" i="7" s="1"/>
  <c r="C131" i="7"/>
  <c r="AO123" i="5"/>
  <c r="E131" i="7" s="1"/>
  <c r="C102" i="7"/>
  <c r="AO94" i="5"/>
  <c r="E102" i="7" s="1"/>
  <c r="C126" i="7"/>
  <c r="AO118" i="5"/>
  <c r="E126" i="7" s="1"/>
  <c r="C98" i="7"/>
  <c r="AO90" i="5"/>
  <c r="E98" i="7" s="1"/>
  <c r="C63" i="7"/>
  <c r="AO55" i="5"/>
  <c r="E63" i="7" s="1"/>
  <c r="C26" i="7"/>
  <c r="AO18" i="5"/>
  <c r="E26" i="7" s="1"/>
  <c r="C120" i="7"/>
  <c r="AO112" i="5"/>
  <c r="E120" i="7" s="1"/>
  <c r="C52" i="7"/>
  <c r="AO44" i="5"/>
  <c r="E52" i="7" s="1"/>
  <c r="C118" i="7"/>
  <c r="AO110" i="5"/>
  <c r="E118" i="7" s="1"/>
  <c r="C161" i="7"/>
  <c r="AO153" i="5"/>
  <c r="E161" i="7" s="1"/>
  <c r="C20" i="7"/>
  <c r="AO12" i="5"/>
  <c r="E20" i="7" s="1"/>
  <c r="C138" i="7"/>
  <c r="AO130" i="5"/>
  <c r="E138" i="7" s="1"/>
  <c r="C125" i="7"/>
  <c r="AO117" i="5"/>
  <c r="E125" i="7" s="1"/>
  <c r="C23" i="7"/>
  <c r="AO15" i="5"/>
  <c r="E23" i="7" s="1"/>
  <c r="AO108" i="5"/>
  <c r="E116" i="7" s="1"/>
  <c r="AO135" i="5"/>
  <c r="E143" i="7" s="1"/>
  <c r="C34" i="7"/>
  <c r="AO26" i="5"/>
  <c r="E34" i="7" s="1"/>
  <c r="C112" i="7"/>
  <c r="AO104" i="5"/>
  <c r="E112" i="7" s="1"/>
  <c r="C69" i="7"/>
  <c r="AO61" i="5"/>
  <c r="E69" i="7" s="1"/>
  <c r="C99" i="7"/>
  <c r="AO91" i="5"/>
  <c r="E99" i="7" s="1"/>
  <c r="C64" i="7"/>
  <c r="AO56" i="5"/>
  <c r="E64" i="7" s="1"/>
  <c r="C142" i="7"/>
  <c r="AO134" i="5"/>
  <c r="E142" i="7" s="1"/>
  <c r="C147" i="7"/>
  <c r="AO139" i="5"/>
  <c r="E147" i="7" s="1"/>
  <c r="C45" i="7"/>
  <c r="AO37" i="5"/>
  <c r="E45" i="7" s="1"/>
  <c r="C97" i="7"/>
  <c r="AO89" i="5"/>
  <c r="E97" i="7" s="1"/>
  <c r="C148" i="7"/>
  <c r="AO140" i="5"/>
  <c r="E148" i="7" s="1"/>
  <c r="C42" i="7"/>
  <c r="AO34" i="5"/>
  <c r="E42" i="7" s="1"/>
  <c r="C77" i="7"/>
  <c r="AO69" i="5"/>
  <c r="E77" i="7" s="1"/>
  <c r="C136" i="7"/>
  <c r="AO128" i="5"/>
  <c r="E136" i="7" s="1"/>
  <c r="AO84" i="5"/>
  <c r="E92" i="7" s="1"/>
  <c r="AO36" i="5"/>
  <c r="E44" i="7" s="1"/>
  <c r="AO159" i="5"/>
  <c r="E167" i="7" s="1"/>
  <c r="C79" i="7"/>
  <c r="AO71" i="5"/>
  <c r="E79" i="7" s="1"/>
  <c r="C111" i="7"/>
  <c r="AO103" i="5"/>
  <c r="E111" i="7" s="1"/>
  <c r="C130" i="7"/>
  <c r="AO122" i="5"/>
  <c r="E130" i="7" s="1"/>
  <c r="C19" i="7"/>
  <c r="AO11" i="5"/>
  <c r="E19" i="7" s="1"/>
  <c r="C165" i="7"/>
  <c r="AO157" i="5"/>
  <c r="E165" i="7" s="1"/>
  <c r="C174" i="7"/>
  <c r="AO166" i="5"/>
  <c r="E174" i="7" s="1"/>
  <c r="C36" i="7"/>
  <c r="AO28" i="5"/>
  <c r="E36" i="7" s="1"/>
  <c r="C135" i="7"/>
  <c r="AO127" i="5"/>
  <c r="E135" i="7" s="1"/>
  <c r="C88" i="7"/>
  <c r="AO80" i="5"/>
  <c r="E88" i="7" s="1"/>
  <c r="C93" i="7"/>
  <c r="AO85" i="5"/>
  <c r="E93" i="7" s="1"/>
  <c r="C134" i="7"/>
  <c r="AO126" i="5"/>
  <c r="E134" i="7" s="1"/>
  <c r="C59" i="7"/>
  <c r="AO51" i="5"/>
  <c r="E59" i="7" s="1"/>
  <c r="C151" i="7"/>
  <c r="AO143" i="5"/>
  <c r="E151" i="7" s="1"/>
  <c r="C169" i="7"/>
  <c r="AO161" i="5"/>
  <c r="E169" i="7" s="1"/>
  <c r="C80" i="7"/>
  <c r="AO72" i="5"/>
  <c r="E80" i="7" s="1"/>
  <c r="C128" i="7"/>
  <c r="AO120" i="5"/>
  <c r="E128" i="7" s="1"/>
  <c r="C55" i="7"/>
  <c r="AO47" i="5"/>
  <c r="E55" i="7" s="1"/>
  <c r="C11" i="7"/>
  <c r="AO3" i="5"/>
  <c r="E11" i="7" s="1"/>
  <c r="AO163" i="5"/>
  <c r="E171" i="7" s="1"/>
  <c r="AO96" i="5"/>
  <c r="E104" i="7" s="1"/>
  <c r="AO60" i="5"/>
  <c r="E68" i="7" s="1"/>
  <c r="A32" i="9"/>
  <c r="A43" i="9" s="1"/>
  <c r="A42" i="9"/>
  <c r="J20" i="8"/>
  <c r="I32" i="8" s="1"/>
  <c r="I33" i="8" s="1"/>
  <c r="I24" i="8"/>
  <c r="I25" i="8" s="1"/>
  <c r="I26" i="8" s="1"/>
  <c r="I27" i="8" s="1"/>
  <c r="I28" i="8" s="1"/>
  <c r="I29" i="8" s="1"/>
  <c r="I30" i="8" s="1"/>
  <c r="AO52" i="5"/>
  <c r="E60" i="7" s="1"/>
  <c r="C107" i="7"/>
  <c r="AO99" i="5"/>
  <c r="E107" i="7" s="1"/>
  <c r="C156" i="7"/>
  <c r="AO148" i="5"/>
  <c r="E156" i="7" s="1"/>
  <c r="C166" i="7"/>
  <c r="AO158" i="5"/>
  <c r="E166" i="7" s="1"/>
  <c r="C28" i="7"/>
  <c r="AO20" i="5"/>
  <c r="E28" i="7" s="1"/>
  <c r="C39" i="7"/>
  <c r="AO31" i="5"/>
  <c r="E39" i="7" s="1"/>
  <c r="C33" i="7"/>
  <c r="AO25" i="5"/>
  <c r="E33" i="7" s="1"/>
  <c r="C83" i="7"/>
  <c r="AO75" i="5"/>
  <c r="E83" i="7" s="1"/>
  <c r="C57" i="7"/>
  <c r="AO49" i="5"/>
  <c r="E57" i="7" s="1"/>
  <c r="C108" i="7"/>
  <c r="AO100" i="5"/>
  <c r="E108" i="7" s="1"/>
  <c r="C133" i="7"/>
  <c r="AO125" i="5"/>
  <c r="E133" i="7" s="1"/>
  <c r="C154" i="7"/>
  <c r="AO146" i="5"/>
  <c r="E154" i="7" s="1"/>
  <c r="C84" i="7"/>
  <c r="AO76" i="5"/>
  <c r="E84" i="7" s="1"/>
  <c r="C123" i="7"/>
  <c r="AO115" i="5"/>
  <c r="E123" i="7" s="1"/>
  <c r="C159" i="7"/>
  <c r="AO151" i="5"/>
  <c r="E159" i="7" s="1"/>
  <c r="C58" i="7"/>
  <c r="AO50" i="5"/>
  <c r="E58" i="7" s="1"/>
  <c r="C61" i="7"/>
  <c r="AO53" i="5"/>
  <c r="E61" i="7" s="1"/>
  <c r="C150" i="7"/>
  <c r="AO142" i="5"/>
  <c r="E150" i="7" s="1"/>
  <c r="J7" i="7"/>
  <c r="AO88" i="5"/>
  <c r="E96" i="7" s="1"/>
  <c r="AO43" i="5"/>
  <c r="E51" i="7" s="1"/>
  <c r="C122" i="7"/>
  <c r="AO114" i="5"/>
  <c r="E122" i="7" s="1"/>
  <c r="C22" i="7"/>
  <c r="AO14" i="5"/>
  <c r="E22" i="7" s="1"/>
  <c r="C65" i="7"/>
  <c r="AO57" i="5"/>
  <c r="E65" i="7" s="1"/>
  <c r="C172" i="7"/>
  <c r="AO164" i="5"/>
  <c r="E172" i="7" s="1"/>
  <c r="C121" i="7"/>
  <c r="AO113" i="5"/>
  <c r="E121" i="7" s="1"/>
  <c r="C78" i="7"/>
  <c r="AO70" i="5"/>
  <c r="E78" i="7" s="1"/>
  <c r="C86" i="7"/>
  <c r="AO78" i="5"/>
  <c r="E86" i="7" s="1"/>
  <c r="C145" i="7"/>
  <c r="AO137" i="5"/>
  <c r="E145" i="7" s="1"/>
  <c r="C105" i="7"/>
  <c r="AO97" i="5"/>
  <c r="E105" i="7" s="1"/>
  <c r="C162" i="7"/>
  <c r="AO154" i="5"/>
  <c r="E162" i="7" s="1"/>
  <c r="C15" i="7"/>
  <c r="AO7" i="5"/>
  <c r="E15" i="7" s="1"/>
  <c r="C144" i="7"/>
  <c r="AO136" i="5"/>
  <c r="E144" i="7" s="1"/>
  <c r="C110" i="7"/>
  <c r="AO102" i="5"/>
  <c r="E110" i="7" s="1"/>
  <c r="C30" i="7"/>
  <c r="AO22" i="5"/>
  <c r="E30" i="7" s="1"/>
  <c r="C48" i="7"/>
  <c r="AO40" i="5"/>
  <c r="E48" i="7" s="1"/>
  <c r="AO23" i="5"/>
  <c r="AO116" i="5"/>
  <c r="E124" i="7" s="1"/>
  <c r="C26" i="9"/>
  <c r="B41" i="9" s="1"/>
  <c r="B43" i="9" s="1"/>
  <c r="B45" i="9" s="1"/>
  <c r="B48" i="9" s="1"/>
  <c r="B30" i="9"/>
  <c r="B31" i="9" s="1"/>
  <c r="B32" i="9" s="1"/>
  <c r="B33" i="9" s="1"/>
  <c r="B34" i="9" s="1"/>
  <c r="B36" i="9" s="1"/>
  <c r="B37" i="9" s="1"/>
  <c r="AO83" i="5"/>
  <c r="E91" i="7" s="1"/>
  <c r="D38" i="8"/>
  <c r="D28" i="8"/>
  <c r="D39" i="8" s="1"/>
  <c r="C32" i="9"/>
  <c r="C43" i="9" s="1"/>
  <c r="C42" i="9"/>
  <c r="H30" i="9"/>
  <c r="H31" i="9" s="1"/>
  <c r="H32" i="9" s="1"/>
  <c r="H33" i="9" s="1"/>
  <c r="H34" i="9" s="1"/>
  <c r="H35" i="9" s="1"/>
  <c r="H36" i="9" s="1"/>
  <c r="I26" i="9"/>
  <c r="H38" i="9" s="1"/>
  <c r="H39" i="9" s="1"/>
  <c r="F20" i="8"/>
  <c r="AO19" i="5"/>
  <c r="E27" i="7" s="1"/>
  <c r="AO160" i="5"/>
  <c r="E168" i="7" s="1"/>
  <c r="C76" i="7"/>
  <c r="AO68" i="5"/>
  <c r="E76" i="7" s="1"/>
  <c r="C87" i="7"/>
  <c r="AO79" i="5"/>
  <c r="E87" i="7" s="1"/>
  <c r="C170" i="7"/>
  <c r="AO162" i="5"/>
  <c r="E170" i="7" s="1"/>
  <c r="C103" i="7"/>
  <c r="AO95" i="5"/>
  <c r="E103" i="7" s="1"/>
  <c r="C132" i="7"/>
  <c r="AO124" i="5"/>
  <c r="E132" i="7" s="1"/>
  <c r="C38" i="7"/>
  <c r="AO30" i="5"/>
  <c r="C81" i="7"/>
  <c r="AO73" i="5"/>
  <c r="E81" i="7" s="1"/>
  <c r="C160" i="7"/>
  <c r="AO152" i="5"/>
  <c r="E160" i="7" s="1"/>
  <c r="C74" i="7"/>
  <c r="AO66" i="5"/>
  <c r="E74" i="7" s="1"/>
  <c r="C94" i="7"/>
  <c r="AO86" i="5"/>
  <c r="E94" i="7" s="1"/>
  <c r="C141" i="7"/>
  <c r="AO133" i="5"/>
  <c r="E141" i="7" s="1"/>
  <c r="C173" i="7"/>
  <c r="AO165" i="5"/>
  <c r="E173" i="7" s="1"/>
  <c r="C72" i="7"/>
  <c r="AO64" i="5"/>
  <c r="E72" i="7" s="1"/>
  <c r="C30" i="9"/>
  <c r="C41" i="9" s="1"/>
  <c r="C40" i="9"/>
  <c r="B38" i="8"/>
  <c r="B28" i="8"/>
  <c r="B39" i="8" s="1"/>
  <c r="D24" i="8"/>
  <c r="D35" i="8" s="1"/>
  <c r="D34" i="8"/>
  <c r="AO155" i="5"/>
  <c r="E163" i="7" s="1"/>
  <c r="B17" i="9"/>
  <c r="B25" i="9" s="1"/>
  <c r="C10" i="7"/>
  <c r="AO2" i="5"/>
  <c r="C37" i="7"/>
  <c r="AO29" i="5"/>
  <c r="C32" i="7"/>
  <c r="AO24" i="5"/>
  <c r="E32" i="7" s="1"/>
  <c r="C62" i="7"/>
  <c r="AO54" i="5"/>
  <c r="E62" i="7" s="1"/>
  <c r="C66" i="7"/>
  <c r="AO58" i="5"/>
  <c r="E66" i="7" s="1"/>
  <c r="C49" i="7"/>
  <c r="AO41" i="5"/>
  <c r="E49" i="7" s="1"/>
  <c r="C12" i="7"/>
  <c r="AO4" i="5"/>
  <c r="E12" i="7" s="1"/>
  <c r="C89" i="7"/>
  <c r="AO81" i="5"/>
  <c r="E89" i="7" s="1"/>
  <c r="C100" i="7"/>
  <c r="AO92" i="5"/>
  <c r="E100" i="7" s="1"/>
  <c r="C157" i="7"/>
  <c r="AO149" i="5"/>
  <c r="E157" i="7" s="1"/>
  <c r="C47" i="7"/>
  <c r="AO39" i="5"/>
  <c r="E47" i="7" s="1"/>
  <c r="C129" i="7"/>
  <c r="AO121" i="5"/>
  <c r="E129" i="7" s="1"/>
  <c r="C175" i="7"/>
  <c r="AO167" i="5"/>
  <c r="E175" i="7" s="1"/>
  <c r="C139" i="7"/>
  <c r="AO131" i="5"/>
  <c r="E139" i="7" s="1"/>
  <c r="C67" i="7"/>
  <c r="AO59" i="5"/>
  <c r="E67" i="7" s="1"/>
  <c r="C101" i="7"/>
  <c r="AO93" i="5"/>
  <c r="E101" i="7" s="1"/>
  <c r="C44" i="9"/>
  <c r="C34" i="9"/>
  <c r="C45" i="9" s="1"/>
  <c r="D26" i="8"/>
  <c r="D37" i="8" s="1"/>
  <c r="D36" i="8"/>
  <c r="A40" i="9"/>
  <c r="A30" i="9"/>
  <c r="A41" i="9" s="1"/>
  <c r="D20" i="8"/>
  <c r="C35" i="8" s="1"/>
  <c r="C37" i="8" s="1"/>
  <c r="C39" i="8" s="1"/>
  <c r="C42" i="8" s="1"/>
  <c r="C24" i="8"/>
  <c r="C25" i="8" s="1"/>
  <c r="C26" i="8" s="1"/>
  <c r="C27" i="8" s="1"/>
  <c r="C28" i="8" s="1"/>
  <c r="C30" i="8" s="1"/>
  <c r="C31" i="8" s="1"/>
  <c r="AO144" i="5"/>
  <c r="E152" i="7" s="1"/>
  <c r="C106" i="7"/>
  <c r="AO98" i="5"/>
  <c r="E106" i="7" s="1"/>
  <c r="C16" i="7"/>
  <c r="AO8" i="5"/>
  <c r="E16" i="7" s="1"/>
  <c r="C177" i="7"/>
  <c r="AO169" i="5"/>
  <c r="E177" i="7" s="1"/>
  <c r="C153" i="7"/>
  <c r="AO145" i="5"/>
  <c r="E153" i="7" s="1"/>
  <c r="C90" i="7"/>
  <c r="AO82" i="5"/>
  <c r="E90" i="7" s="1"/>
  <c r="C75" i="7"/>
  <c r="AO67" i="5"/>
  <c r="E75" i="7" s="1"/>
  <c r="C40" i="7"/>
  <c r="AO32" i="5"/>
  <c r="E40" i="7" s="1"/>
  <c r="C109" i="7"/>
  <c r="AO101" i="5"/>
  <c r="E109" i="7" s="1"/>
  <c r="C56" i="7"/>
  <c r="AO48" i="5"/>
  <c r="E56" i="7" s="1"/>
  <c r="C127" i="7"/>
  <c r="AO119" i="5"/>
  <c r="E127" i="7" s="1"/>
  <c r="C54" i="7"/>
  <c r="AO46" i="5"/>
  <c r="E54" i="7" s="1"/>
  <c r="C71" i="7"/>
  <c r="AO63" i="5"/>
  <c r="E71" i="7" s="1"/>
  <c r="C140" i="7"/>
  <c r="AO132" i="5"/>
  <c r="E140" i="7" s="1"/>
  <c r="C119" i="7"/>
  <c r="AO111" i="5"/>
  <c r="E119" i="7" s="1"/>
  <c r="AO38" i="5"/>
  <c r="E46" i="7" s="1"/>
  <c r="C46" i="7"/>
  <c r="C113" i="7"/>
  <c r="AO105" i="5"/>
  <c r="E113" i="7" s="1"/>
  <c r="A34" i="9"/>
  <c r="A45" i="9" s="1"/>
  <c r="A44" i="9"/>
  <c r="B26" i="8"/>
  <c r="B37" i="8" s="1"/>
  <c r="B36" i="8"/>
  <c r="AO87" i="5"/>
  <c r="E95" i="7" s="1"/>
  <c r="AO35" i="5"/>
  <c r="E43" i="7" s="1"/>
  <c r="B24" i="8"/>
  <c r="B35" i="8" s="1"/>
  <c r="B34" i="8"/>
  <c r="CB25" i="3"/>
  <c r="BZ30" i="3"/>
  <c r="BZ31" i="3" s="1"/>
  <c r="BZ32" i="3" s="1"/>
  <c r="BZ33" i="3" s="1"/>
  <c r="BZ34" i="3" s="1"/>
  <c r="BZ35" i="3" s="1"/>
  <c r="BZ36" i="3" s="1"/>
  <c r="CA26" i="3"/>
  <c r="BZ38" i="3" s="1"/>
  <c r="BZ39" i="3" s="1"/>
  <c r="BU34" i="3"/>
  <c r="BU45" i="3" s="1"/>
  <c r="BU44" i="3"/>
  <c r="BS32" i="3"/>
  <c r="BS43" i="3" s="1"/>
  <c r="BS42" i="3"/>
  <c r="BS34" i="3"/>
  <c r="BS45" i="3" s="1"/>
  <c r="BS44" i="3"/>
  <c r="BS30" i="3"/>
  <c r="BS41" i="3" s="1"/>
  <c r="BS40" i="3"/>
  <c r="BU32" i="3"/>
  <c r="BU43" i="3" s="1"/>
  <c r="BU42" i="3"/>
  <c r="BU30" i="3"/>
  <c r="BU41" i="3" s="1"/>
  <c r="BU40" i="3"/>
  <c r="BT30" i="3"/>
  <c r="BT31" i="3" s="1"/>
  <c r="BT32" i="3" s="1"/>
  <c r="BT33" i="3" s="1"/>
  <c r="BT34" i="3" s="1"/>
  <c r="BT36" i="3" s="1"/>
  <c r="CB22" i="3"/>
  <c r="BV22" i="3"/>
  <c r="BW26" i="3" s="1"/>
  <c r="BU25" i="3"/>
  <c r="M7" i="3"/>
  <c r="Q7" i="3"/>
  <c r="M8" i="3"/>
  <c r="Q8" i="3"/>
  <c r="M9" i="3"/>
  <c r="Q9" i="3"/>
  <c r="M10" i="3"/>
  <c r="Q10" i="3"/>
  <c r="M11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6" i="3"/>
  <c r="M6" i="3"/>
  <c r="BT25" i="3" l="1"/>
  <c r="BU36" i="3" s="1"/>
  <c r="BU47" i="3" s="1"/>
  <c r="C8" i="7"/>
  <c r="CB26" i="3"/>
  <c r="C7" i="7"/>
  <c r="E31" i="7"/>
  <c r="C5" i="8"/>
  <c r="J33" i="8" s="1"/>
  <c r="BT11" i="3"/>
  <c r="CA39" i="3" s="1"/>
  <c r="E37" i="7"/>
  <c r="D25" i="9"/>
  <c r="D26" i="9" s="1"/>
  <c r="C36" i="9"/>
  <c r="AP5" i="5"/>
  <c r="E10" i="7"/>
  <c r="E38" i="7"/>
  <c r="B11" i="9"/>
  <c r="I39" i="9" s="1"/>
  <c r="D30" i="8"/>
  <c r="E19" i="8"/>
  <c r="E20" i="8" s="1"/>
  <c r="BU26" i="3"/>
  <c r="BT41" i="3" s="1"/>
  <c r="BT43" i="3" s="1"/>
  <c r="BT45" i="3" s="1"/>
  <c r="BT48" i="3" s="1"/>
  <c r="BT37" i="3"/>
  <c r="AP2" i="5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6" i="3"/>
  <c r="BU37" i="3" l="1"/>
  <c r="BU48" i="3" s="1"/>
  <c r="BV25" i="3"/>
  <c r="BV26" i="3" s="1"/>
  <c r="E7" i="7"/>
  <c r="E8" i="7"/>
  <c r="C37" i="9"/>
  <c r="C48" i="9" s="1"/>
  <c r="C47" i="9"/>
  <c r="D41" i="8"/>
  <c r="D31" i="8"/>
  <c r="D42" i="8" s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2" i="4"/>
  <c r="D1" i="4"/>
  <c r="B1" i="4"/>
  <c r="C1" i="4"/>
  <c r="M5" i="3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2" i="4"/>
  <c r="C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2" i="4"/>
  <c r="R7" i="3" l="1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6" i="3"/>
  <c r="H168" i="3" l="1"/>
  <c r="H144" i="3"/>
  <c r="H104" i="3"/>
  <c r="H64" i="3"/>
  <c r="H32" i="3"/>
  <c r="H159" i="3"/>
  <c r="H135" i="3"/>
  <c r="H119" i="3"/>
  <c r="H95" i="3"/>
  <c r="H63" i="3"/>
  <c r="H39" i="3"/>
  <c r="H23" i="3"/>
  <c r="W23" i="3" s="1"/>
  <c r="H158" i="3"/>
  <c r="H134" i="3"/>
  <c r="H118" i="3"/>
  <c r="H102" i="3"/>
  <c r="H94" i="3"/>
  <c r="H86" i="3"/>
  <c r="H78" i="3"/>
  <c r="H70" i="3"/>
  <c r="H62" i="3"/>
  <c r="H54" i="3"/>
  <c r="H46" i="3"/>
  <c r="H38" i="3"/>
  <c r="H30" i="3"/>
  <c r="H22" i="3"/>
  <c r="H14" i="3"/>
  <c r="H173" i="3"/>
  <c r="H165" i="3"/>
  <c r="H157" i="3"/>
  <c r="H149" i="3"/>
  <c r="H141" i="3"/>
  <c r="H133" i="3"/>
  <c r="H125" i="3"/>
  <c r="H117" i="3"/>
  <c r="H109" i="3"/>
  <c r="H101" i="3"/>
  <c r="H93" i="3"/>
  <c r="H85" i="3"/>
  <c r="H77" i="3"/>
  <c r="H69" i="3"/>
  <c r="H61" i="3"/>
  <c r="H53" i="3"/>
  <c r="H45" i="3"/>
  <c r="H37" i="3"/>
  <c r="H29" i="3"/>
  <c r="H21" i="3"/>
  <c r="H13" i="3"/>
  <c r="H156" i="3"/>
  <c r="H132" i="3"/>
  <c r="H92" i="3"/>
  <c r="H68" i="3"/>
  <c r="H36" i="3"/>
  <c r="H12" i="3"/>
  <c r="J12" i="3"/>
  <c r="H139" i="3"/>
  <c r="H123" i="3"/>
  <c r="H115" i="3"/>
  <c r="H107" i="3"/>
  <c r="H99" i="3"/>
  <c r="H91" i="3"/>
  <c r="H83" i="3"/>
  <c r="H75" i="3"/>
  <c r="H67" i="3"/>
  <c r="H59" i="3"/>
  <c r="H51" i="3"/>
  <c r="H43" i="3"/>
  <c r="H35" i="3"/>
  <c r="H27" i="3"/>
  <c r="W27" i="3" s="1"/>
  <c r="H19" i="3"/>
  <c r="H11" i="3"/>
  <c r="H128" i="3"/>
  <c r="H88" i="3"/>
  <c r="H48" i="3"/>
  <c r="H151" i="3"/>
  <c r="H111" i="3"/>
  <c r="H79" i="3"/>
  <c r="H47" i="3"/>
  <c r="H15" i="3"/>
  <c r="H6" i="3"/>
  <c r="H150" i="3"/>
  <c r="H126" i="3"/>
  <c r="H172" i="3"/>
  <c r="H148" i="3"/>
  <c r="H124" i="3"/>
  <c r="H100" i="3"/>
  <c r="H76" i="3"/>
  <c r="H52" i="3"/>
  <c r="H20" i="3"/>
  <c r="H171" i="3"/>
  <c r="H155" i="3"/>
  <c r="H146" i="3"/>
  <c r="H122" i="3"/>
  <c r="H106" i="3"/>
  <c r="H98" i="3"/>
  <c r="H90" i="3"/>
  <c r="H82" i="3"/>
  <c r="H74" i="3"/>
  <c r="H66" i="3"/>
  <c r="H58" i="3"/>
  <c r="H50" i="3"/>
  <c r="H42" i="3"/>
  <c r="H34" i="3"/>
  <c r="H26" i="3"/>
  <c r="H18" i="3"/>
  <c r="H10" i="3"/>
  <c r="H160" i="3"/>
  <c r="H120" i="3"/>
  <c r="H72" i="3"/>
  <c r="H24" i="3"/>
  <c r="H167" i="3"/>
  <c r="H143" i="3"/>
  <c r="H127" i="3"/>
  <c r="H103" i="3"/>
  <c r="H87" i="3"/>
  <c r="H55" i="3"/>
  <c r="H31" i="3"/>
  <c r="H7" i="3"/>
  <c r="H166" i="3"/>
  <c r="H142" i="3"/>
  <c r="H110" i="3"/>
  <c r="H164" i="3"/>
  <c r="H140" i="3"/>
  <c r="H116" i="3"/>
  <c r="H108" i="3"/>
  <c r="H84" i="3"/>
  <c r="H60" i="3"/>
  <c r="H44" i="3"/>
  <c r="H28" i="3"/>
  <c r="H163" i="3"/>
  <c r="H147" i="3"/>
  <c r="H131" i="3"/>
  <c r="H170" i="3"/>
  <c r="H162" i="3"/>
  <c r="H154" i="3"/>
  <c r="H138" i="3"/>
  <c r="H130" i="3"/>
  <c r="H114" i="3"/>
  <c r="H169" i="3"/>
  <c r="H161" i="3"/>
  <c r="H153" i="3"/>
  <c r="H145" i="3"/>
  <c r="H137" i="3"/>
  <c r="H129" i="3"/>
  <c r="H121" i="3"/>
  <c r="H113" i="3"/>
  <c r="H105" i="3"/>
  <c r="H97" i="3"/>
  <c r="H89" i="3"/>
  <c r="H81" i="3"/>
  <c r="H73" i="3"/>
  <c r="H65" i="3"/>
  <c r="H57" i="3"/>
  <c r="H49" i="3"/>
  <c r="H41" i="3"/>
  <c r="H33" i="3"/>
  <c r="H25" i="3"/>
  <c r="H17" i="3"/>
  <c r="H9" i="3"/>
  <c r="H152" i="3"/>
  <c r="H112" i="3"/>
  <c r="H80" i="3"/>
  <c r="H56" i="3"/>
  <c r="H40" i="3"/>
  <c r="H16" i="3"/>
  <c r="H8" i="3"/>
  <c r="O8" i="3" s="1"/>
  <c r="P8" i="3" s="1"/>
  <c r="H136" i="3"/>
  <c r="H96" i="3"/>
  <c r="H71" i="3"/>
  <c r="J54" i="3"/>
  <c r="J53" i="3"/>
  <c r="J57" i="3"/>
  <c r="J56" i="3"/>
  <c r="J55" i="3"/>
  <c r="J160" i="3"/>
  <c r="J120" i="3"/>
  <c r="J88" i="3"/>
  <c r="J48" i="3"/>
  <c r="J16" i="3"/>
  <c r="J167" i="3"/>
  <c r="J119" i="3"/>
  <c r="J95" i="3"/>
  <c r="J173" i="3"/>
  <c r="J165" i="3"/>
  <c r="J141" i="3"/>
  <c r="J117" i="3"/>
  <c r="J85" i="3"/>
  <c r="J61" i="3"/>
  <c r="J29" i="3"/>
  <c r="J164" i="3"/>
  <c r="J148" i="3"/>
  <c r="J140" i="3"/>
  <c r="J132" i="3"/>
  <c r="J124" i="3"/>
  <c r="J116" i="3"/>
  <c r="J108" i="3"/>
  <c r="J100" i="3"/>
  <c r="J92" i="3"/>
  <c r="J84" i="3"/>
  <c r="J76" i="3"/>
  <c r="J68" i="3"/>
  <c r="J60" i="3"/>
  <c r="J52" i="3"/>
  <c r="J44" i="3"/>
  <c r="J36" i="3"/>
  <c r="J28" i="3"/>
  <c r="J20" i="3"/>
  <c r="J168" i="3"/>
  <c r="J128" i="3"/>
  <c r="J96" i="3"/>
  <c r="J32" i="3"/>
  <c r="J159" i="3"/>
  <c r="J127" i="3"/>
  <c r="J87" i="3"/>
  <c r="J149" i="3"/>
  <c r="J125" i="3"/>
  <c r="J101" i="3"/>
  <c r="J77" i="3"/>
  <c r="J45" i="3"/>
  <c r="J13" i="3"/>
  <c r="J155" i="3"/>
  <c r="J131" i="3"/>
  <c r="J99" i="3"/>
  <c r="J67" i="3"/>
  <c r="J43" i="3"/>
  <c r="J27" i="3"/>
  <c r="J19" i="3"/>
  <c r="J152" i="3"/>
  <c r="J112" i="3"/>
  <c r="J72" i="3"/>
  <c r="J40" i="3"/>
  <c r="J143" i="3"/>
  <c r="J103" i="3"/>
  <c r="J157" i="3"/>
  <c r="J133" i="3"/>
  <c r="J109" i="3"/>
  <c r="J93" i="3"/>
  <c r="J69" i="3"/>
  <c r="J37" i="3"/>
  <c r="J21" i="3"/>
  <c r="J172" i="3"/>
  <c r="J156" i="3"/>
  <c r="J171" i="3"/>
  <c r="J163" i="3"/>
  <c r="J147" i="3"/>
  <c r="J139" i="3"/>
  <c r="J123" i="3"/>
  <c r="J115" i="3"/>
  <c r="J107" i="3"/>
  <c r="J91" i="3"/>
  <c r="J83" i="3"/>
  <c r="J75" i="3"/>
  <c r="J59" i="3"/>
  <c r="J51" i="3"/>
  <c r="J35" i="3"/>
  <c r="J170" i="3"/>
  <c r="J162" i="3"/>
  <c r="J154" i="3"/>
  <c r="J146" i="3"/>
  <c r="J138" i="3"/>
  <c r="J130" i="3"/>
  <c r="J122" i="3"/>
  <c r="J114" i="3"/>
  <c r="J106" i="3"/>
  <c r="J98" i="3"/>
  <c r="J90" i="3"/>
  <c r="J82" i="3"/>
  <c r="J74" i="3"/>
  <c r="J66" i="3"/>
  <c r="J58" i="3"/>
  <c r="J50" i="3"/>
  <c r="J42" i="3"/>
  <c r="J34" i="3"/>
  <c r="J26" i="3"/>
  <c r="J18" i="3"/>
  <c r="J10" i="3"/>
  <c r="J144" i="3"/>
  <c r="J80" i="3"/>
  <c r="J8" i="3"/>
  <c r="J169" i="3"/>
  <c r="J161" i="3"/>
  <c r="J153" i="3"/>
  <c r="J145" i="3"/>
  <c r="J137" i="3"/>
  <c r="J129" i="3"/>
  <c r="J121" i="3"/>
  <c r="J113" i="3"/>
  <c r="J105" i="3"/>
  <c r="J97" i="3"/>
  <c r="J89" i="3"/>
  <c r="J81" i="3"/>
  <c r="J73" i="3"/>
  <c r="J65" i="3"/>
  <c r="J49" i="3"/>
  <c r="J41" i="3"/>
  <c r="J33" i="3"/>
  <c r="J25" i="3"/>
  <c r="J17" i="3"/>
  <c r="J9" i="3"/>
  <c r="J136" i="3"/>
  <c r="J104" i="3"/>
  <c r="J64" i="3"/>
  <c r="J24" i="3"/>
  <c r="J151" i="3"/>
  <c r="J135" i="3"/>
  <c r="J111" i="3"/>
  <c r="J79" i="3"/>
  <c r="J71" i="3"/>
  <c r="J63" i="3"/>
  <c r="J47" i="3"/>
  <c r="J39" i="3"/>
  <c r="J31" i="3"/>
  <c r="J23" i="3"/>
  <c r="J15" i="3"/>
  <c r="J7" i="3"/>
  <c r="J6" i="3"/>
  <c r="J166" i="3"/>
  <c r="J158" i="3"/>
  <c r="J150" i="3"/>
  <c r="J142" i="3"/>
  <c r="J134" i="3"/>
  <c r="J126" i="3"/>
  <c r="J118" i="3"/>
  <c r="J110" i="3"/>
  <c r="J102" i="3"/>
  <c r="J94" i="3"/>
  <c r="J86" i="3"/>
  <c r="J78" i="3"/>
  <c r="J70" i="3"/>
  <c r="J62" i="3"/>
  <c r="J46" i="3"/>
  <c r="J38" i="3"/>
  <c r="J30" i="3"/>
  <c r="J22" i="3"/>
  <c r="J14" i="3"/>
  <c r="I42" i="3" l="1"/>
  <c r="O42" i="3"/>
  <c r="P42" i="3" s="1"/>
  <c r="I157" i="3"/>
  <c r="O157" i="3"/>
  <c r="P157" i="3" s="1"/>
  <c r="I90" i="3"/>
  <c r="O90" i="3"/>
  <c r="P90" i="3" s="1"/>
  <c r="I38" i="3"/>
  <c r="O38" i="3"/>
  <c r="P38" i="3" s="1"/>
  <c r="I85" i="3"/>
  <c r="O85" i="3"/>
  <c r="P85" i="3" s="1"/>
  <c r="I89" i="3"/>
  <c r="O89" i="3"/>
  <c r="P89" i="3" s="1"/>
  <c r="I91" i="3"/>
  <c r="O91" i="3"/>
  <c r="P91" i="3" s="1"/>
  <c r="I37" i="3"/>
  <c r="O37" i="3"/>
  <c r="P37" i="3" s="1"/>
  <c r="I62" i="3"/>
  <c r="O62" i="3"/>
  <c r="P62" i="3" s="1"/>
  <c r="I158" i="3"/>
  <c r="O158" i="3"/>
  <c r="P158" i="3" s="1"/>
  <c r="I40" i="3"/>
  <c r="O40" i="3"/>
  <c r="P40" i="3" s="1"/>
  <c r="I45" i="3"/>
  <c r="O45" i="3"/>
  <c r="P45" i="3" s="1"/>
  <c r="I109" i="3"/>
  <c r="O109" i="3"/>
  <c r="P109" i="3" s="1"/>
  <c r="I159" i="3"/>
  <c r="O159" i="3"/>
  <c r="P159" i="3" s="1"/>
  <c r="I41" i="3"/>
  <c r="O41" i="3"/>
  <c r="P41" i="3" s="1"/>
  <c r="I87" i="3"/>
  <c r="O87" i="3"/>
  <c r="P87" i="3" s="1"/>
  <c r="I43" i="3"/>
  <c r="O43" i="3"/>
  <c r="P43" i="3" s="1"/>
  <c r="W39" i="3"/>
  <c r="O39" i="3"/>
  <c r="P39" i="3" s="1"/>
  <c r="I162" i="3"/>
  <c r="O162" i="3"/>
  <c r="P162" i="3" s="1"/>
  <c r="I114" i="3"/>
  <c r="O114" i="3"/>
  <c r="P114" i="3" s="1"/>
  <c r="I163" i="3"/>
  <c r="O163" i="3"/>
  <c r="P163" i="3" s="1"/>
  <c r="I61" i="3"/>
  <c r="O61" i="3"/>
  <c r="P61" i="3" s="1"/>
  <c r="I86" i="3"/>
  <c r="O86" i="3"/>
  <c r="P86" i="3" s="1"/>
  <c r="I110" i="3"/>
  <c r="O110" i="3"/>
  <c r="P110" i="3" s="1"/>
  <c r="I88" i="3"/>
  <c r="O88" i="3"/>
  <c r="P88" i="3" s="1"/>
  <c r="I156" i="3"/>
  <c r="O156" i="3"/>
  <c r="P156" i="3" s="1"/>
  <c r="I138" i="3"/>
  <c r="O138" i="3"/>
  <c r="P138" i="3" s="1"/>
  <c r="I36" i="3"/>
  <c r="O36" i="3"/>
  <c r="P36" i="3" s="1"/>
  <c r="V152" i="3"/>
  <c r="O152" i="3"/>
  <c r="P152" i="3" s="1"/>
  <c r="V128" i="3"/>
  <c r="O128" i="3"/>
  <c r="P128" i="3" s="1"/>
  <c r="I13" i="3"/>
  <c r="O13" i="3"/>
  <c r="P13" i="3" s="1"/>
  <c r="I136" i="3"/>
  <c r="O136" i="3"/>
  <c r="P136" i="3" s="1"/>
  <c r="I137" i="3"/>
  <c r="O137" i="3"/>
  <c r="P137" i="3" s="1"/>
  <c r="V154" i="3"/>
  <c r="O154" i="3"/>
  <c r="P154" i="3" s="1"/>
  <c r="V60" i="3"/>
  <c r="O60" i="3"/>
  <c r="P60" i="3" s="1"/>
  <c r="I34" i="3"/>
  <c r="O34" i="3"/>
  <c r="P34" i="3" s="1"/>
  <c r="I15" i="3"/>
  <c r="O15" i="3"/>
  <c r="P15" i="3" s="1"/>
  <c r="I21" i="3"/>
  <c r="O21" i="3"/>
  <c r="P21" i="3" s="1"/>
  <c r="I46" i="3"/>
  <c r="O46" i="3"/>
  <c r="P46" i="3" s="1"/>
  <c r="I135" i="3"/>
  <c r="O135" i="3"/>
  <c r="P135" i="3" s="1"/>
  <c r="V83" i="3"/>
  <c r="O83" i="3"/>
  <c r="P83" i="3" s="1"/>
  <c r="I16" i="3"/>
  <c r="O16" i="3"/>
  <c r="P16" i="3" s="1"/>
  <c r="I153" i="3"/>
  <c r="O153" i="3"/>
  <c r="P153" i="3" s="1"/>
  <c r="V108" i="3"/>
  <c r="O108" i="3"/>
  <c r="P108" i="3" s="1"/>
  <c r="I31" i="3"/>
  <c r="O31" i="3"/>
  <c r="P31" i="3" s="1"/>
  <c r="I165" i="3"/>
  <c r="O165" i="3"/>
  <c r="P165" i="3" s="1"/>
  <c r="I32" i="3"/>
  <c r="O32" i="3"/>
  <c r="P32" i="3" s="1"/>
  <c r="I65" i="3"/>
  <c r="O65" i="3"/>
  <c r="P65" i="3" s="1"/>
  <c r="I93" i="3"/>
  <c r="O93" i="3"/>
  <c r="P93" i="3" s="1"/>
  <c r="V33" i="3"/>
  <c r="O33" i="3"/>
  <c r="P33" i="3" s="1"/>
  <c r="I161" i="3"/>
  <c r="O161" i="3"/>
  <c r="P161" i="3" s="1"/>
  <c r="V131" i="3"/>
  <c r="O131" i="3"/>
  <c r="P131" i="3" s="1"/>
  <c r="V55" i="3"/>
  <c r="O55" i="3"/>
  <c r="P55" i="3" s="1"/>
  <c r="V58" i="3"/>
  <c r="O58" i="3"/>
  <c r="P58" i="3" s="1"/>
  <c r="I111" i="3"/>
  <c r="O111" i="3"/>
  <c r="P111" i="3" s="1"/>
  <c r="W35" i="3"/>
  <c r="O35" i="3"/>
  <c r="P35" i="3" s="1"/>
  <c r="I64" i="3"/>
  <c r="O64" i="3"/>
  <c r="P64" i="3" s="1"/>
  <c r="V56" i="3"/>
  <c r="O56" i="3"/>
  <c r="P56" i="3" s="1"/>
  <c r="V105" i="3"/>
  <c r="O105" i="3"/>
  <c r="P105" i="3" s="1"/>
  <c r="I160" i="3"/>
  <c r="O160" i="3"/>
  <c r="P160" i="3" s="1"/>
  <c r="I66" i="3"/>
  <c r="O66" i="3"/>
  <c r="P66" i="3" s="1"/>
  <c r="I155" i="3"/>
  <c r="O155" i="3"/>
  <c r="P155" i="3" s="1"/>
  <c r="V151" i="3"/>
  <c r="O151" i="3"/>
  <c r="P151" i="3" s="1"/>
  <c r="V107" i="3"/>
  <c r="O107" i="3"/>
  <c r="P107" i="3" s="1"/>
  <c r="W14" i="3"/>
  <c r="O14" i="3"/>
  <c r="P14" i="3" s="1"/>
  <c r="V104" i="3"/>
  <c r="O104" i="3"/>
  <c r="P104" i="3" s="1"/>
  <c r="I44" i="3"/>
  <c r="O44" i="3"/>
  <c r="P44" i="3" s="1"/>
  <c r="V81" i="3"/>
  <c r="O81" i="3"/>
  <c r="P81" i="3" s="1"/>
  <c r="I19" i="3"/>
  <c r="O19" i="3"/>
  <c r="P19" i="3" s="1"/>
  <c r="I113" i="3"/>
  <c r="O113" i="3"/>
  <c r="P113" i="3" s="1"/>
  <c r="I164" i="3"/>
  <c r="O164" i="3"/>
  <c r="P164" i="3" s="1"/>
  <c r="V103" i="3"/>
  <c r="O103" i="3"/>
  <c r="P103" i="3" s="1"/>
  <c r="V132" i="3"/>
  <c r="O132" i="3"/>
  <c r="P132" i="3" s="1"/>
  <c r="I22" i="3"/>
  <c r="O22" i="3"/>
  <c r="P22" i="3" s="1"/>
  <c r="I63" i="3"/>
  <c r="O63" i="3"/>
  <c r="P63" i="3" s="1"/>
  <c r="I129" i="3"/>
  <c r="O129" i="3"/>
  <c r="P129" i="3" s="1"/>
  <c r="I17" i="3"/>
  <c r="O17" i="3"/>
  <c r="P17" i="3" s="1"/>
  <c r="V84" i="3"/>
  <c r="O84" i="3"/>
  <c r="P84" i="3" s="1"/>
  <c r="V106" i="3"/>
  <c r="O106" i="3"/>
  <c r="P106" i="3" s="1"/>
  <c r="I12" i="3"/>
  <c r="O12" i="3"/>
  <c r="P12" i="3" s="1"/>
  <c r="I134" i="3"/>
  <c r="O134" i="3"/>
  <c r="P134" i="3" s="1"/>
  <c r="I112" i="3"/>
  <c r="O112" i="3"/>
  <c r="P112" i="3" s="1"/>
  <c r="V57" i="3"/>
  <c r="O57" i="3"/>
  <c r="P57" i="3" s="1"/>
  <c r="V130" i="3"/>
  <c r="O130" i="3"/>
  <c r="P130" i="3" s="1"/>
  <c r="V127" i="3"/>
  <c r="O127" i="3"/>
  <c r="P127" i="3" s="1"/>
  <c r="I18" i="3"/>
  <c r="O18" i="3"/>
  <c r="P18" i="3" s="1"/>
  <c r="V82" i="3"/>
  <c r="O82" i="3"/>
  <c r="P82" i="3" s="1"/>
  <c r="I20" i="3"/>
  <c r="O20" i="3"/>
  <c r="P20" i="3" s="1"/>
  <c r="V59" i="3"/>
  <c r="O59" i="3"/>
  <c r="P59" i="3" s="1"/>
  <c r="I133" i="3"/>
  <c r="O133" i="3"/>
  <c r="P133" i="3" s="1"/>
  <c r="I94" i="3"/>
  <c r="O94" i="3"/>
  <c r="P94" i="3" s="1"/>
  <c r="I95" i="3"/>
  <c r="O95" i="3"/>
  <c r="P95" i="3" s="1"/>
  <c r="V7" i="3"/>
  <c r="O7" i="3"/>
  <c r="P7" i="3" s="1"/>
  <c r="I6" i="3"/>
  <c r="O6" i="3"/>
  <c r="P6" i="3" s="1"/>
  <c r="V79" i="3"/>
  <c r="O79" i="3"/>
  <c r="P79" i="3" s="1"/>
  <c r="I173" i="3"/>
  <c r="O173" i="3"/>
  <c r="P173" i="3" s="1"/>
  <c r="V80" i="3"/>
  <c r="O80" i="3"/>
  <c r="P80" i="3" s="1"/>
  <c r="W84" i="3"/>
  <c r="W89" i="3"/>
  <c r="V9" i="3"/>
  <c r="O9" i="3"/>
  <c r="P9" i="3" s="1"/>
  <c r="V73" i="3"/>
  <c r="O73" i="3"/>
  <c r="P73" i="3" s="1"/>
  <c r="I166" i="3"/>
  <c r="O166" i="3"/>
  <c r="P166" i="3" s="1"/>
  <c r="I167" i="3"/>
  <c r="O167" i="3"/>
  <c r="P167" i="3" s="1"/>
  <c r="V98" i="3"/>
  <c r="O98" i="3"/>
  <c r="P98" i="3" s="1"/>
  <c r="V11" i="3"/>
  <c r="O11" i="3"/>
  <c r="P11" i="3" s="1"/>
  <c r="V77" i="3"/>
  <c r="O77" i="3"/>
  <c r="P77" i="3" s="1"/>
  <c r="V141" i="3"/>
  <c r="O141" i="3"/>
  <c r="P141" i="3" s="1"/>
  <c r="V102" i="3"/>
  <c r="O102" i="3"/>
  <c r="P102" i="3" s="1"/>
  <c r="V119" i="3"/>
  <c r="O119" i="3"/>
  <c r="P119" i="3" s="1"/>
  <c r="W94" i="3"/>
  <c r="V145" i="3"/>
  <c r="O145" i="3"/>
  <c r="P145" i="3" s="1"/>
  <c r="W24" i="3"/>
  <c r="O24" i="3"/>
  <c r="P24" i="3" s="1"/>
  <c r="V100" i="3"/>
  <c r="O100" i="3"/>
  <c r="P100" i="3" s="1"/>
  <c r="V47" i="3"/>
  <c r="O47" i="3"/>
  <c r="P47" i="3" s="1"/>
  <c r="V149" i="3"/>
  <c r="O149" i="3"/>
  <c r="P149" i="3" s="1"/>
  <c r="I118" i="3"/>
  <c r="O118" i="3"/>
  <c r="P118" i="3" s="1"/>
  <c r="V50" i="3"/>
  <c r="O50" i="3"/>
  <c r="P50" i="3" s="1"/>
  <c r="V54" i="3"/>
  <c r="O54" i="3"/>
  <c r="P54" i="3" s="1"/>
  <c r="I25" i="3"/>
  <c r="O25" i="3"/>
  <c r="P25" i="3" s="1"/>
  <c r="V170" i="3"/>
  <c r="O170" i="3"/>
  <c r="P170" i="3" s="1"/>
  <c r="V72" i="3"/>
  <c r="O72" i="3"/>
  <c r="P72" i="3" s="1"/>
  <c r="V122" i="3"/>
  <c r="O122" i="3"/>
  <c r="P122" i="3" s="1"/>
  <c r="V124" i="3"/>
  <c r="O124" i="3"/>
  <c r="P124" i="3" s="1"/>
  <c r="W13" i="3"/>
  <c r="V97" i="3"/>
  <c r="O97" i="3"/>
  <c r="P97" i="3" s="1"/>
  <c r="W116" i="3"/>
  <c r="O116" i="3"/>
  <c r="P116" i="3" s="1"/>
  <c r="V120" i="3"/>
  <c r="O120" i="3"/>
  <c r="P120" i="3" s="1"/>
  <c r="V146" i="3"/>
  <c r="O146" i="3"/>
  <c r="P146" i="3" s="1"/>
  <c r="V148" i="3"/>
  <c r="O148" i="3"/>
  <c r="P148" i="3" s="1"/>
  <c r="V68" i="3"/>
  <c r="O68" i="3"/>
  <c r="P68" i="3" s="1"/>
  <c r="V101" i="3"/>
  <c r="O101" i="3"/>
  <c r="P101" i="3" s="1"/>
  <c r="V147" i="3"/>
  <c r="O147" i="3"/>
  <c r="P147" i="3" s="1"/>
  <c r="I172" i="3"/>
  <c r="O172" i="3"/>
  <c r="P172" i="3" s="1"/>
  <c r="I92" i="3"/>
  <c r="O92" i="3"/>
  <c r="P92" i="3" s="1"/>
  <c r="V70" i="3"/>
  <c r="O70" i="3"/>
  <c r="P70" i="3" s="1"/>
  <c r="I23" i="3"/>
  <c r="O23" i="3"/>
  <c r="P23" i="3" s="1"/>
  <c r="I169" i="3"/>
  <c r="O169" i="3"/>
  <c r="P169" i="3" s="1"/>
  <c r="V140" i="3"/>
  <c r="O140" i="3"/>
  <c r="P140" i="3" s="1"/>
  <c r="W86" i="3"/>
  <c r="V49" i="3"/>
  <c r="O49" i="3"/>
  <c r="P49" i="3" s="1"/>
  <c r="V10" i="3"/>
  <c r="O10" i="3"/>
  <c r="P10" i="3" s="1"/>
  <c r="I171" i="3"/>
  <c r="O171" i="3"/>
  <c r="P171" i="3" s="1"/>
  <c r="V126" i="3"/>
  <c r="O126" i="3"/>
  <c r="P126" i="3" s="1"/>
  <c r="V48" i="3"/>
  <c r="O48" i="3"/>
  <c r="P48" i="3" s="1"/>
  <c r="I115" i="3"/>
  <c r="O115" i="3"/>
  <c r="P115" i="3" s="1"/>
  <c r="V53" i="3"/>
  <c r="O53" i="3"/>
  <c r="P53" i="3" s="1"/>
  <c r="I117" i="3"/>
  <c r="O117" i="3"/>
  <c r="P117" i="3" s="1"/>
  <c r="V78" i="3"/>
  <c r="O78" i="3"/>
  <c r="P78" i="3" s="1"/>
  <c r="V71" i="3"/>
  <c r="O71" i="3"/>
  <c r="P71" i="3" s="1"/>
  <c r="V121" i="3"/>
  <c r="O121" i="3"/>
  <c r="P121" i="3" s="1"/>
  <c r="V150" i="3"/>
  <c r="O150" i="3"/>
  <c r="P150" i="3" s="1"/>
  <c r="V123" i="3"/>
  <c r="O123" i="3"/>
  <c r="P123" i="3" s="1"/>
  <c r="V125" i="3"/>
  <c r="O125" i="3"/>
  <c r="P125" i="3" s="1"/>
  <c r="V144" i="3"/>
  <c r="O144" i="3"/>
  <c r="P144" i="3" s="1"/>
  <c r="V96" i="3"/>
  <c r="O96" i="3"/>
  <c r="P96" i="3" s="1"/>
  <c r="V142" i="3"/>
  <c r="O142" i="3"/>
  <c r="P142" i="3" s="1"/>
  <c r="V143" i="3"/>
  <c r="O143" i="3"/>
  <c r="P143" i="3" s="1"/>
  <c r="V26" i="3"/>
  <c r="O26" i="3"/>
  <c r="P26" i="3" s="1"/>
  <c r="V52" i="3"/>
  <c r="O52" i="3"/>
  <c r="P52" i="3" s="1"/>
  <c r="V67" i="3"/>
  <c r="O67" i="3"/>
  <c r="P67" i="3" s="1"/>
  <c r="V139" i="3"/>
  <c r="O139" i="3"/>
  <c r="P139" i="3" s="1"/>
  <c r="V69" i="3"/>
  <c r="O69" i="3"/>
  <c r="P69" i="3" s="1"/>
  <c r="I30" i="3"/>
  <c r="O30" i="3"/>
  <c r="P30" i="3" s="1"/>
  <c r="I168" i="3"/>
  <c r="O168" i="3"/>
  <c r="P168" i="3" s="1"/>
  <c r="W87" i="3"/>
  <c r="W127" i="3"/>
  <c r="W63" i="3"/>
  <c r="W132" i="3"/>
  <c r="I29" i="3"/>
  <c r="O29" i="3"/>
  <c r="P29" i="3" s="1"/>
  <c r="W163" i="3"/>
  <c r="W172" i="3"/>
  <c r="W42" i="3"/>
  <c r="V27" i="3"/>
  <c r="O27" i="3"/>
  <c r="P27" i="3" s="1"/>
  <c r="V99" i="3"/>
  <c r="O99" i="3"/>
  <c r="P99" i="3" s="1"/>
  <c r="I28" i="3"/>
  <c r="O28" i="3"/>
  <c r="P28" i="3" s="1"/>
  <c r="V74" i="3"/>
  <c r="O74" i="3"/>
  <c r="P74" i="3" s="1"/>
  <c r="V51" i="3"/>
  <c r="O51" i="3"/>
  <c r="P51" i="3" s="1"/>
  <c r="W102" i="3"/>
  <c r="W119" i="3"/>
  <c r="V76" i="3"/>
  <c r="O76" i="3"/>
  <c r="P76" i="3" s="1"/>
  <c r="V75" i="3"/>
  <c r="O75" i="3"/>
  <c r="P75" i="3" s="1"/>
  <c r="W151" i="3"/>
  <c r="W41" i="3"/>
  <c r="W134" i="3"/>
  <c r="W124" i="3"/>
  <c r="I154" i="3"/>
  <c r="I151" i="3"/>
  <c r="W54" i="3"/>
  <c r="W165" i="3"/>
  <c r="W112" i="3"/>
  <c r="W166" i="3"/>
  <c r="W159" i="3"/>
  <c r="W158" i="3"/>
  <c r="I11" i="3"/>
  <c r="W70" i="3"/>
  <c r="W18" i="3"/>
  <c r="I140" i="3"/>
  <c r="I107" i="3"/>
  <c r="I68" i="3"/>
  <c r="I149" i="3"/>
  <c r="I70" i="3"/>
  <c r="W114" i="3"/>
  <c r="W50" i="3"/>
  <c r="I105" i="3"/>
  <c r="I77" i="3"/>
  <c r="I78" i="3"/>
  <c r="I119" i="3"/>
  <c r="I104" i="3"/>
  <c r="W91" i="3"/>
  <c r="W150" i="3"/>
  <c r="I9" i="3"/>
  <c r="I60" i="3"/>
  <c r="I98" i="3"/>
  <c r="I75" i="3"/>
  <c r="I144" i="3"/>
  <c r="I73" i="3"/>
  <c r="I76" i="3"/>
  <c r="I56" i="3"/>
  <c r="I147" i="3"/>
  <c r="I53" i="3"/>
  <c r="I141" i="3"/>
  <c r="I14" i="3"/>
  <c r="I102" i="3"/>
  <c r="I39" i="3"/>
  <c r="W56" i="3"/>
  <c r="W153" i="3"/>
  <c r="W95" i="3"/>
  <c r="W110" i="3"/>
  <c r="I96" i="3"/>
  <c r="I152" i="3"/>
  <c r="I33" i="3"/>
  <c r="I97" i="3"/>
  <c r="I131" i="3"/>
  <c r="I116" i="3"/>
  <c r="I142" i="3"/>
  <c r="I55" i="3"/>
  <c r="I143" i="3"/>
  <c r="I120" i="3"/>
  <c r="I26" i="3"/>
  <c r="I58" i="3"/>
  <c r="I146" i="3"/>
  <c r="I52" i="3"/>
  <c r="I148" i="3"/>
  <c r="I128" i="3"/>
  <c r="I35" i="3"/>
  <c r="I67" i="3"/>
  <c r="I99" i="3"/>
  <c r="I139" i="3"/>
  <c r="W104" i="3"/>
  <c r="I132" i="3"/>
  <c r="I125" i="3"/>
  <c r="I54" i="3"/>
  <c r="W58" i="3"/>
  <c r="W20" i="3"/>
  <c r="W168" i="3"/>
  <c r="W25" i="3"/>
  <c r="W106" i="3"/>
  <c r="W36" i="3"/>
  <c r="W60" i="3"/>
  <c r="I8" i="3"/>
  <c r="I80" i="3"/>
  <c r="I49" i="3"/>
  <c r="I81" i="3"/>
  <c r="I145" i="3"/>
  <c r="I84" i="3"/>
  <c r="I7" i="3"/>
  <c r="I103" i="3"/>
  <c r="I24" i="3"/>
  <c r="I10" i="3"/>
  <c r="I74" i="3"/>
  <c r="I106" i="3"/>
  <c r="I100" i="3"/>
  <c r="I126" i="3"/>
  <c r="I47" i="3"/>
  <c r="I48" i="3"/>
  <c r="I51" i="3"/>
  <c r="I83" i="3"/>
  <c r="V6" i="3"/>
  <c r="W55" i="3"/>
  <c r="W16" i="3"/>
  <c r="W108" i="3"/>
  <c r="I69" i="3"/>
  <c r="I101" i="3"/>
  <c r="W33" i="3"/>
  <c r="W53" i="3"/>
  <c r="I71" i="3"/>
  <c r="I57" i="3"/>
  <c r="I121" i="3"/>
  <c r="I130" i="3"/>
  <c r="I170" i="3"/>
  <c r="I108" i="3"/>
  <c r="I127" i="3"/>
  <c r="I72" i="3"/>
  <c r="I50" i="3"/>
  <c r="I82" i="3"/>
  <c r="I122" i="3"/>
  <c r="I124" i="3"/>
  <c r="I150" i="3"/>
  <c r="I79" i="3"/>
  <c r="I27" i="3"/>
  <c r="I59" i="3"/>
  <c r="I123" i="3"/>
  <c r="K70" i="3"/>
  <c r="K36" i="3"/>
  <c r="K39" i="3"/>
  <c r="K95" i="3"/>
  <c r="K159" i="3"/>
  <c r="K119" i="3"/>
  <c r="K102" i="3"/>
  <c r="K50" i="3"/>
  <c r="K53" i="3"/>
  <c r="K86" i="3"/>
  <c r="K84" i="3"/>
  <c r="K134" i="3"/>
  <c r="K158" i="3"/>
  <c r="K110" i="3"/>
  <c r="K132" i="3"/>
  <c r="K16" i="3"/>
  <c r="K42" i="3"/>
  <c r="K64" i="3"/>
  <c r="W64" i="3"/>
  <c r="K144" i="3"/>
  <c r="W144" i="3"/>
  <c r="K7" i="3"/>
  <c r="W7" i="3"/>
  <c r="K135" i="3"/>
  <c r="W135" i="3"/>
  <c r="K168" i="3"/>
  <c r="K41" i="3"/>
  <c r="K62" i="3"/>
  <c r="W62" i="3"/>
  <c r="K9" i="3"/>
  <c r="W9" i="3"/>
  <c r="K15" i="3"/>
  <c r="W15" i="3"/>
  <c r="K143" i="3"/>
  <c r="W143" i="3"/>
  <c r="K13" i="3"/>
  <c r="K142" i="3"/>
  <c r="W142" i="3"/>
  <c r="K76" i="3"/>
  <c r="W76" i="3"/>
  <c r="K35" i="3"/>
  <c r="K148" i="3"/>
  <c r="W148" i="3"/>
  <c r="K72" i="3"/>
  <c r="W72" i="3"/>
  <c r="K120" i="3"/>
  <c r="W120" i="3"/>
  <c r="K26" i="3"/>
  <c r="W26" i="3"/>
  <c r="K138" i="3"/>
  <c r="W138" i="3"/>
  <c r="K59" i="3"/>
  <c r="W59" i="3"/>
  <c r="K131" i="3"/>
  <c r="W131" i="3"/>
  <c r="K96" i="3"/>
  <c r="W96" i="3"/>
  <c r="K160" i="3"/>
  <c r="W160" i="3"/>
  <c r="K122" i="3"/>
  <c r="W122" i="3"/>
  <c r="K51" i="3"/>
  <c r="W51" i="3"/>
  <c r="K171" i="3"/>
  <c r="W171" i="3"/>
  <c r="K149" i="3"/>
  <c r="W149" i="3"/>
  <c r="K125" i="3"/>
  <c r="W125" i="3"/>
  <c r="K17" i="3"/>
  <c r="W17" i="3"/>
  <c r="K49" i="3"/>
  <c r="W49" i="3"/>
  <c r="K81" i="3"/>
  <c r="W81" i="3"/>
  <c r="K113" i="3"/>
  <c r="W113" i="3"/>
  <c r="K145" i="3"/>
  <c r="W145" i="3"/>
  <c r="K82" i="3"/>
  <c r="W82" i="3"/>
  <c r="K11" i="3"/>
  <c r="W11" i="3"/>
  <c r="K115" i="3"/>
  <c r="W115" i="3"/>
  <c r="K21" i="3"/>
  <c r="W21" i="3"/>
  <c r="K69" i="3"/>
  <c r="W69" i="3"/>
  <c r="K109" i="3"/>
  <c r="W109" i="3"/>
  <c r="K133" i="3"/>
  <c r="W133" i="3"/>
  <c r="K23" i="3"/>
  <c r="K63" i="3"/>
  <c r="K103" i="3"/>
  <c r="W103" i="3"/>
  <c r="K151" i="3"/>
  <c r="K24" i="3"/>
  <c r="K22" i="3"/>
  <c r="W22" i="3"/>
  <c r="K6" i="3"/>
  <c r="K89" i="3"/>
  <c r="K116" i="3"/>
  <c r="K58" i="3"/>
  <c r="K92" i="3"/>
  <c r="W92" i="3"/>
  <c r="K38" i="3"/>
  <c r="W38" i="3"/>
  <c r="K91" i="3"/>
  <c r="K165" i="3"/>
  <c r="K111" i="3"/>
  <c r="W111" i="3"/>
  <c r="K46" i="3"/>
  <c r="W46" i="3"/>
  <c r="K153" i="3"/>
  <c r="K126" i="3"/>
  <c r="W126" i="3"/>
  <c r="K106" i="3"/>
  <c r="K108" i="3"/>
  <c r="K78" i="3"/>
  <c r="W78" i="3"/>
  <c r="K163" i="3"/>
  <c r="K14" i="3"/>
  <c r="K140" i="3"/>
  <c r="W140" i="3"/>
  <c r="K114" i="3"/>
  <c r="K12" i="3"/>
  <c r="W12" i="3"/>
  <c r="K136" i="3"/>
  <c r="W136" i="3"/>
  <c r="K34" i="3"/>
  <c r="W34" i="3"/>
  <c r="K75" i="3"/>
  <c r="W75" i="3"/>
  <c r="K157" i="3"/>
  <c r="W157" i="3"/>
  <c r="K121" i="3"/>
  <c r="W121" i="3"/>
  <c r="K37" i="3"/>
  <c r="W37" i="3"/>
  <c r="K30" i="3"/>
  <c r="W30" i="3"/>
  <c r="K32" i="3"/>
  <c r="W32" i="3"/>
  <c r="K79" i="3"/>
  <c r="W79" i="3"/>
  <c r="K156" i="3"/>
  <c r="W156" i="3"/>
  <c r="K20" i="3"/>
  <c r="K68" i="3"/>
  <c r="W68" i="3"/>
  <c r="K54" i="3"/>
  <c r="K139" i="3"/>
  <c r="W139" i="3"/>
  <c r="K85" i="3"/>
  <c r="W85" i="3"/>
  <c r="K105" i="3"/>
  <c r="W105" i="3"/>
  <c r="K137" i="3"/>
  <c r="W137" i="3"/>
  <c r="K162" i="3"/>
  <c r="W162" i="3"/>
  <c r="K28" i="3"/>
  <c r="W28" i="3"/>
  <c r="K101" i="3"/>
  <c r="W101" i="3"/>
  <c r="K118" i="3"/>
  <c r="W118" i="3"/>
  <c r="K27" i="3"/>
  <c r="K80" i="3"/>
  <c r="W80" i="3"/>
  <c r="K154" i="3"/>
  <c r="W154" i="3"/>
  <c r="K83" i="3"/>
  <c r="W83" i="3"/>
  <c r="K43" i="3"/>
  <c r="W43" i="3"/>
  <c r="K147" i="3"/>
  <c r="W147" i="3"/>
  <c r="K77" i="3"/>
  <c r="W77" i="3"/>
  <c r="K117" i="3"/>
  <c r="W117" i="3"/>
  <c r="K71" i="3"/>
  <c r="W71" i="3"/>
  <c r="K56" i="3"/>
  <c r="K48" i="3"/>
  <c r="W48" i="3"/>
  <c r="K88" i="3"/>
  <c r="W88" i="3"/>
  <c r="K152" i="3"/>
  <c r="W152" i="3"/>
  <c r="K90" i="3"/>
  <c r="W90" i="3"/>
  <c r="K19" i="3"/>
  <c r="W19" i="3"/>
  <c r="K99" i="3"/>
  <c r="W99" i="3"/>
  <c r="K128" i="3"/>
  <c r="W128" i="3"/>
  <c r="K74" i="3"/>
  <c r="W74" i="3"/>
  <c r="K170" i="3"/>
  <c r="W170" i="3"/>
  <c r="K123" i="3"/>
  <c r="W123" i="3"/>
  <c r="K40" i="3"/>
  <c r="W40" i="3"/>
  <c r="K173" i="3"/>
  <c r="W173" i="3"/>
  <c r="K65" i="3"/>
  <c r="W65" i="3"/>
  <c r="K97" i="3"/>
  <c r="W97" i="3"/>
  <c r="K129" i="3"/>
  <c r="W129" i="3"/>
  <c r="K161" i="3"/>
  <c r="W161" i="3"/>
  <c r="K130" i="3"/>
  <c r="W130" i="3"/>
  <c r="K67" i="3"/>
  <c r="W67" i="3"/>
  <c r="K155" i="3"/>
  <c r="W155" i="3"/>
  <c r="K93" i="3"/>
  <c r="W93" i="3"/>
  <c r="K141" i="3"/>
  <c r="W141" i="3"/>
  <c r="K166" i="3"/>
  <c r="K47" i="3"/>
  <c r="W47" i="3"/>
  <c r="K87" i="3"/>
  <c r="K127" i="3"/>
  <c r="K167" i="3"/>
  <c r="W167" i="3"/>
  <c r="K104" i="3"/>
  <c r="K94" i="3"/>
  <c r="K25" i="3"/>
  <c r="K44" i="3"/>
  <c r="W44" i="3"/>
  <c r="K172" i="3"/>
  <c r="K18" i="3"/>
  <c r="K150" i="3"/>
  <c r="K100" i="3"/>
  <c r="W100" i="3"/>
  <c r="K107" i="3"/>
  <c r="W107" i="3"/>
  <c r="K98" i="3"/>
  <c r="W98" i="3"/>
  <c r="K45" i="3"/>
  <c r="W45" i="3"/>
  <c r="K73" i="3"/>
  <c r="W73" i="3"/>
  <c r="K169" i="3"/>
  <c r="W169" i="3"/>
  <c r="K61" i="3"/>
  <c r="W61" i="3"/>
  <c r="K10" i="3"/>
  <c r="W10" i="3"/>
  <c r="K66" i="3"/>
  <c r="W66" i="3"/>
  <c r="K146" i="3"/>
  <c r="W146" i="3"/>
  <c r="K57" i="3"/>
  <c r="W57" i="3"/>
  <c r="K31" i="3"/>
  <c r="W31" i="3"/>
  <c r="K29" i="3"/>
  <c r="W29" i="3"/>
  <c r="K55" i="3"/>
  <c r="K8" i="3"/>
  <c r="W8" i="3"/>
  <c r="K112" i="3"/>
  <c r="K33" i="3"/>
  <c r="K52" i="3"/>
  <c r="W52" i="3"/>
  <c r="K60" i="3"/>
  <c r="K164" i="3"/>
  <c r="W164" i="3"/>
  <c r="K124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6" i="3"/>
  <c r="W6" i="3" l="1"/>
</calcChain>
</file>

<file path=xl/sharedStrings.xml><?xml version="1.0" encoding="utf-8"?>
<sst xmlns="http://schemas.openxmlformats.org/spreadsheetml/2006/main" count="3088" uniqueCount="301">
  <si>
    <t>h001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</si>
  <si>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</si>
  <si>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</si>
  <si>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</si>
  <si>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</si>
  <si>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</si>
  <si>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</si>
  <si>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</si>
  <si>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</si>
  <si>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</si>
  <si>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</si>
  <si>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</si>
  <si>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</si>
  <si>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</si>
  <si>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</si>
  <si>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</si>
  <si>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</si>
  <si>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</si>
  <si>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</si>
  <si>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</si>
  <si>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</si>
  <si>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</si>
  <si>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</si>
  <si>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</si>
  <si>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</si>
  <si>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</si>
  <si>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</si>
  <si>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</si>
  <si>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</si>
  <si>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</si>
  <si>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</si>
  <si>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h032</t>
  </si>
  <si>
    <t>h033</t>
  </si>
  <si>
    <t>h034</t>
  </si>
  <si>
    <t>h035</t>
  </si>
  <si>
    <t>h036</t>
  </si>
  <si>
    <t>h037</t>
  </si>
  <si>
    <t>h038</t>
  </si>
  <si>
    <t>h039</t>
  </si>
  <si>
    <t>h040</t>
  </si>
  <si>
    <t>h041</t>
  </si>
  <si>
    <t>h042</t>
  </si>
  <si>
    <t>h043</t>
  </si>
  <si>
    <t>h044</t>
  </si>
  <si>
    <t>h045</t>
  </si>
  <si>
    <t>h046</t>
  </si>
  <si>
    <t>h047</t>
  </si>
  <si>
    <t>h048</t>
  </si>
  <si>
    <t>h049</t>
  </si>
  <si>
    <t>h050</t>
  </si>
  <si>
    <t>h051</t>
  </si>
  <si>
    <t>h052</t>
  </si>
  <si>
    <t>h053</t>
  </si>
  <si>
    <t>h054</t>
  </si>
  <si>
    <t>h055</t>
  </si>
  <si>
    <t>h056</t>
  </si>
  <si>
    <t>h057</t>
  </si>
  <si>
    <t>h058</t>
  </si>
  <si>
    <t>h059</t>
  </si>
  <si>
    <t>h060</t>
  </si>
  <si>
    <t>h061</t>
  </si>
  <si>
    <t>h062</t>
  </si>
  <si>
    <t>h063</t>
  </si>
  <si>
    <t>h064</t>
  </si>
  <si>
    <t>h065</t>
  </si>
  <si>
    <t>h066</t>
  </si>
  <si>
    <t>h067</t>
  </si>
  <si>
    <t>h068</t>
  </si>
  <si>
    <t>h069</t>
  </si>
  <si>
    <t>h070</t>
  </si>
  <si>
    <t>h071</t>
  </si>
  <si>
    <t>h072</t>
  </si>
  <si>
    <t>h073</t>
  </si>
  <si>
    <t>h074</t>
  </si>
  <si>
    <t>h075</t>
  </si>
  <si>
    <t>h076</t>
  </si>
  <si>
    <t>h077</t>
  </si>
  <si>
    <t>h078</t>
  </si>
  <si>
    <t>h079</t>
  </si>
  <si>
    <t>h080</t>
  </si>
  <si>
    <t>h081</t>
  </si>
  <si>
    <t>h082</t>
  </si>
  <si>
    <t>h083</t>
  </si>
  <si>
    <t>h084</t>
  </si>
  <si>
    <t>h085</t>
  </si>
  <si>
    <t>h086</t>
  </si>
  <si>
    <t>h087</t>
  </si>
  <si>
    <t>h088</t>
  </si>
  <si>
    <t>h089</t>
  </si>
  <si>
    <t>h090</t>
  </si>
  <si>
    <t>h091</t>
  </si>
  <si>
    <t>h092</t>
  </si>
  <si>
    <t>h093</t>
  </si>
  <si>
    <t>h094</t>
  </si>
  <si>
    <t>h095</t>
  </si>
  <si>
    <t>h096</t>
  </si>
  <si>
    <t>h097</t>
  </si>
  <si>
    <t>h098</t>
  </si>
  <si>
    <t>h099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</si>
  <si>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</si>
  <si>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</si>
  <si>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</si>
  <si>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</si>
  <si>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</si>
  <si>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</si>
  <si>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</si>
  <si>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</si>
  <si>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</si>
  <si>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</si>
  <si>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</si>
  <si>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</si>
  <si>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</si>
  <si>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</si>
  <si>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</si>
  <si>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</si>
  <si>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</si>
  <si>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</si>
  <si>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</si>
  <si>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</si>
  <si>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</si>
  <si>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</si>
  <si>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</si>
  <si>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</si>
  <si>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</si>
  <si>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</si>
  <si>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</si>
  <si>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</si>
  <si>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</si>
  <si>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</si>
  <si>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</si>
  <si>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</si>
  <si>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</si>
  <si>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</si>
  <si>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</si>
  <si>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</si>
  <si>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</si>
  <si>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</si>
  <si>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</si>
  <si>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</si>
  <si>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</si>
  <si>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</si>
  <si>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</si>
  <si>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</si>
  <si>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</si>
  <si>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</si>
  <si>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</si>
  <si>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</si>
  <si>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</si>
  <si>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</si>
  <si>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</si>
  <si>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</si>
  <si>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</si>
  <si>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</si>
  <si>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</si>
  <si>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</si>
  <si>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</si>
  <si>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</si>
  <si>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</si>
  <si>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</si>
  <si>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</si>
  <si>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</si>
  <si>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</si>
  <si>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</si>
  <si>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</si>
  <si>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</si>
  <si>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</si>
  <si>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</si>
  <si>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h168</t>
  </si>
  <si>
    <t>d_loadA</t>
  </si>
  <si>
    <t>d_loadB</t>
  </si>
  <si>
    <t>xi</t>
  </si>
  <si>
    <t>BESS_Charge</t>
  </si>
  <si>
    <t>Diesel_output</t>
  </si>
  <si>
    <t>BESS_Discharge</t>
  </si>
  <si>
    <t>Grid_import</t>
  </si>
  <si>
    <t>Grid_Export</t>
  </si>
  <si>
    <t>SOC</t>
  </si>
  <si>
    <t>E_PV</t>
  </si>
  <si>
    <t>PV_output</t>
  </si>
  <si>
    <t>Social Welfare</t>
  </si>
  <si>
    <t>Total Load</t>
  </si>
  <si>
    <t>Total Electricity</t>
  </si>
  <si>
    <t>hours</t>
  </si>
  <si>
    <t>Bat_charge</t>
  </si>
  <si>
    <t>Bat_discharge</t>
  </si>
  <si>
    <t>Grid_imp</t>
  </si>
  <si>
    <t>Overall loads and Generation</t>
  </si>
  <si>
    <t>Week</t>
  </si>
  <si>
    <t>48h</t>
  </si>
  <si>
    <t>National Grid Node Balance</t>
  </si>
  <si>
    <t>Battery Model</t>
  </si>
  <si>
    <t>Energy Balance Mini-grid</t>
  </si>
  <si>
    <t>SOC%</t>
  </si>
  <si>
    <t>Load A</t>
  </si>
  <si>
    <t>Load B</t>
  </si>
  <si>
    <t>Load A+B</t>
  </si>
  <si>
    <t>PV_Excess</t>
  </si>
  <si>
    <t>Shortage</t>
  </si>
  <si>
    <t>p_grid_export</t>
  </si>
  <si>
    <t>c_grid_import</t>
  </si>
  <si>
    <t>P_Export</t>
  </si>
  <si>
    <t>* efficiency of  BESS when charging  [p.u]</t>
  </si>
  <si>
    <t>eta_char_bess</t>
  </si>
  <si>
    <t>* efficiency of BESS  when discharging  [p.u]</t>
  </si>
  <si>
    <t xml:space="preserve"> eta_disc_bess</t>
  </si>
  <si>
    <t>PV_Excess_MG</t>
  </si>
  <si>
    <t>Bat_dis_MG</t>
  </si>
  <si>
    <t>e_NSE_B</t>
  </si>
  <si>
    <t>e_NSE_A</t>
  </si>
  <si>
    <t>P_load_A</t>
  </si>
  <si>
    <t>P_Load_B</t>
  </si>
  <si>
    <t>c_diesel</t>
  </si>
  <si>
    <t>c_bess_discharge</t>
  </si>
  <si>
    <t>C_PV</t>
  </si>
  <si>
    <t>*Generator consumes at full load [L/hr]</t>
  </si>
  <si>
    <t>alpha</t>
  </si>
  <si>
    <t>*Generator consumes at 50% load [L/hr]</t>
  </si>
  <si>
    <t>beta</t>
  </si>
  <si>
    <t xml:space="preserve">  </t>
  </si>
  <si>
    <t>**Diesel Generator Parameters</t>
  </si>
  <si>
    <t>Output Power [kW]</t>
  </si>
  <si>
    <t>Fuel Consumption [L/hr]</t>
  </si>
  <si>
    <t>Source:</t>
  </si>
  <si>
    <t>Blog :: Diesel Generator Fuel Consumption Chart in Litres (ablesales.com.au)</t>
  </si>
  <si>
    <t>=</t>
  </si>
  <si>
    <t>;</t>
  </si>
  <si>
    <t>*Size of the Generator [kW]</t>
  </si>
  <si>
    <t>E_diesel</t>
  </si>
  <si>
    <t>Copied from parameters sheet</t>
  </si>
  <si>
    <t xml:space="preserve"> </t>
  </si>
  <si>
    <t>* Generator at 50% Load [kW]</t>
  </si>
  <si>
    <t>Calculated</t>
  </si>
  <si>
    <t>*slope [L/hr/kW]</t>
  </si>
  <si>
    <t>m</t>
  </si>
  <si>
    <t>*Intercept [L/hr]</t>
  </si>
  <si>
    <t>intercept1</t>
  </si>
  <si>
    <t>*Intercept coefficient of linear fuel curve [L/hr/kw]</t>
  </si>
  <si>
    <t>b</t>
  </si>
  <si>
    <t>efficiency</t>
  </si>
  <si>
    <t>density of diesel kg/m3</t>
  </si>
  <si>
    <t>C_grid_imp</t>
  </si>
  <si>
    <t>C_bess_discharge</t>
  </si>
  <si>
    <t>C_diesel_out</t>
  </si>
  <si>
    <t>P_load_B</t>
  </si>
  <si>
    <t>C_disch_loss</t>
  </si>
  <si>
    <t>charge_loss</t>
  </si>
  <si>
    <t>served_load_A</t>
  </si>
  <si>
    <t>served_load_B</t>
  </si>
  <si>
    <t>C_charge</t>
  </si>
  <si>
    <t>Total Welfare</t>
  </si>
  <si>
    <t>Solar Charging</t>
  </si>
  <si>
    <t>Diesel Charging</t>
  </si>
  <si>
    <t>Grid Charging</t>
  </si>
  <si>
    <t>P_Load_B_served</t>
  </si>
  <si>
    <t>P_Load_A_served</t>
  </si>
  <si>
    <t>P_grid_exp</t>
  </si>
  <si>
    <t>Grid Exp</t>
  </si>
  <si>
    <t>Demand</t>
  </si>
  <si>
    <t>Supply</t>
  </si>
  <si>
    <t>PV</t>
  </si>
  <si>
    <t>Genset</t>
  </si>
  <si>
    <t>Grid Imp</t>
  </si>
  <si>
    <t>Bat. Discharge</t>
  </si>
  <si>
    <t>Energy</t>
  </si>
  <si>
    <t>Price</t>
  </si>
  <si>
    <t>Cost</t>
  </si>
  <si>
    <t>Bat. Charge</t>
  </si>
  <si>
    <t>w(t) diesel on</t>
  </si>
  <si>
    <t>r(t) starts diesel</t>
  </si>
  <si>
    <t>STC_Diesel</t>
  </si>
  <si>
    <t>Delta</t>
  </si>
  <si>
    <t>Generation</t>
  </si>
  <si>
    <t>eta_diss_charge</t>
  </si>
  <si>
    <t>Eta_charge</t>
  </si>
  <si>
    <t>eff. Bat. Charge</t>
  </si>
  <si>
    <t>eta_charge</t>
  </si>
  <si>
    <t>Total</t>
  </si>
  <si>
    <t>Time step</t>
  </si>
  <si>
    <t>Welfare</t>
  </si>
  <si>
    <t>Revenues</t>
  </si>
  <si>
    <t>OPEX</t>
  </si>
  <si>
    <t>Profit</t>
  </si>
  <si>
    <t>Net Revenues</t>
  </si>
  <si>
    <t>Net Benefit</t>
  </si>
  <si>
    <t>Total losses</t>
  </si>
  <si>
    <t>Total shortage</t>
  </si>
  <si>
    <t>$</t>
  </si>
  <si>
    <t>kWh</t>
  </si>
  <si>
    <t>Until timestep</t>
  </si>
  <si>
    <t>Mer</t>
  </si>
  <si>
    <t>MG Generation</t>
  </si>
  <si>
    <t>Total Supply</t>
  </si>
  <si>
    <t>Grid Import</t>
  </si>
  <si>
    <r>
      <t xml:space="preserve">Total served Demand 
</t>
    </r>
    <r>
      <rPr>
        <b/>
        <sz val="9"/>
        <color theme="1"/>
        <rFont val="Calibri"/>
        <family val="2"/>
        <scheme val="minor"/>
      </rPr>
      <t>(incl. Grid export)</t>
    </r>
  </si>
  <si>
    <t>Eta_rect</t>
  </si>
  <si>
    <t>168h</t>
  </si>
  <si>
    <t>PV_output_other</t>
  </si>
  <si>
    <t>PV_output_load_A</t>
  </si>
  <si>
    <t>Diesel_output_Other</t>
  </si>
  <si>
    <t>Diesel_output_Load A</t>
  </si>
  <si>
    <t>Grid Availibilty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</si>
</sst>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0.0"/>
    <numFmt numFmtId="166" formatCode="0.000000"/>
    <numFmt numFmtId="167" formatCode="0.0000"/>
    <numFmt numFmtId="168" formatCode="0.00000000000000"/>
    <numFmt numFmtId="169" formatCode="0.00000000"/>
    <numFmt numFmtId="170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80808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C4BD9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0" xfId="0" quotePrefix="1"/>
    <xf numFmtId="0" fontId="2" fillId="0" borderId="0" xfId="0" applyFont="1"/>
    <xf numFmtId="0" fontId="2" fillId="2" borderId="0" xfId="0" applyFont="1" applyFill="1"/>
    <xf numFmtId="0" fontId="1" fillId="3" borderId="0" xfId="0" quotePrefix="1" applyFont="1" applyFill="1"/>
    <xf numFmtId="0" fontId="1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0" fontId="3" fillId="5" borderId="0" xfId="0" applyFont="1" applyFill="1"/>
    <xf numFmtId="0" fontId="1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9" fontId="0" fillId="0" borderId="0" xfId="1" applyFont="1"/>
    <xf numFmtId="0" fontId="1" fillId="2" borderId="0" xfId="0" applyFont="1" applyFill="1" applyAlignment="1">
      <alignment textRotation="45"/>
    </xf>
    <xf numFmtId="0" fontId="2" fillId="2" borderId="0" xfId="0" applyFont="1" applyFill="1" applyAlignment="1">
      <alignment textRotation="45"/>
    </xf>
    <xf numFmtId="0" fontId="2" fillId="5" borderId="0" xfId="0" applyFont="1" applyFill="1" applyAlignment="1">
      <alignment horizontal="center" textRotation="45"/>
    </xf>
    <xf numFmtId="0" fontId="2" fillId="5" borderId="0" xfId="0" applyFont="1" applyFill="1" applyAlignment="1">
      <alignment horizontal="center" textRotation="45" wrapText="1"/>
    </xf>
    <xf numFmtId="0" fontId="0" fillId="4" borderId="0" xfId="0" applyFill="1"/>
    <xf numFmtId="164" fontId="2" fillId="5" borderId="0" xfId="0" applyNumberFormat="1" applyFont="1" applyFill="1" applyAlignment="1">
      <alignment horizontal="center" textRotation="45"/>
    </xf>
    <xf numFmtId="164" fontId="0" fillId="0" borderId="0" xfId="0" applyNumberFormat="1"/>
    <xf numFmtId="1" fontId="0" fillId="0" borderId="0" xfId="0" applyNumberFormat="1" applyAlignment="1">
      <alignment horizontal="center"/>
    </xf>
    <xf numFmtId="0" fontId="1" fillId="4" borderId="0" xfId="0" applyFont="1" applyFill="1"/>
    <xf numFmtId="164" fontId="0" fillId="4" borderId="0" xfId="0" applyNumberFormat="1" applyFill="1"/>
    <xf numFmtId="0" fontId="7" fillId="6" borderId="5" xfId="2" applyFont="1" applyFill="1" applyBorder="1" applyAlignment="1">
      <alignment horizontal="center"/>
    </xf>
    <xf numFmtId="0" fontId="7" fillId="6" borderId="6" xfId="2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textRotation="45"/>
    </xf>
    <xf numFmtId="0" fontId="2" fillId="5" borderId="8" xfId="0" applyFont="1" applyFill="1" applyBorder="1" applyAlignment="1">
      <alignment horizontal="center" textRotation="45"/>
    </xf>
    <xf numFmtId="0" fontId="2" fillId="5" borderId="8" xfId="0" applyFont="1" applyFill="1" applyBorder="1" applyAlignment="1">
      <alignment horizontal="center" textRotation="45" wrapText="1"/>
    </xf>
    <xf numFmtId="0" fontId="2" fillId="5" borderId="9" xfId="0" applyFont="1" applyFill="1" applyBorder="1" applyAlignment="1">
      <alignment horizontal="center" textRotation="45" wrapText="1"/>
    </xf>
    <xf numFmtId="0" fontId="1" fillId="0" borderId="1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5" fillId="6" borderId="3" xfId="2" applyFill="1" applyBorder="1" applyAlignment="1"/>
    <xf numFmtId="0" fontId="5" fillId="6" borderId="4" xfId="2" applyFill="1" applyBorder="1" applyAlignment="1"/>
    <xf numFmtId="2" fontId="0" fillId="4" borderId="0" xfId="0" applyNumberFormat="1" applyFill="1"/>
    <xf numFmtId="0" fontId="3" fillId="0" borderId="7" xfId="0" applyFont="1" applyBorder="1"/>
    <xf numFmtId="0" fontId="0" fillId="2" borderId="9" xfId="0" applyFill="1" applyBorder="1"/>
    <xf numFmtId="0" fontId="3" fillId="0" borderId="10" xfId="0" applyFont="1" applyBorder="1"/>
    <xf numFmtId="0" fontId="0" fillId="2" borderId="11" xfId="0" applyFill="1" applyBorder="1"/>
    <xf numFmtId="0" fontId="3" fillId="0" borderId="12" xfId="0" applyFont="1" applyBorder="1"/>
    <xf numFmtId="0" fontId="9" fillId="7" borderId="7" xfId="0" applyFont="1" applyFill="1" applyBorder="1"/>
    <xf numFmtId="0" fontId="10" fillId="8" borderId="9" xfId="0" applyFont="1" applyFill="1" applyBorder="1" applyAlignment="1">
      <alignment horizontal="center"/>
    </xf>
    <xf numFmtId="0" fontId="9" fillId="7" borderId="15" xfId="0" applyFont="1" applyFill="1" applyBorder="1"/>
    <xf numFmtId="0" fontId="10" fillId="9" borderId="10" xfId="0" applyFont="1" applyFill="1" applyBorder="1"/>
    <xf numFmtId="0" fontId="10" fillId="9" borderId="11" xfId="0" applyFont="1" applyFill="1" applyBorder="1" applyAlignment="1">
      <alignment horizontal="center"/>
    </xf>
    <xf numFmtId="0" fontId="11" fillId="10" borderId="10" xfId="0" applyFont="1" applyFill="1" applyBorder="1"/>
    <xf numFmtId="0" fontId="11" fillId="10" borderId="16" xfId="0" applyFont="1" applyFill="1" applyBorder="1"/>
    <xf numFmtId="0" fontId="5" fillId="0" borderId="0" xfId="2"/>
    <xf numFmtId="0" fontId="12" fillId="9" borderId="10" xfId="0" applyFont="1" applyFill="1" applyBorder="1"/>
    <xf numFmtId="0" fontId="10" fillId="9" borderId="0" xfId="0" applyFont="1" applyFill="1"/>
    <xf numFmtId="0" fontId="10" fillId="11" borderId="0" xfId="0" applyFont="1" applyFill="1" applyAlignment="1">
      <alignment horizontal="center"/>
    </xf>
    <xf numFmtId="0" fontId="11" fillId="10" borderId="12" xfId="0" applyFont="1" applyFill="1" applyBorder="1"/>
    <xf numFmtId="0" fontId="11" fillId="10" borderId="17" xfId="0" applyFont="1" applyFill="1" applyBorder="1"/>
    <xf numFmtId="0" fontId="11" fillId="9" borderId="10" xfId="0" applyFont="1" applyFill="1" applyBorder="1"/>
    <xf numFmtId="0" fontId="11" fillId="9" borderId="11" xfId="0" applyFont="1" applyFill="1" applyBorder="1"/>
    <xf numFmtId="0" fontId="11" fillId="0" borderId="11" xfId="0" applyFont="1" applyBorder="1"/>
    <xf numFmtId="1" fontId="10" fillId="4" borderId="10" xfId="0" applyNumberFormat="1" applyFont="1" applyFill="1" applyBorder="1" applyProtection="1">
      <protection locked="0"/>
    </xf>
    <xf numFmtId="0" fontId="10" fillId="12" borderId="0" xfId="0" applyFont="1" applyFill="1" applyAlignment="1">
      <alignment horizontal="center"/>
    </xf>
    <xf numFmtId="0" fontId="13" fillId="0" borderId="0" xfId="0" applyFont="1"/>
    <xf numFmtId="0" fontId="10" fillId="12" borderId="0" xfId="0" applyFont="1" applyFill="1"/>
    <xf numFmtId="0" fontId="10" fillId="9" borderId="12" xfId="0" applyFont="1" applyFill="1" applyBorder="1"/>
    <xf numFmtId="0" fontId="10" fillId="9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13" borderId="18" xfId="0" applyFont="1" applyFill="1" applyBorder="1"/>
    <xf numFmtId="0" fontId="8" fillId="13" borderId="19" xfId="0" applyFont="1" applyFill="1" applyBorder="1"/>
    <xf numFmtId="0" fontId="14" fillId="13" borderId="20" xfId="0" applyFont="1" applyFill="1" applyBorder="1"/>
    <xf numFmtId="0" fontId="0" fillId="6" borderId="21" xfId="0" quotePrefix="1" applyFill="1" applyBorder="1"/>
    <xf numFmtId="0" fontId="0" fillId="0" borderId="0" xfId="0" quotePrefix="1" applyBorder="1"/>
    <xf numFmtId="0" fontId="0" fillId="0" borderId="22" xfId="0" quotePrefix="1" applyBorder="1"/>
    <xf numFmtId="0" fontId="0" fillId="6" borderId="23" xfId="0" quotePrefix="1" applyFill="1" applyBorder="1"/>
    <xf numFmtId="0" fontId="0" fillId="0" borderId="24" xfId="0" quotePrefix="1" applyBorder="1"/>
    <xf numFmtId="0" fontId="0" fillId="0" borderId="25" xfId="0" quotePrefix="1" applyBorder="1"/>
    <xf numFmtId="0" fontId="8" fillId="13" borderId="20" xfId="0" applyFont="1" applyFill="1" applyBorder="1"/>
    <xf numFmtId="0" fontId="17" fillId="13" borderId="0" xfId="0" applyFont="1" applyFill="1"/>
    <xf numFmtId="0" fontId="18" fillId="6" borderId="0" xfId="0" quotePrefix="1" applyFont="1" applyFill="1"/>
    <xf numFmtId="0" fontId="18" fillId="0" borderId="0" xfId="0" quotePrefix="1" applyFont="1"/>
    <xf numFmtId="0" fontId="18" fillId="0" borderId="0" xfId="0" applyFont="1"/>
    <xf numFmtId="0" fontId="15" fillId="13" borderId="19" xfId="0" applyFont="1" applyFill="1" applyBorder="1"/>
    <xf numFmtId="0" fontId="15" fillId="13" borderId="20" xfId="0" applyFont="1" applyFill="1" applyBorder="1"/>
    <xf numFmtId="0" fontId="14" fillId="14" borderId="7" xfId="0" applyFont="1" applyFill="1" applyBorder="1" applyAlignment="1">
      <alignment horizontal="center"/>
    </xf>
    <xf numFmtId="0" fontId="15" fillId="14" borderId="8" xfId="0" applyFont="1" applyFill="1" applyBorder="1" applyAlignment="1">
      <alignment horizontal="center"/>
    </xf>
    <xf numFmtId="0" fontId="16" fillId="14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6" borderId="15" xfId="0" applyFont="1" applyFill="1" applyBorder="1"/>
    <xf numFmtId="0" fontId="8" fillId="13" borderId="0" xfId="0" applyFont="1" applyFill="1" applyBorder="1"/>
    <xf numFmtId="0" fontId="0" fillId="6" borderId="0" xfId="0" quotePrefix="1" applyFill="1" applyBorder="1"/>
    <xf numFmtId="2" fontId="0" fillId="0" borderId="17" xfId="0" applyNumberFormat="1" applyBorder="1" applyAlignment="1">
      <alignment horizontal="left" indent="1"/>
    </xf>
    <xf numFmtId="0" fontId="1" fillId="6" borderId="0" xfId="0" applyFont="1" applyFill="1" applyBorder="1"/>
    <xf numFmtId="2" fontId="0" fillId="0" borderId="0" xfId="0" applyNumberFormat="1" applyBorder="1" applyAlignment="1">
      <alignment horizontal="left" indent="1"/>
    </xf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167" fontId="0" fillId="0" borderId="0" xfId="0" applyNumberFormat="1"/>
    <xf numFmtId="168" fontId="0" fillId="0" borderId="0" xfId="0" applyNumberFormat="1"/>
    <xf numFmtId="166" fontId="0" fillId="6" borderId="21" xfId="0" quotePrefix="1" applyNumberFormat="1" applyFill="1" applyBorder="1"/>
    <xf numFmtId="166" fontId="0" fillId="0" borderId="0" xfId="0" quotePrefix="1" applyNumberFormat="1" applyBorder="1"/>
    <xf numFmtId="166" fontId="0" fillId="0" borderId="22" xfId="0" quotePrefix="1" applyNumberFormat="1" applyBorder="1"/>
    <xf numFmtId="0" fontId="0" fillId="2" borderId="14" xfId="0" applyFill="1" applyBorder="1"/>
    <xf numFmtId="0" fontId="0" fillId="0" borderId="0" xfId="0" applyAlignment="1">
      <alignment horizontal="center"/>
    </xf>
    <xf numFmtId="0" fontId="0" fillId="6" borderId="21" xfId="0" quotePrefix="1" applyNumberFormat="1" applyFill="1" applyBorder="1"/>
    <xf numFmtId="0" fontId="0" fillId="6" borderId="22" xfId="0" quotePrefix="1" applyNumberFormat="1" applyFill="1" applyBorder="1"/>
    <xf numFmtId="0" fontId="0" fillId="6" borderId="23" xfId="0" quotePrefix="1" applyNumberFormat="1" applyFill="1" applyBorder="1"/>
    <xf numFmtId="0" fontId="0" fillId="6" borderId="25" xfId="0" quotePrefix="1" applyNumberFormat="1" applyFill="1" applyBorder="1"/>
    <xf numFmtId="0" fontId="1" fillId="6" borderId="9" xfId="0" applyFon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3" fillId="0" borderId="0" xfId="0" applyFont="1" applyFill="1" applyBorder="1"/>
    <xf numFmtId="164" fontId="0" fillId="0" borderId="0" xfId="1" applyNumberFormat="1" applyFont="1"/>
    <xf numFmtId="0" fontId="0" fillId="2" borderId="0" xfId="0" applyFill="1" applyBorder="1"/>
    <xf numFmtId="0" fontId="0" fillId="2" borderId="0" xfId="0" applyFill="1"/>
    <xf numFmtId="165" fontId="0" fillId="0" borderId="1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9" fontId="0" fillId="0" borderId="0" xfId="0" applyNumberFormat="1"/>
    <xf numFmtId="170" fontId="0" fillId="0" borderId="0" xfId="0" applyNumberFormat="1" applyAlignment="1">
      <alignment horizontal="center"/>
    </xf>
    <xf numFmtId="0" fontId="6" fillId="15" borderId="7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19" fillId="16" borderId="10" xfId="0" applyFont="1" applyFill="1" applyBorder="1" applyAlignment="1">
      <alignment horizontal="center" vertical="center" wrapText="1"/>
    </xf>
    <xf numFmtId="0" fontId="19" fillId="16" borderId="0" xfId="0" applyFont="1" applyFill="1" applyBorder="1" applyAlignment="1">
      <alignment horizontal="center" vertical="center" wrapText="1"/>
    </xf>
    <xf numFmtId="0" fontId="19" fillId="16" borderId="11" xfId="0" applyFont="1" applyFill="1" applyBorder="1" applyAlignment="1">
      <alignment horizontal="center" vertical="center" wrapText="1"/>
    </xf>
    <xf numFmtId="165" fontId="6" fillId="0" borderId="12" xfId="0" applyNumberFormat="1" applyFont="1" applyBorder="1" applyAlignment="1">
      <alignment horizontal="center"/>
    </xf>
    <xf numFmtId="165" fontId="6" fillId="0" borderId="13" xfId="0" applyNumberFormat="1" applyFont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15" borderId="26" xfId="0" applyFill="1" applyBorder="1"/>
    <xf numFmtId="0" fontId="0" fillId="2" borderId="28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0" fontId="19" fillId="16" borderId="29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16" borderId="26" xfId="0" applyFont="1" applyFill="1" applyBorder="1" applyAlignment="1">
      <alignment horizontal="center"/>
    </xf>
    <xf numFmtId="0" fontId="1" fillId="16" borderId="27" xfId="0" applyFont="1" applyFill="1" applyBorder="1" applyAlignment="1">
      <alignment horizontal="center"/>
    </xf>
    <xf numFmtId="0" fontId="1" fillId="16" borderId="28" xfId="0" applyFont="1" applyFill="1" applyBorder="1" applyAlignment="1">
      <alignment horizontal="center"/>
    </xf>
    <xf numFmtId="0" fontId="10" fillId="9" borderId="13" xfId="0" applyFont="1" applyFill="1" applyBorder="1"/>
    <xf numFmtId="0" fontId="10" fillId="9" borderId="0" xfId="0" applyFont="1" applyFill="1"/>
    <xf numFmtId="0" fontId="10" fillId="8" borderId="8" xfId="0" applyFont="1" applyFill="1" applyBorder="1"/>
    <xf numFmtId="0" fontId="11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B15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Benefit, Cost and Profit</a:t>
            </a:r>
          </a:p>
        </c:rich>
      </c:tx>
      <c:layout>
        <c:manualLayout>
          <c:xMode val="edge"/>
          <c:yMode val="edge"/>
          <c:x val="0.41932598039215685"/>
          <c:y val="2.1248337010894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Costs!#REF!</c:f>
            </c:numRef>
          </c:xVal>
          <c:yVal>
            <c:numRef>
              <c:f>Costs!#REF!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B-4F4A-A787-D8537CBC245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Costs!#REF!</c:f>
            </c:numRef>
          </c:xVal>
          <c:yVal>
            <c:numRef>
              <c:f>Costs!#REF!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5B-4F4A-A787-D8537CBC245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Costs!#REF!</c:f>
            </c:numRef>
          </c:xVal>
          <c:yVal>
            <c:numRef>
              <c:f>Costs!#REF!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5B-4F4A-A787-D8537CBC2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085087"/>
        <c:axId val="1365090079"/>
      </c:scatterChart>
      <c:valAx>
        <c:axId val="136508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90079"/>
        <c:crosses val="autoZero"/>
        <c:crossBetween val="midCat"/>
      </c:valAx>
      <c:valAx>
        <c:axId val="13650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8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>
                <a:solidFill>
                  <a:schemeClr val="tx1">
                    <a:lumMod val="50000"/>
                    <a:lumOff val="50000"/>
                  </a:schemeClr>
                </a:solidFill>
              </a:rPr>
              <a:t>Loads</a:t>
            </a:r>
            <a:r>
              <a:rPr lang="fr-FR" sz="1600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and  Generations</a:t>
            </a:r>
            <a:br>
              <a:rPr lang="fr-FR" sz="1600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</a:br>
            <a:r>
              <a:rPr lang="fr-FR" sz="1400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week</a:t>
            </a:r>
            <a:endParaRPr lang="fr-FR" sz="1600" b="1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157776"/>
        <c:axId val="251155856"/>
        <c:extLst>
          <c:ext xmlns:c15="http://schemas.microsoft.com/office/drawing/2012/chart" uri="{02D57815-91ED-43cb-92C2-25804820EDAC}">
            <c15:filteredBarSeries>
              <c15:ser>
                <c:idx val="7"/>
                <c:order val="2"/>
                <c:tx>
                  <c:strRef>
                    <c:extLst>
                      <c:ext uri="{02D57815-91ED-43cb-92C2-25804820EDAC}">
                        <c15:formulaRef>
                          <c15:sqref>Graphs!$H$5</c15:sqref>
                        </c15:formulaRef>
                      </c:ext>
                    </c:extLst>
                    <c:strCache>
                      <c:ptCount val="1"/>
                      <c:pt idx="0">
                        <c:v>PV_output_load_A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Graphs!$H$6:$H$173</c15:sqref>
                        </c15:formulaRef>
                      </c:ext>
                    </c:extLst>
                    <c:numCache>
                      <c:formatCode>0.00</c:formatCode>
                      <c:ptCount val="1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1.84</c:v>
                      </c:pt>
                      <c:pt idx="8">
                        <c:v>1.82</c:v>
                      </c:pt>
                      <c:pt idx="9">
                        <c:v>4</c:v>
                      </c:pt>
                      <c:pt idx="10">
                        <c:v>5.43</c:v>
                      </c:pt>
                      <c:pt idx="11">
                        <c:v>8.14</c:v>
                      </c:pt>
                      <c:pt idx="12">
                        <c:v>7.82</c:v>
                      </c:pt>
                      <c:pt idx="13">
                        <c:v>12.04</c:v>
                      </c:pt>
                      <c:pt idx="14">
                        <c:v>11.46</c:v>
                      </c:pt>
                      <c:pt idx="15">
                        <c:v>4.08</c:v>
                      </c:pt>
                      <c:pt idx="16">
                        <c:v>7</c:v>
                      </c:pt>
                      <c:pt idx="17">
                        <c:v>3.97</c:v>
                      </c:pt>
                      <c:pt idx="18">
                        <c:v>2.06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1.48</c:v>
                      </c:pt>
                      <c:pt idx="32">
                        <c:v>2.62</c:v>
                      </c:pt>
                      <c:pt idx="33">
                        <c:v>2.68</c:v>
                      </c:pt>
                      <c:pt idx="34">
                        <c:v>4.0599999999999996</c:v>
                      </c:pt>
                      <c:pt idx="35">
                        <c:v>4.66</c:v>
                      </c:pt>
                      <c:pt idx="36">
                        <c:v>6.02</c:v>
                      </c:pt>
                      <c:pt idx="37">
                        <c:v>11.7</c:v>
                      </c:pt>
                      <c:pt idx="38">
                        <c:v>12.08</c:v>
                      </c:pt>
                      <c:pt idx="39">
                        <c:v>5.3</c:v>
                      </c:pt>
                      <c:pt idx="40">
                        <c:v>6.12</c:v>
                      </c:pt>
                      <c:pt idx="41">
                        <c:v>7.92</c:v>
                      </c:pt>
                      <c:pt idx="42">
                        <c:v>2.61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1.84</c:v>
                      </c:pt>
                      <c:pt idx="57">
                        <c:v>3.7</c:v>
                      </c:pt>
                      <c:pt idx="58">
                        <c:v>6.56</c:v>
                      </c:pt>
                      <c:pt idx="59">
                        <c:v>8.8000000000000007</c:v>
                      </c:pt>
                      <c:pt idx="60">
                        <c:v>6.1</c:v>
                      </c:pt>
                      <c:pt idx="61">
                        <c:v>10.82</c:v>
                      </c:pt>
                      <c:pt idx="62">
                        <c:v>10.54</c:v>
                      </c:pt>
                      <c:pt idx="63">
                        <c:v>5.25</c:v>
                      </c:pt>
                      <c:pt idx="64">
                        <c:v>5.15</c:v>
                      </c:pt>
                      <c:pt idx="65">
                        <c:v>5.38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1.28</c:v>
                      </c:pt>
                      <c:pt idx="80">
                        <c:v>1.4</c:v>
                      </c:pt>
                      <c:pt idx="81">
                        <c:v>2.44</c:v>
                      </c:pt>
                      <c:pt idx="82">
                        <c:v>9.02</c:v>
                      </c:pt>
                      <c:pt idx="83">
                        <c:v>6.76</c:v>
                      </c:pt>
                      <c:pt idx="84">
                        <c:v>5.5</c:v>
                      </c:pt>
                      <c:pt idx="85">
                        <c:v>10.64</c:v>
                      </c:pt>
                      <c:pt idx="86">
                        <c:v>8.7799999999999994</c:v>
                      </c:pt>
                      <c:pt idx="87">
                        <c:v>5.64</c:v>
                      </c:pt>
                      <c:pt idx="88">
                        <c:v>4.0599999999999996</c:v>
                      </c:pt>
                      <c:pt idx="89">
                        <c:v>6.58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1.64</c:v>
                      </c:pt>
                      <c:pt idx="105">
                        <c:v>3.04</c:v>
                      </c:pt>
                      <c:pt idx="106">
                        <c:v>4.68</c:v>
                      </c:pt>
                      <c:pt idx="107">
                        <c:v>4.88</c:v>
                      </c:pt>
                      <c:pt idx="108">
                        <c:v>3.66</c:v>
                      </c:pt>
                      <c:pt idx="109">
                        <c:v>12.3</c:v>
                      </c:pt>
                      <c:pt idx="110">
                        <c:v>7.88</c:v>
                      </c:pt>
                      <c:pt idx="111">
                        <c:v>7.55</c:v>
                      </c:pt>
                      <c:pt idx="112">
                        <c:v>3.98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4.9800000000000004</c:v>
                      </c:pt>
                      <c:pt idx="131">
                        <c:v>4.5199999999999996</c:v>
                      </c:pt>
                      <c:pt idx="132">
                        <c:v>4</c:v>
                      </c:pt>
                      <c:pt idx="133">
                        <c:v>10.8</c:v>
                      </c:pt>
                      <c:pt idx="134">
                        <c:v>4.5199999999999996</c:v>
                      </c:pt>
                      <c:pt idx="135">
                        <c:v>7.34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2.34</c:v>
                      </c:pt>
                      <c:pt idx="154">
                        <c:v>6.76</c:v>
                      </c:pt>
                      <c:pt idx="155">
                        <c:v>4.16</c:v>
                      </c:pt>
                      <c:pt idx="156">
                        <c:v>2.02</c:v>
                      </c:pt>
                      <c:pt idx="157">
                        <c:v>6.3</c:v>
                      </c:pt>
                      <c:pt idx="158">
                        <c:v>7.56</c:v>
                      </c:pt>
                      <c:pt idx="159">
                        <c:v>4.0199999999999996</c:v>
                      </c:pt>
                      <c:pt idx="160">
                        <c:v>5.61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515-4A6C-BE5A-AE8B50E8E15C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Graphs!$W$5</c15:sqref>
                        </c15:formulaRef>
                      </c:ext>
                    </c:extLst>
                    <c:strCache>
                      <c:ptCount val="1"/>
                      <c:pt idx="0">
                        <c:v>Bat_dis_MG</c:v>
                      </c:pt>
                    </c:strCache>
                  </c:strRef>
                </c:tx>
                <c:spPr>
                  <a:solidFill>
                    <a:schemeClr val="accent6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Graphs!$A$6:$A$173</c15:sqref>
                        </c15:formulaRef>
                      </c:ext>
                    </c:extLst>
                    <c:numCache>
                      <c:formatCode>General</c:formatCode>
                      <c:ptCount val="16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Graphs!$W$6:$W$173</c15:sqref>
                        </c15:formulaRef>
                      </c:ext>
                    </c:extLst>
                    <c:numCache>
                      <c:formatCode>0.00</c:formatCode>
                      <c:ptCount val="168"/>
                      <c:pt idx="0">
                        <c:v>5.34</c:v>
                      </c:pt>
                      <c:pt idx="1">
                        <c:v>3.6970000000000001</c:v>
                      </c:pt>
                      <c:pt idx="2">
                        <c:v>5.4369999999999994</c:v>
                      </c:pt>
                      <c:pt idx="3">
                        <c:v>6.6880000000000006</c:v>
                      </c:pt>
                      <c:pt idx="4">
                        <c:v>6.7219999999999995</c:v>
                      </c:pt>
                      <c:pt idx="5">
                        <c:v>6.48</c:v>
                      </c:pt>
                      <c:pt idx="6">
                        <c:v>4.7880000000000003</c:v>
                      </c:pt>
                      <c:pt idx="7">
                        <c:v>2.2210000000000001</c:v>
                      </c:pt>
                      <c:pt idx="8">
                        <c:v>2.2269999999999994</c:v>
                      </c:pt>
                      <c:pt idx="9">
                        <c:v>8.3230000000000004</c:v>
                      </c:pt>
                      <c:pt idx="10">
                        <c:v>7.6340000000000003</c:v>
                      </c:pt>
                      <c:pt idx="11">
                        <c:v>8.7970000000000006</c:v>
                      </c:pt>
                      <c:pt idx="12">
                        <c:v>1.4969999999999999</c:v>
                      </c:pt>
                      <c:pt idx="13">
                        <c:v>1.3979999999999997</c:v>
                      </c:pt>
                      <c:pt idx="14">
                        <c:v>7.1909999999999989</c:v>
                      </c:pt>
                      <c:pt idx="15">
                        <c:v>4.4060000000000006</c:v>
                      </c:pt>
                      <c:pt idx="16">
                        <c:v>7.5510000000000002</c:v>
                      </c:pt>
                      <c:pt idx="17">
                        <c:v>8.4749999999999996</c:v>
                      </c:pt>
                      <c:pt idx="18">
                        <c:v>13.461</c:v>
                      </c:pt>
                      <c:pt idx="19">
                        <c:v>9.0039999999999996</c:v>
                      </c:pt>
                      <c:pt idx="20">
                        <c:v>25.151</c:v>
                      </c:pt>
                      <c:pt idx="21">
                        <c:v>18.239117522156036</c:v>
                      </c:pt>
                      <c:pt idx="22">
                        <c:v>8.2759999999999998</c:v>
                      </c:pt>
                      <c:pt idx="23">
                        <c:v>7.6020000000000003</c:v>
                      </c:pt>
                      <c:pt idx="24">
                        <c:v>6.6859999999999999</c:v>
                      </c:pt>
                      <c:pt idx="25">
                        <c:v>3.89</c:v>
                      </c:pt>
                      <c:pt idx="26">
                        <c:v>1.649</c:v>
                      </c:pt>
                      <c:pt idx="27">
                        <c:v>5.4889999999999999</c:v>
                      </c:pt>
                      <c:pt idx="28">
                        <c:v>3.1379999999999999</c:v>
                      </c:pt>
                      <c:pt idx="29">
                        <c:v>3.62</c:v>
                      </c:pt>
                      <c:pt idx="30">
                        <c:v>3.0390000000000001</c:v>
                      </c:pt>
                      <c:pt idx="31">
                        <c:v>1.7769999999999997</c:v>
                      </c:pt>
                      <c:pt idx="32">
                        <c:v>0.4870000000000001</c:v>
                      </c:pt>
                      <c:pt idx="33">
                        <c:v>5.5760000000000005</c:v>
                      </c:pt>
                      <c:pt idx="34">
                        <c:v>4.3730000000000002</c:v>
                      </c:pt>
                      <c:pt idx="35">
                        <c:v>5.0380000000000003</c:v>
                      </c:pt>
                      <c:pt idx="36">
                        <c:v>1.1509999999999998</c:v>
                      </c:pt>
                      <c:pt idx="37">
                        <c:v>1.359</c:v>
                      </c:pt>
                      <c:pt idx="38">
                        <c:v>7.5789999999999988</c:v>
                      </c:pt>
                      <c:pt idx="39">
                        <c:v>5.72</c:v>
                      </c:pt>
                      <c:pt idx="40">
                        <c:v>6.6119999999999992</c:v>
                      </c:pt>
                      <c:pt idx="41">
                        <c:v>7.2430000000000003</c:v>
                      </c:pt>
                      <c:pt idx="42">
                        <c:v>5.9849999999999994</c:v>
                      </c:pt>
                      <c:pt idx="43">
                        <c:v>6.4190000000000005</c:v>
                      </c:pt>
                      <c:pt idx="44">
                        <c:v>18.837</c:v>
                      </c:pt>
                      <c:pt idx="45">
                        <c:v>12.815000000000001</c:v>
                      </c:pt>
                      <c:pt idx="46">
                        <c:v>6.157</c:v>
                      </c:pt>
                      <c:pt idx="47">
                        <c:v>7.8</c:v>
                      </c:pt>
                      <c:pt idx="48">
                        <c:v>7.4250000000000007</c:v>
                      </c:pt>
                      <c:pt idx="49">
                        <c:v>3.8970000000000002</c:v>
                      </c:pt>
                      <c:pt idx="50">
                        <c:v>4.1590000000000007</c:v>
                      </c:pt>
                      <c:pt idx="51">
                        <c:v>6.0329999999999995</c:v>
                      </c:pt>
                      <c:pt idx="52">
                        <c:v>5.3309999999999995</c:v>
                      </c:pt>
                      <c:pt idx="53">
                        <c:v>6.1620000000000008</c:v>
                      </c:pt>
                      <c:pt idx="54">
                        <c:v>4.6669999999999998</c:v>
                      </c:pt>
                      <c:pt idx="55">
                        <c:v>3.0510000000000002</c:v>
                      </c:pt>
                      <c:pt idx="56">
                        <c:v>2.2440000000000007</c:v>
                      </c:pt>
                      <c:pt idx="57">
                        <c:v>7.72</c:v>
                      </c:pt>
                      <c:pt idx="58">
                        <c:v>7.0890000000000013</c:v>
                      </c:pt>
                      <c:pt idx="59">
                        <c:v>9.4929999999999986</c:v>
                      </c:pt>
                      <c:pt idx="60">
                        <c:v>1.1680000000000001</c:v>
                      </c:pt>
                      <c:pt idx="61">
                        <c:v>1.2579999999999991</c:v>
                      </c:pt>
                      <c:pt idx="62">
                        <c:v>6.6159999999999997</c:v>
                      </c:pt>
                      <c:pt idx="63">
                        <c:v>10.302</c:v>
                      </c:pt>
                      <c:pt idx="64">
                        <c:v>9.7329999999999988</c:v>
                      </c:pt>
                      <c:pt idx="65">
                        <c:v>16.416</c:v>
                      </c:pt>
                      <c:pt idx="66">
                        <c:v>16.169</c:v>
                      </c:pt>
                      <c:pt idx="67">
                        <c:v>6.0460000000000003</c:v>
                      </c:pt>
                      <c:pt idx="68">
                        <c:v>22.764000000000003</c:v>
                      </c:pt>
                      <c:pt idx="69">
                        <c:v>22.970999999999997</c:v>
                      </c:pt>
                      <c:pt idx="70">
                        <c:v>12.862</c:v>
                      </c:pt>
                      <c:pt idx="71">
                        <c:v>9.27</c:v>
                      </c:pt>
                      <c:pt idx="72">
                        <c:v>5.77</c:v>
                      </c:pt>
                      <c:pt idx="73">
                        <c:v>5.827</c:v>
                      </c:pt>
                      <c:pt idx="74">
                        <c:v>5.516</c:v>
                      </c:pt>
                      <c:pt idx="75">
                        <c:v>3.9329999999999998</c:v>
                      </c:pt>
                      <c:pt idx="76">
                        <c:v>3.5209999999999999</c:v>
                      </c:pt>
                      <c:pt idx="77">
                        <c:v>4.4420000000000002</c:v>
                      </c:pt>
                      <c:pt idx="78">
                        <c:v>5.0969999999999995</c:v>
                      </c:pt>
                      <c:pt idx="79">
                        <c:v>1.5409999999999997</c:v>
                      </c:pt>
                      <c:pt idx="80">
                        <c:v>1.702</c:v>
                      </c:pt>
                      <c:pt idx="81">
                        <c:v>5.0739999999999998</c:v>
                      </c:pt>
                      <c:pt idx="82">
                        <c:v>9.7330000000000005</c:v>
                      </c:pt>
                      <c:pt idx="83">
                        <c:v>7.298</c:v>
                      </c:pt>
                      <c:pt idx="84">
                        <c:v>1.0529999999999999</c:v>
                      </c:pt>
                      <c:pt idx="85">
                        <c:v>1.2349999999999994</c:v>
                      </c:pt>
                      <c:pt idx="86">
                        <c:v>10.680000000000001</c:v>
                      </c:pt>
                      <c:pt idx="87">
                        <c:v>6.0859999999999994</c:v>
                      </c:pt>
                      <c:pt idx="88">
                        <c:v>4.3929999999999998</c:v>
                      </c:pt>
                      <c:pt idx="89">
                        <c:v>6.0250000000000004</c:v>
                      </c:pt>
                      <c:pt idx="90">
                        <c:v>16.503</c:v>
                      </c:pt>
                      <c:pt idx="91">
                        <c:v>8.0090000000000003</c:v>
                      </c:pt>
                      <c:pt idx="92">
                        <c:v>17.492000000000001</c:v>
                      </c:pt>
                      <c:pt idx="93">
                        <c:v>21.141000000000002</c:v>
                      </c:pt>
                      <c:pt idx="94">
                        <c:v>9.9290000000000003</c:v>
                      </c:pt>
                      <c:pt idx="95">
                        <c:v>8.3520000000000003</c:v>
                      </c:pt>
                      <c:pt idx="96">
                        <c:v>4.7370000000000001</c:v>
                      </c:pt>
                      <c:pt idx="97">
                        <c:v>4.2840000000000007</c:v>
                      </c:pt>
                      <c:pt idx="98">
                        <c:v>3.9359999999999999</c:v>
                      </c:pt>
                      <c:pt idx="99">
                        <c:v>5.92</c:v>
                      </c:pt>
                      <c:pt idx="100">
                        <c:v>3.673</c:v>
                      </c:pt>
                      <c:pt idx="101">
                        <c:v>5.5869999999999997</c:v>
                      </c:pt>
                      <c:pt idx="102">
                        <c:v>3.7050000000000001</c:v>
                      </c:pt>
                      <c:pt idx="103">
                        <c:v>2.3360000000000003</c:v>
                      </c:pt>
                      <c:pt idx="104">
                        <c:v>1.994</c:v>
                      </c:pt>
                      <c:pt idx="105">
                        <c:v>6.3280000000000003</c:v>
                      </c:pt>
                      <c:pt idx="106">
                        <c:v>6.766</c:v>
                      </c:pt>
                      <c:pt idx="107">
                        <c:v>5.2679999999999998</c:v>
                      </c:pt>
                      <c:pt idx="108">
                        <c:v>0.70000000000000018</c:v>
                      </c:pt>
                      <c:pt idx="109">
                        <c:v>1.4290000000000003</c:v>
                      </c:pt>
                      <c:pt idx="110">
                        <c:v>4.95</c:v>
                      </c:pt>
                      <c:pt idx="111">
                        <c:v>9.7510000000000012</c:v>
                      </c:pt>
                      <c:pt idx="112">
                        <c:v>4.2969999999999988</c:v>
                      </c:pt>
                      <c:pt idx="113">
                        <c:v>12.975999999999999</c:v>
                      </c:pt>
                      <c:pt idx="114">
                        <c:v>11.073</c:v>
                      </c:pt>
                      <c:pt idx="115">
                        <c:v>6.9450000000000003</c:v>
                      </c:pt>
                      <c:pt idx="116">
                        <c:v>17.516000000000002</c:v>
                      </c:pt>
                      <c:pt idx="117">
                        <c:v>12.48</c:v>
                      </c:pt>
                      <c:pt idx="118">
                        <c:v>8.4380000000000006</c:v>
                      </c:pt>
                      <c:pt idx="119">
                        <c:v>7.6029999999999998</c:v>
                      </c:pt>
                      <c:pt idx="120">
                        <c:v>7.0519999999999996</c:v>
                      </c:pt>
                      <c:pt idx="121">
                        <c:v>4.24</c:v>
                      </c:pt>
                      <c:pt idx="122">
                        <c:v>4.6579999999999995</c:v>
                      </c:pt>
                      <c:pt idx="123">
                        <c:v>3.468</c:v>
                      </c:pt>
                      <c:pt idx="124">
                        <c:v>6.0969999999999995</c:v>
                      </c:pt>
                      <c:pt idx="125">
                        <c:v>5.2840000000000007</c:v>
                      </c:pt>
                      <c:pt idx="126">
                        <c:v>5.0169999999999995</c:v>
                      </c:pt>
                      <c:pt idx="127">
                        <c:v>3.0949999999999998</c:v>
                      </c:pt>
                      <c:pt idx="128">
                        <c:v>2.62</c:v>
                      </c:pt>
                      <c:pt idx="129">
                        <c:v>7.3319999999999999</c:v>
                      </c:pt>
                      <c:pt idx="130">
                        <c:v>7.57</c:v>
                      </c:pt>
                      <c:pt idx="131">
                        <c:v>4.8680000000000003</c:v>
                      </c:pt>
                      <c:pt idx="132">
                        <c:v>0.76600000000000001</c:v>
                      </c:pt>
                      <c:pt idx="133">
                        <c:v>1.2539999999999996</c:v>
                      </c:pt>
                      <c:pt idx="134">
                        <c:v>9.8640000000000008</c:v>
                      </c:pt>
                      <c:pt idx="135">
                        <c:v>7.9320000000000004</c:v>
                      </c:pt>
                      <c:pt idx="136">
                        <c:v>11.612</c:v>
                      </c:pt>
                      <c:pt idx="137">
                        <c:v>14.047000000000001</c:v>
                      </c:pt>
                      <c:pt idx="138">
                        <c:v>9.2360000000000007</c:v>
                      </c:pt>
                      <c:pt idx="139">
                        <c:v>7.4180000000000001</c:v>
                      </c:pt>
                      <c:pt idx="140">
                        <c:v>16.143000000000001</c:v>
                      </c:pt>
                      <c:pt idx="141">
                        <c:v>14.757000000000001</c:v>
                      </c:pt>
                      <c:pt idx="142">
                        <c:v>9.7159999999999993</c:v>
                      </c:pt>
                      <c:pt idx="143">
                        <c:v>6.5419999999999998</c:v>
                      </c:pt>
                      <c:pt idx="144">
                        <c:v>4.4239999999999995</c:v>
                      </c:pt>
                      <c:pt idx="145">
                        <c:v>3.6639999999999997</c:v>
                      </c:pt>
                      <c:pt idx="146">
                        <c:v>5.1260000000000003</c:v>
                      </c:pt>
                      <c:pt idx="147">
                        <c:v>3.2009999999999996</c:v>
                      </c:pt>
                      <c:pt idx="148">
                        <c:v>3.794</c:v>
                      </c:pt>
                      <c:pt idx="149">
                        <c:v>3.927</c:v>
                      </c:pt>
                      <c:pt idx="150">
                        <c:v>2.548</c:v>
                      </c:pt>
                      <c:pt idx="151">
                        <c:v>2.3529999999999998</c:v>
                      </c:pt>
                      <c:pt idx="152">
                        <c:v>2.8079999999999998</c:v>
                      </c:pt>
                      <c:pt idx="153">
                        <c:v>4.899</c:v>
                      </c:pt>
                      <c:pt idx="154">
                        <c:v>7.302999999999999</c:v>
                      </c:pt>
                      <c:pt idx="155">
                        <c:v>4.4890000000000008</c:v>
                      </c:pt>
                      <c:pt idx="156">
                        <c:v>0.38500000000000023</c:v>
                      </c:pt>
                      <c:pt idx="157">
                        <c:v>0.73200000000000021</c:v>
                      </c:pt>
                      <c:pt idx="158">
                        <c:v>4.7480000000000002</c:v>
                      </c:pt>
                      <c:pt idx="159">
                        <c:v>4.3440000000000012</c:v>
                      </c:pt>
                      <c:pt idx="160">
                        <c:v>8.2890000000000015</c:v>
                      </c:pt>
                      <c:pt idx="161">
                        <c:v>9.8359999999999985</c:v>
                      </c:pt>
                      <c:pt idx="162">
                        <c:v>7.2430000000000003</c:v>
                      </c:pt>
                      <c:pt idx="163">
                        <c:v>6.1539999999999999</c:v>
                      </c:pt>
                      <c:pt idx="164">
                        <c:v>15.859</c:v>
                      </c:pt>
                      <c:pt idx="165">
                        <c:v>4.867</c:v>
                      </c:pt>
                      <c:pt idx="166">
                        <c:v>6.758</c:v>
                      </c:pt>
                      <c:pt idx="167">
                        <c:v>5.0419999999999998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515-4A6C-BE5A-AE8B50E8E15C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Graphs!$R$5</c15:sqref>
                        </c15:formulaRef>
                      </c:ext>
                    </c:extLst>
                    <c:strCache>
                      <c:ptCount val="1"/>
                      <c:pt idx="0">
                        <c:v>Grid_imp</c:v>
                      </c:pt>
                    </c:strCache>
                  </c:strRef>
                </c:tx>
                <c:spPr>
                  <a:solidFill>
                    <a:schemeClr val="accent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Graphs!$A$6:$A$173</c15:sqref>
                        </c15:formulaRef>
                      </c:ext>
                    </c:extLst>
                    <c:numCache>
                      <c:formatCode>General</c:formatCode>
                      <c:ptCount val="16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Graphs!$R$6:$R$173</c15:sqref>
                        </c15:formulaRef>
                      </c:ext>
                    </c:extLst>
                    <c:numCache>
                      <c:formatCode>0.00</c:formatCode>
                      <c:ptCount val="168"/>
                      <c:pt idx="0">
                        <c:v>5.3399999995499998</c:v>
                      </c:pt>
                      <c:pt idx="1">
                        <c:v>3.69699999955</c:v>
                      </c:pt>
                      <c:pt idx="2">
                        <c:v>6.3317080478592676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4.7879999995500002</c:v>
                      </c:pt>
                      <c:pt idx="7">
                        <c:v>2.1909999999999998</c:v>
                      </c:pt>
                      <c:pt idx="8">
                        <c:v>0.38699999999999957</c:v>
                      </c:pt>
                      <c:pt idx="9">
                        <c:v>8.3230000000000004</c:v>
                      </c:pt>
                      <c:pt idx="10">
                        <c:v>7.6340000000000003</c:v>
                      </c:pt>
                      <c:pt idx="11">
                        <c:v>3.1270000000000007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2.9510000000000005</c:v>
                      </c:pt>
                      <c:pt idx="15">
                        <c:v>0</c:v>
                      </c:pt>
                      <c:pt idx="16">
                        <c:v>4.6310000000000002</c:v>
                      </c:pt>
                      <c:pt idx="17">
                        <c:v>8.4875381894747726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6.6878812985421572</c:v>
                      </c:pt>
                      <c:pt idx="25">
                        <c:v>3.8918812985421578</c:v>
                      </c:pt>
                      <c:pt idx="26">
                        <c:v>17.291946162757107</c:v>
                      </c:pt>
                      <c:pt idx="27">
                        <c:v>25</c:v>
                      </c:pt>
                      <c:pt idx="28">
                        <c:v>25</c:v>
                      </c:pt>
                      <c:pt idx="29">
                        <c:v>25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7.801881298352157</c:v>
                      </c:pt>
                      <c:pt idx="48">
                        <c:v>7.4268812983521579</c:v>
                      </c:pt>
                      <c:pt idx="49">
                        <c:v>3.9803928552526808</c:v>
                      </c:pt>
                      <c:pt idx="50">
                        <c:v>25</c:v>
                      </c:pt>
                      <c:pt idx="51">
                        <c:v>25</c:v>
                      </c:pt>
                      <c:pt idx="52">
                        <c:v>25</c:v>
                      </c:pt>
                      <c:pt idx="53">
                        <c:v>25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2.8384346848337589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5.5859999999999985</c:v>
                      </c:pt>
                      <c:pt idx="63">
                        <c:v>10.302</c:v>
                      </c:pt>
                      <c:pt idx="64">
                        <c:v>9.7329999999999988</c:v>
                      </c:pt>
                      <c:pt idx="65">
                        <c:v>16.416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22.970999999359996</c:v>
                      </c:pt>
                      <c:pt idx="70">
                        <c:v>12.863881298352158</c:v>
                      </c:pt>
                      <c:pt idx="71">
                        <c:v>9.2718812983521577</c:v>
                      </c:pt>
                      <c:pt idx="72">
                        <c:v>5.7718812983521568</c:v>
                      </c:pt>
                      <c:pt idx="73">
                        <c:v>5.8288812983521572</c:v>
                      </c:pt>
                      <c:pt idx="74">
                        <c:v>20.807993992454637</c:v>
                      </c:pt>
                      <c:pt idx="75">
                        <c:v>25</c:v>
                      </c:pt>
                      <c:pt idx="76">
                        <c:v>25</c:v>
                      </c:pt>
                      <c:pt idx="77">
                        <c:v>25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4.2980228365982978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4.7150000000000007</c:v>
                      </c:pt>
                      <c:pt idx="90">
                        <c:v>16.50299999936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8.3538812983521584</c:v>
                      </c:pt>
                      <c:pt idx="96">
                        <c:v>4.7388812983521573</c:v>
                      </c:pt>
                      <c:pt idx="97">
                        <c:v>4.2858812983521579</c:v>
                      </c:pt>
                      <c:pt idx="98">
                        <c:v>22.512250546889319</c:v>
                      </c:pt>
                      <c:pt idx="99">
                        <c:v>25</c:v>
                      </c:pt>
                      <c:pt idx="100">
                        <c:v>25</c:v>
                      </c:pt>
                      <c:pt idx="101">
                        <c:v>25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15.524991326485805</c:v>
                      </c:pt>
                      <c:pt idx="117">
                        <c:v>12.47999999936</c:v>
                      </c:pt>
                      <c:pt idx="118">
                        <c:v>8.4398812983521587</c:v>
                      </c:pt>
                      <c:pt idx="119">
                        <c:v>7.604881298352157</c:v>
                      </c:pt>
                      <c:pt idx="120">
                        <c:v>7.0538812983521568</c:v>
                      </c:pt>
                      <c:pt idx="121">
                        <c:v>4.2418812983521574</c:v>
                      </c:pt>
                      <c:pt idx="122">
                        <c:v>22.903350799155277</c:v>
                      </c:pt>
                      <c:pt idx="123">
                        <c:v>25</c:v>
                      </c:pt>
                      <c:pt idx="124">
                        <c:v>25</c:v>
                      </c:pt>
                      <c:pt idx="125">
                        <c:v>25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0.42323416053634372</c:v>
                      </c:pt>
                      <c:pt idx="129">
                        <c:v>7.3319999992799998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7.6820000000000004</c:v>
                      </c:pt>
                      <c:pt idx="136">
                        <c:v>11.61199999938</c:v>
                      </c:pt>
                      <c:pt idx="137">
                        <c:v>14.046999999240001</c:v>
                      </c:pt>
                      <c:pt idx="138">
                        <c:v>9.2359999993600006</c:v>
                      </c:pt>
                      <c:pt idx="139">
                        <c:v>7.4179999993600001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9.7178812983521574</c:v>
                      </c:pt>
                      <c:pt idx="143">
                        <c:v>6.543881298352157</c:v>
                      </c:pt>
                      <c:pt idx="144">
                        <c:v>4.4258812983521567</c:v>
                      </c:pt>
                      <c:pt idx="145">
                        <c:v>3.6658812983521574</c:v>
                      </c:pt>
                      <c:pt idx="146">
                        <c:v>19.443925891882046</c:v>
                      </c:pt>
                      <c:pt idx="147">
                        <c:v>25</c:v>
                      </c:pt>
                      <c:pt idx="148">
                        <c:v>25</c:v>
                      </c:pt>
                      <c:pt idx="149">
                        <c:v>25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4.8876604948411693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6.7598812983521572</c:v>
                      </c:pt>
                      <c:pt idx="167">
                        <c:v>5.043881298352157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515-4A6C-BE5A-AE8B50E8E15C}"/>
                  </c:ext>
                </c:extLst>
              </c15:ser>
            </c15:filteredBarSeries>
            <c15:filteredBa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Graphs!$N$5</c15:sqref>
                        </c15:formulaRef>
                      </c:ext>
                    </c:extLst>
                    <c:strCache>
                      <c:ptCount val="1"/>
                      <c:pt idx="0">
                        <c:v>Diesel_output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Graphs!$A$6:$A$173</c15:sqref>
                        </c15:formulaRef>
                      </c:ext>
                    </c:extLst>
                    <c:numCache>
                      <c:formatCode>General</c:formatCode>
                      <c:ptCount val="16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Graphs!$N$6:$N$53</c15:sqref>
                        </c15:formulaRef>
                      </c:ext>
                    </c:extLst>
                    <c:numCache>
                      <c:formatCode>0.00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7.7458824778439643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15-4A6C-BE5A-AE8B50E8E15C}"/>
                  </c:ext>
                </c:extLst>
              </c15:ser>
            </c15:filteredBarSeries>
            <c15:filteredBarSeries>
              <c15:ser>
                <c:idx val="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Graphs!$K$5</c15:sqref>
                        </c15:formulaRef>
                      </c:ext>
                    </c:extLst>
                    <c:strCache>
                      <c:ptCount val="1"/>
                      <c:pt idx="0">
                        <c:v>PV_Excess_MG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Graphs!$A$6:$A$173</c15:sqref>
                        </c15:formulaRef>
                      </c:ext>
                    </c:extLst>
                    <c:numCache>
                      <c:formatCode>General</c:formatCode>
                      <c:ptCount val="16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Graphs!$K$6:$K$173</c15:sqref>
                        </c15:formulaRef>
                      </c:ext>
                    </c:extLst>
                    <c:numCache>
                      <c:formatCode>0.00</c:formatCode>
                      <c:ptCount val="1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3.0000000000000027E-2</c:v>
                      </c:pt>
                      <c:pt idx="8">
                        <c:v>1.84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5.67</c:v>
                      </c:pt>
                      <c:pt idx="12">
                        <c:v>4.5600000000000005</c:v>
                      </c:pt>
                      <c:pt idx="13">
                        <c:v>5.2100000000000009</c:v>
                      </c:pt>
                      <c:pt idx="14">
                        <c:v>4.2399999999999984</c:v>
                      </c:pt>
                      <c:pt idx="15">
                        <c:v>5.5399999999999991</c:v>
                      </c:pt>
                      <c:pt idx="16">
                        <c:v>2.92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3.48</c:v>
                      </c:pt>
                      <c:pt idx="32">
                        <c:v>4.5999999999999996</c:v>
                      </c:pt>
                      <c:pt idx="33">
                        <c:v>13.43</c:v>
                      </c:pt>
                      <c:pt idx="34">
                        <c:v>25.94</c:v>
                      </c:pt>
                      <c:pt idx="35">
                        <c:v>25.34</c:v>
                      </c:pt>
                      <c:pt idx="36">
                        <c:v>23.98</c:v>
                      </c:pt>
                      <c:pt idx="37">
                        <c:v>13.670000000000002</c:v>
                      </c:pt>
                      <c:pt idx="38">
                        <c:v>10.38</c:v>
                      </c:pt>
                      <c:pt idx="39">
                        <c:v>17.66</c:v>
                      </c:pt>
                      <c:pt idx="40">
                        <c:v>6.919999999999999</c:v>
                      </c:pt>
                      <c:pt idx="41">
                        <c:v>0.57000000000000028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5.75</c:v>
                      </c:pt>
                      <c:pt idx="57">
                        <c:v>3.45</c:v>
                      </c:pt>
                      <c:pt idx="58">
                        <c:v>3.3899999999999997</c:v>
                      </c:pt>
                      <c:pt idx="59">
                        <c:v>1.83</c:v>
                      </c:pt>
                      <c:pt idx="60">
                        <c:v>4.5600000000000005</c:v>
                      </c:pt>
                      <c:pt idx="61">
                        <c:v>1.0899999999999999</c:v>
                      </c:pt>
                      <c:pt idx="62">
                        <c:v>1.0300000000000011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4.46</c:v>
                      </c:pt>
                      <c:pt idx="80">
                        <c:v>8.01</c:v>
                      </c:pt>
                      <c:pt idx="81">
                        <c:v>4.9800000000000004</c:v>
                      </c:pt>
                      <c:pt idx="82">
                        <c:v>13.64</c:v>
                      </c:pt>
                      <c:pt idx="83">
                        <c:v>23.240000000000002</c:v>
                      </c:pt>
                      <c:pt idx="84">
                        <c:v>24.5</c:v>
                      </c:pt>
                      <c:pt idx="85">
                        <c:v>9.9499999999999993</c:v>
                      </c:pt>
                      <c:pt idx="86">
                        <c:v>0</c:v>
                      </c:pt>
                      <c:pt idx="87">
                        <c:v>6.44</c:v>
                      </c:pt>
                      <c:pt idx="88">
                        <c:v>7.2400000000000011</c:v>
                      </c:pt>
                      <c:pt idx="89">
                        <c:v>1.3099999999999996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8.58</c:v>
                      </c:pt>
                      <c:pt idx="105">
                        <c:v>2.7299999999999995</c:v>
                      </c:pt>
                      <c:pt idx="106">
                        <c:v>0</c:v>
                      </c:pt>
                      <c:pt idx="107">
                        <c:v>0.58999999999999986</c:v>
                      </c:pt>
                      <c:pt idx="108">
                        <c:v>2.3499999999999996</c:v>
                      </c:pt>
                      <c:pt idx="109">
                        <c:v>3.67</c:v>
                      </c:pt>
                      <c:pt idx="110">
                        <c:v>9.9999999999997868E-3</c:v>
                      </c:pt>
                      <c:pt idx="111">
                        <c:v>0</c:v>
                      </c:pt>
                      <c:pt idx="112">
                        <c:v>1.6999999999999997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0.39000000000000057</c:v>
                      </c:pt>
                      <c:pt idx="132">
                        <c:v>2.4699999999999998</c:v>
                      </c:pt>
                      <c:pt idx="133">
                        <c:v>6.9999999999998508E-2</c:v>
                      </c:pt>
                      <c:pt idx="134">
                        <c:v>0</c:v>
                      </c:pt>
                      <c:pt idx="135">
                        <c:v>0.25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6.9399999999999995</c:v>
                      </c:pt>
                      <c:pt idx="154">
                        <c:v>5.1099999999999994</c:v>
                      </c:pt>
                      <c:pt idx="155">
                        <c:v>3.4699999999999998</c:v>
                      </c:pt>
                      <c:pt idx="156">
                        <c:v>7.4600000000000009</c:v>
                      </c:pt>
                      <c:pt idx="157">
                        <c:v>2.0000000000000462E-2</c:v>
                      </c:pt>
                      <c:pt idx="158">
                        <c:v>0.80999999999999961</c:v>
                      </c:pt>
                      <c:pt idx="159">
                        <c:v>6.26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15-4A6C-BE5A-AE8B50E8E15C}"/>
                  </c:ext>
                </c:extLst>
              </c15:ser>
            </c15:filteredBarSeries>
            <c15:filteredBa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Graphs!$T$5</c15:sqref>
                        </c15:formulaRef>
                      </c:ext>
                    </c:extLst>
                    <c:strCache>
                      <c:ptCount val="1"/>
                      <c:pt idx="0">
                        <c:v>Bat_charge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Graphs!$A$6:$A$173</c15:sqref>
                        </c15:formulaRef>
                      </c:ext>
                    </c:extLst>
                    <c:numCache>
                      <c:formatCode>General</c:formatCode>
                      <c:ptCount val="16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Graphs!$T$6:$T$173</c15:sqref>
                        </c15:formulaRef>
                      </c:ext>
                    </c:extLst>
                    <c:numCache>
                      <c:formatCode>0.00</c:formatCode>
                      <c:ptCount val="1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-0.75902557278316707</c:v>
                      </c:pt>
                      <c:pt idx="3">
                        <c:v>-15.534985200381755</c:v>
                      </c:pt>
                      <c:pt idx="4">
                        <c:v>-15.506141300381755</c:v>
                      </c:pt>
                      <c:pt idx="5">
                        <c:v>-15.711442000381759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-5.2307198190180058E-2</c:v>
                      </c:pt>
                      <c:pt idx="16">
                        <c:v>0</c:v>
                      </c:pt>
                      <c:pt idx="17">
                        <c:v>-1.063677304092323E-2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-1.5959999999969553E-3</c:v>
                      </c:pt>
                      <c:pt idx="25">
                        <c:v>-1.5959999999969553E-3</c:v>
                      </c:pt>
                      <c:pt idx="26">
                        <c:v>-13.270693377556745</c:v>
                      </c:pt>
                      <c:pt idx="27">
                        <c:v>-16.552156850381756</c:v>
                      </c:pt>
                      <c:pt idx="28">
                        <c:v>-18.546627700381759</c:v>
                      </c:pt>
                      <c:pt idx="29">
                        <c:v>-18.137723000381758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-10.44403685</c:v>
                      </c:pt>
                      <c:pt idx="38">
                        <c:v>-2.3762283500000039</c:v>
                      </c:pt>
                      <c:pt idx="39">
                        <c:v>-10.129299</c:v>
                      </c:pt>
                      <c:pt idx="40">
                        <c:v>-0.26129179999999941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-1.5959999999969553E-3</c:v>
                      </c:pt>
                      <c:pt idx="48">
                        <c:v>-1.5959999999969553E-3</c:v>
                      </c:pt>
                      <c:pt idx="49">
                        <c:v>-7.0746329296555457E-2</c:v>
                      </c:pt>
                      <c:pt idx="50">
                        <c:v>-17.680462350542943</c:v>
                      </c:pt>
                      <c:pt idx="51">
                        <c:v>-16.090654450542942</c:v>
                      </c:pt>
                      <c:pt idx="52">
                        <c:v>-16.686196150542944</c:v>
                      </c:pt>
                      <c:pt idx="53">
                        <c:v>-15.981217300542943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-2.8776032000000002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-1.5959999999969553E-3</c:v>
                      </c:pt>
                      <c:pt idx="71">
                        <c:v>-1.5959999999969553E-3</c:v>
                      </c:pt>
                      <c:pt idx="72">
                        <c:v>-1.5959999999969553E-3</c:v>
                      </c:pt>
                      <c:pt idx="73">
                        <c:v>-1.5959999999969553E-3</c:v>
                      </c:pt>
                      <c:pt idx="74">
                        <c:v>-12.972963104041833</c:v>
                      </c:pt>
                      <c:pt idx="75">
                        <c:v>-17.872189450542944</c:v>
                      </c:pt>
                      <c:pt idx="76">
                        <c:v>-18.221709650542945</c:v>
                      </c:pt>
                      <c:pt idx="77">
                        <c:v>-17.440379300542943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-3.3145034500000001</c:v>
                      </c:pt>
                      <c:pt idx="83">
                        <c:v>-13.524395699999998</c:v>
                      </c:pt>
                      <c:pt idx="84">
                        <c:v>-19.891262449999996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-1.5959999999969553E-3</c:v>
                      </c:pt>
                      <c:pt idx="96">
                        <c:v>-1.5959999999969553E-3</c:v>
                      </c:pt>
                      <c:pt idx="97">
                        <c:v>-1.5959999999969553E-3</c:v>
                      </c:pt>
                      <c:pt idx="98">
                        <c:v>-15.759162151996495</c:v>
                      </c:pt>
                      <c:pt idx="99">
                        <c:v>-16.186518000542943</c:v>
                      </c:pt>
                      <c:pt idx="100">
                        <c:v>-18.092760450542944</c:v>
                      </c:pt>
                      <c:pt idx="101">
                        <c:v>-16.469018550542941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-5.5872330999999997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-1.3997774999999992</c:v>
                      </c:pt>
                      <c:pt idx="109">
                        <c:v>-1.901152349999998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-1.5959999999969553E-3</c:v>
                      </c:pt>
                      <c:pt idx="119">
                        <c:v>-1.5959999999969553E-3</c:v>
                      </c:pt>
                      <c:pt idx="120">
                        <c:v>-1.5959999999969553E-3</c:v>
                      </c:pt>
                      <c:pt idx="121">
                        <c:v>-1.5959999999969553E-3</c:v>
                      </c:pt>
                      <c:pt idx="122">
                        <c:v>-15.478443351006321</c:v>
                      </c:pt>
                      <c:pt idx="123">
                        <c:v>-18.266672200542942</c:v>
                      </c:pt>
                      <c:pt idx="124">
                        <c:v>-16.036360050542942</c:v>
                      </c:pt>
                      <c:pt idx="125">
                        <c:v>-16.726068600542945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-1.4455883999999997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-1.5959999999969553E-3</c:v>
                      </c:pt>
                      <c:pt idx="143">
                        <c:v>-1.5959999999969553E-3</c:v>
                      </c:pt>
                      <c:pt idx="144">
                        <c:v>-1.5959999999969553E-3</c:v>
                      </c:pt>
                      <c:pt idx="145">
                        <c:v>-1.5959999999969553E-3</c:v>
                      </c:pt>
                      <c:pt idx="146">
                        <c:v>-12.146612430921076</c:v>
                      </c:pt>
                      <c:pt idx="147">
                        <c:v>-18.493181650542944</c:v>
                      </c:pt>
                      <c:pt idx="148">
                        <c:v>-17.990110100542942</c:v>
                      </c:pt>
                      <c:pt idx="149">
                        <c:v>-17.877279550542944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-1.5959999999969553E-3</c:v>
                      </c:pt>
                      <c:pt idx="167">
                        <c:v>-1.5959999999969553E-3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515-4A6C-BE5A-AE8B50E8E15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Graphs!$M$5</c15:sqref>
                        </c15:formulaRef>
                      </c:ext>
                    </c:extLst>
                    <c:strCache>
                      <c:ptCount val="1"/>
                      <c:pt idx="0">
                        <c:v>Grid_Export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Graphs!$M$6:$M$173</c15:sqref>
                        </c15:formulaRef>
                      </c:ext>
                    </c:extLst>
                    <c:numCache>
                      <c:formatCode>0.00</c:formatCode>
                      <c:ptCount val="1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-3.0630000000000006</c:v>
                      </c:pt>
                      <c:pt idx="13">
                        <c:v>-3.8120000000000012</c:v>
                      </c:pt>
                      <c:pt idx="14">
                        <c:v>0</c:v>
                      </c:pt>
                      <c:pt idx="15">
                        <c:v>-1.0723424315551586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-23.961000000449999</c:v>
                      </c:pt>
                      <c:pt idx="31">
                        <c:v>-2.7388443445182631</c:v>
                      </c:pt>
                      <c:pt idx="32">
                        <c:v>-4.1129999999999995</c:v>
                      </c:pt>
                      <c:pt idx="33">
                        <c:v>-7.8539999999999992</c:v>
                      </c:pt>
                      <c:pt idx="34">
                        <c:v>-21.567</c:v>
                      </c:pt>
                      <c:pt idx="35">
                        <c:v>-20.302</c:v>
                      </c:pt>
                      <c:pt idx="36">
                        <c:v>-22.829000000000001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-3.5059999999999993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-21.903000000639999</c:v>
                      </c:pt>
                      <c:pt idx="79">
                        <c:v>-10.596759585251313</c:v>
                      </c:pt>
                      <c:pt idx="80">
                        <c:v>-6.3079999999999998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-8.7149999999999999</c:v>
                      </c:pt>
                      <c:pt idx="86">
                        <c:v>0</c:v>
                      </c:pt>
                      <c:pt idx="87">
                        <c:v>-0.35400000000000098</c:v>
                      </c:pt>
                      <c:pt idx="88">
                        <c:v>-2.8470000000000013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-2.0409999999999995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-7.0750000000000002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-1.9159999999999986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515-4A6C-BE5A-AE8B50E8E15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Graphs!$L$5</c15:sqref>
                        </c15:formulaRef>
                      </c:ext>
                    </c:extLst>
                    <c:strCache>
                      <c:ptCount val="1"/>
                      <c:pt idx="0">
                        <c:v>Shortage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Graphs!$L$6:$L$53</c15:sqref>
                        </c15:formulaRef>
                      </c:ext>
                    </c:extLst>
                    <c:numCache>
                      <c:formatCode>0.00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4.5010000000000003</c:v>
                      </c:pt>
                      <c:pt idx="19">
                        <c:v>3.5840000000000001</c:v>
                      </c:pt>
                      <c:pt idx="20">
                        <c:v>3.871</c:v>
                      </c:pt>
                      <c:pt idx="21">
                        <c:v>2.7050000000000001</c:v>
                      </c:pt>
                      <c:pt idx="22">
                        <c:v>1.956</c:v>
                      </c:pt>
                      <c:pt idx="23">
                        <c:v>2.1419999999999999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15-4A6C-BE5A-AE8B50E8E15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1"/>
          <c:tx>
            <c:strRef>
              <c:f>Graphs!$B$5</c:f>
              <c:strCache>
                <c:ptCount val="1"/>
                <c:pt idx="0">
                  <c:v>Load A+B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Graphs!$A$6:$A$173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Graphs!$B$6:$B$173</c:f>
              <c:numCache>
                <c:formatCode>General</c:formatCode>
                <c:ptCount val="168"/>
                <c:pt idx="0">
                  <c:v>5.34</c:v>
                </c:pt>
                <c:pt idx="1">
                  <c:v>3.6970000000000001</c:v>
                </c:pt>
                <c:pt idx="2">
                  <c:v>5.4369999999999994</c:v>
                </c:pt>
                <c:pt idx="3">
                  <c:v>6.6880000000000006</c:v>
                </c:pt>
                <c:pt idx="4">
                  <c:v>6.7219999999999995</c:v>
                </c:pt>
                <c:pt idx="5">
                  <c:v>6.48</c:v>
                </c:pt>
                <c:pt idx="6">
                  <c:v>4.7880000000000003</c:v>
                </c:pt>
                <c:pt idx="7">
                  <c:v>4.0609999999999999</c:v>
                </c:pt>
                <c:pt idx="8">
                  <c:v>4.0469999999999997</c:v>
                </c:pt>
                <c:pt idx="9">
                  <c:v>12.323</c:v>
                </c:pt>
                <c:pt idx="10">
                  <c:v>13.064</c:v>
                </c:pt>
                <c:pt idx="11">
                  <c:v>16.937000000000001</c:v>
                </c:pt>
                <c:pt idx="12">
                  <c:v>9.3170000000000002</c:v>
                </c:pt>
                <c:pt idx="13">
                  <c:v>13.437999999999999</c:v>
                </c:pt>
                <c:pt idx="14">
                  <c:v>18.651</c:v>
                </c:pt>
                <c:pt idx="15">
                  <c:v>8.4860000000000007</c:v>
                </c:pt>
                <c:pt idx="16">
                  <c:v>14.551</c:v>
                </c:pt>
                <c:pt idx="17">
                  <c:v>12.445</c:v>
                </c:pt>
                <c:pt idx="18">
                  <c:v>15.521000000000001</c:v>
                </c:pt>
                <c:pt idx="19">
                  <c:v>9.0039999999999996</c:v>
                </c:pt>
                <c:pt idx="20">
                  <c:v>25.151</c:v>
                </c:pt>
                <c:pt idx="21">
                  <c:v>25.984999999999999</c:v>
                </c:pt>
                <c:pt idx="22">
                  <c:v>8.2759999999999998</c:v>
                </c:pt>
                <c:pt idx="23">
                  <c:v>7.6020000000000003</c:v>
                </c:pt>
                <c:pt idx="24">
                  <c:v>6.6859999999999999</c:v>
                </c:pt>
                <c:pt idx="25">
                  <c:v>3.89</c:v>
                </c:pt>
                <c:pt idx="26">
                  <c:v>1.649</c:v>
                </c:pt>
                <c:pt idx="27">
                  <c:v>5.4889999999999999</c:v>
                </c:pt>
                <c:pt idx="28">
                  <c:v>3.1379999999999999</c:v>
                </c:pt>
                <c:pt idx="29">
                  <c:v>3.62</c:v>
                </c:pt>
                <c:pt idx="30">
                  <c:v>3.0390000000000001</c:v>
                </c:pt>
                <c:pt idx="31">
                  <c:v>3.2569999999999997</c:v>
                </c:pt>
                <c:pt idx="32">
                  <c:v>3.1070000000000002</c:v>
                </c:pt>
                <c:pt idx="33">
                  <c:v>8.2560000000000002</c:v>
                </c:pt>
                <c:pt idx="34">
                  <c:v>8.4329999999999998</c:v>
                </c:pt>
                <c:pt idx="35">
                  <c:v>9.6980000000000004</c:v>
                </c:pt>
                <c:pt idx="36">
                  <c:v>7.1709999999999994</c:v>
                </c:pt>
                <c:pt idx="37">
                  <c:v>13.058999999999999</c:v>
                </c:pt>
                <c:pt idx="38">
                  <c:v>19.658999999999999</c:v>
                </c:pt>
                <c:pt idx="39">
                  <c:v>11.02</c:v>
                </c:pt>
                <c:pt idx="40">
                  <c:v>12.731999999999999</c:v>
                </c:pt>
                <c:pt idx="41">
                  <c:v>15.163</c:v>
                </c:pt>
                <c:pt idx="42">
                  <c:v>8.5949999999999989</c:v>
                </c:pt>
                <c:pt idx="43">
                  <c:v>6.4190000000000005</c:v>
                </c:pt>
                <c:pt idx="44">
                  <c:v>18.837</c:v>
                </c:pt>
                <c:pt idx="45">
                  <c:v>12.815000000000001</c:v>
                </c:pt>
                <c:pt idx="46">
                  <c:v>6.157</c:v>
                </c:pt>
                <c:pt idx="47">
                  <c:v>7.8</c:v>
                </c:pt>
                <c:pt idx="48">
                  <c:v>7.4250000000000007</c:v>
                </c:pt>
                <c:pt idx="49">
                  <c:v>3.8970000000000002</c:v>
                </c:pt>
                <c:pt idx="50">
                  <c:v>4.1590000000000007</c:v>
                </c:pt>
                <c:pt idx="51">
                  <c:v>6.0329999999999995</c:v>
                </c:pt>
                <c:pt idx="52">
                  <c:v>5.3309999999999995</c:v>
                </c:pt>
                <c:pt idx="53">
                  <c:v>6.1620000000000008</c:v>
                </c:pt>
                <c:pt idx="54">
                  <c:v>4.6669999999999998</c:v>
                </c:pt>
                <c:pt idx="55">
                  <c:v>3.0510000000000002</c:v>
                </c:pt>
                <c:pt idx="56">
                  <c:v>4.0840000000000005</c:v>
                </c:pt>
                <c:pt idx="57">
                  <c:v>11.42</c:v>
                </c:pt>
                <c:pt idx="58">
                  <c:v>13.649000000000001</c:v>
                </c:pt>
                <c:pt idx="59">
                  <c:v>18.292999999999999</c:v>
                </c:pt>
                <c:pt idx="60">
                  <c:v>7.2679999999999998</c:v>
                </c:pt>
                <c:pt idx="61">
                  <c:v>12.077999999999999</c:v>
                </c:pt>
                <c:pt idx="62">
                  <c:v>17.155999999999999</c:v>
                </c:pt>
                <c:pt idx="63">
                  <c:v>15.552</c:v>
                </c:pt>
                <c:pt idx="64">
                  <c:v>14.882999999999999</c:v>
                </c:pt>
                <c:pt idx="65">
                  <c:v>21.795999999999999</c:v>
                </c:pt>
                <c:pt idx="66">
                  <c:v>16.169</c:v>
                </c:pt>
                <c:pt idx="67">
                  <c:v>6.0460000000000003</c:v>
                </c:pt>
                <c:pt idx="68">
                  <c:v>22.764000000000003</c:v>
                </c:pt>
                <c:pt idx="69">
                  <c:v>22.970999999999997</c:v>
                </c:pt>
                <c:pt idx="70">
                  <c:v>12.862</c:v>
                </c:pt>
                <c:pt idx="71">
                  <c:v>9.27</c:v>
                </c:pt>
                <c:pt idx="72">
                  <c:v>5.77</c:v>
                </c:pt>
                <c:pt idx="73">
                  <c:v>5.827</c:v>
                </c:pt>
                <c:pt idx="74">
                  <c:v>5.516</c:v>
                </c:pt>
                <c:pt idx="75">
                  <c:v>3.9329999999999998</c:v>
                </c:pt>
                <c:pt idx="76">
                  <c:v>3.5209999999999999</c:v>
                </c:pt>
                <c:pt idx="77">
                  <c:v>4.4420000000000002</c:v>
                </c:pt>
                <c:pt idx="78">
                  <c:v>5.0969999999999995</c:v>
                </c:pt>
                <c:pt idx="79">
                  <c:v>2.8209999999999997</c:v>
                </c:pt>
                <c:pt idx="80">
                  <c:v>3.1019999999999999</c:v>
                </c:pt>
                <c:pt idx="81">
                  <c:v>7.5139999999999993</c:v>
                </c:pt>
                <c:pt idx="82">
                  <c:v>18.753</c:v>
                </c:pt>
                <c:pt idx="83">
                  <c:v>14.058</c:v>
                </c:pt>
                <c:pt idx="84">
                  <c:v>6.5529999999999999</c:v>
                </c:pt>
                <c:pt idx="85">
                  <c:v>11.875</c:v>
                </c:pt>
                <c:pt idx="86">
                  <c:v>19.46</c:v>
                </c:pt>
                <c:pt idx="87">
                  <c:v>11.725999999999999</c:v>
                </c:pt>
                <c:pt idx="88">
                  <c:v>8.4529999999999994</c:v>
                </c:pt>
                <c:pt idx="89">
                  <c:v>12.605</c:v>
                </c:pt>
                <c:pt idx="90">
                  <c:v>16.503</c:v>
                </c:pt>
                <c:pt idx="91">
                  <c:v>8.0090000000000003</c:v>
                </c:pt>
                <c:pt idx="92">
                  <c:v>17.492000000000001</c:v>
                </c:pt>
                <c:pt idx="93">
                  <c:v>21.141000000000002</c:v>
                </c:pt>
                <c:pt idx="94">
                  <c:v>9.9290000000000003</c:v>
                </c:pt>
                <c:pt idx="95">
                  <c:v>8.3520000000000003</c:v>
                </c:pt>
                <c:pt idx="96">
                  <c:v>4.7370000000000001</c:v>
                </c:pt>
                <c:pt idx="97">
                  <c:v>4.2840000000000007</c:v>
                </c:pt>
                <c:pt idx="98">
                  <c:v>3.9359999999999999</c:v>
                </c:pt>
                <c:pt idx="99">
                  <c:v>5.92</c:v>
                </c:pt>
                <c:pt idx="100">
                  <c:v>3.673</c:v>
                </c:pt>
                <c:pt idx="101">
                  <c:v>5.5869999999999997</c:v>
                </c:pt>
                <c:pt idx="102">
                  <c:v>3.7050000000000001</c:v>
                </c:pt>
                <c:pt idx="103">
                  <c:v>2.3360000000000003</c:v>
                </c:pt>
                <c:pt idx="104">
                  <c:v>3.6339999999999999</c:v>
                </c:pt>
                <c:pt idx="105">
                  <c:v>9.3680000000000003</c:v>
                </c:pt>
                <c:pt idx="106">
                  <c:v>11.446</c:v>
                </c:pt>
                <c:pt idx="107">
                  <c:v>10.148</c:v>
                </c:pt>
                <c:pt idx="108">
                  <c:v>4.3600000000000003</c:v>
                </c:pt>
                <c:pt idx="109">
                  <c:v>13.729000000000001</c:v>
                </c:pt>
                <c:pt idx="110">
                  <c:v>12.83</c:v>
                </c:pt>
                <c:pt idx="111">
                  <c:v>17.301000000000002</c:v>
                </c:pt>
                <c:pt idx="112">
                  <c:v>8.2769999999999992</c:v>
                </c:pt>
                <c:pt idx="113">
                  <c:v>12.975999999999999</c:v>
                </c:pt>
                <c:pt idx="114">
                  <c:v>11.073</c:v>
                </c:pt>
                <c:pt idx="115">
                  <c:v>6.9450000000000003</c:v>
                </c:pt>
                <c:pt idx="116">
                  <c:v>17.516000000000002</c:v>
                </c:pt>
                <c:pt idx="117">
                  <c:v>12.48</c:v>
                </c:pt>
                <c:pt idx="118">
                  <c:v>8.4380000000000006</c:v>
                </c:pt>
                <c:pt idx="119">
                  <c:v>7.6029999999999998</c:v>
                </c:pt>
                <c:pt idx="120">
                  <c:v>7.0519999999999996</c:v>
                </c:pt>
                <c:pt idx="121">
                  <c:v>4.24</c:v>
                </c:pt>
                <c:pt idx="122">
                  <c:v>4.6579999999999995</c:v>
                </c:pt>
                <c:pt idx="123">
                  <c:v>3.468</c:v>
                </c:pt>
                <c:pt idx="124">
                  <c:v>6.0969999999999995</c:v>
                </c:pt>
                <c:pt idx="125">
                  <c:v>5.2840000000000007</c:v>
                </c:pt>
                <c:pt idx="126">
                  <c:v>5.0169999999999995</c:v>
                </c:pt>
                <c:pt idx="127">
                  <c:v>3.0949999999999998</c:v>
                </c:pt>
                <c:pt idx="128">
                  <c:v>2.62</c:v>
                </c:pt>
                <c:pt idx="129">
                  <c:v>7.3319999999999999</c:v>
                </c:pt>
                <c:pt idx="130">
                  <c:v>12.55</c:v>
                </c:pt>
                <c:pt idx="131">
                  <c:v>9.3879999999999999</c:v>
                </c:pt>
                <c:pt idx="132">
                  <c:v>4.766</c:v>
                </c:pt>
                <c:pt idx="133">
                  <c:v>12.054</c:v>
                </c:pt>
                <c:pt idx="134">
                  <c:v>14.384</c:v>
                </c:pt>
                <c:pt idx="135">
                  <c:v>15.272</c:v>
                </c:pt>
                <c:pt idx="136">
                  <c:v>11.612</c:v>
                </c:pt>
                <c:pt idx="137">
                  <c:v>14.047000000000001</c:v>
                </c:pt>
                <c:pt idx="138">
                  <c:v>9.2360000000000007</c:v>
                </c:pt>
                <c:pt idx="139">
                  <c:v>7.4180000000000001</c:v>
                </c:pt>
                <c:pt idx="140">
                  <c:v>16.143000000000001</c:v>
                </c:pt>
                <c:pt idx="141">
                  <c:v>14.757000000000001</c:v>
                </c:pt>
                <c:pt idx="142">
                  <c:v>9.7159999999999993</c:v>
                </c:pt>
                <c:pt idx="143">
                  <c:v>6.5419999999999998</c:v>
                </c:pt>
                <c:pt idx="144">
                  <c:v>4.4239999999999995</c:v>
                </c:pt>
                <c:pt idx="145">
                  <c:v>3.6639999999999997</c:v>
                </c:pt>
                <c:pt idx="146">
                  <c:v>5.1260000000000003</c:v>
                </c:pt>
                <c:pt idx="147">
                  <c:v>3.2009999999999996</c:v>
                </c:pt>
                <c:pt idx="148">
                  <c:v>3.794</c:v>
                </c:pt>
                <c:pt idx="149">
                  <c:v>3.927</c:v>
                </c:pt>
                <c:pt idx="150">
                  <c:v>2.548</c:v>
                </c:pt>
                <c:pt idx="151">
                  <c:v>2.3529999999999998</c:v>
                </c:pt>
                <c:pt idx="152">
                  <c:v>2.8079999999999998</c:v>
                </c:pt>
                <c:pt idx="153">
                  <c:v>7.2389999999999999</c:v>
                </c:pt>
                <c:pt idx="154">
                  <c:v>14.062999999999999</c:v>
                </c:pt>
                <c:pt idx="155">
                  <c:v>8.6490000000000009</c:v>
                </c:pt>
                <c:pt idx="156">
                  <c:v>2.4050000000000002</c:v>
                </c:pt>
                <c:pt idx="157">
                  <c:v>7.032</c:v>
                </c:pt>
                <c:pt idx="158">
                  <c:v>12.308</c:v>
                </c:pt>
                <c:pt idx="159">
                  <c:v>8.3640000000000008</c:v>
                </c:pt>
                <c:pt idx="160">
                  <c:v>13.899000000000001</c:v>
                </c:pt>
                <c:pt idx="161">
                  <c:v>9.8359999999999985</c:v>
                </c:pt>
                <c:pt idx="162">
                  <c:v>7.2430000000000003</c:v>
                </c:pt>
                <c:pt idx="163">
                  <c:v>6.1539999999999999</c:v>
                </c:pt>
                <c:pt idx="164">
                  <c:v>15.859</c:v>
                </c:pt>
                <c:pt idx="165">
                  <c:v>4.867</c:v>
                </c:pt>
                <c:pt idx="166">
                  <c:v>6.758</c:v>
                </c:pt>
                <c:pt idx="167">
                  <c:v>5.0419999999999998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15-4A6C-BE5A-AE8B50E8E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157776"/>
        <c:axId val="251155856"/>
        <c:extLst>
          <c:ext xmlns:c15="http://schemas.microsoft.com/office/drawing/2012/chart" uri="{02D57815-91ED-43cb-92C2-25804820EDAC}">
            <c15:filteredLineSeries>
              <c15:ser>
                <c:idx val="9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Graphs!$C$5</c15:sqref>
                        </c15:formulaRef>
                      </c:ext>
                    </c:extLst>
                    <c:strCache>
                      <c:ptCount val="1"/>
                      <c:pt idx="0">
                        <c:v>Load A</c:v>
                      </c:pt>
                    </c:strCache>
                  </c:strRef>
                </c:tx>
                <c:spPr>
                  <a:ln w="12700" cap="rnd">
                    <a:solidFill>
                      <a:schemeClr val="tx1">
                        <a:lumMod val="65000"/>
                        <a:lumOff val="3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Graphs!$C$6:$C$173</c15:sqref>
                        </c15:formulaRef>
                      </c:ext>
                    </c:extLst>
                    <c:numCache>
                      <c:formatCode>General</c:formatCode>
                      <c:ptCount val="168"/>
                      <c:pt idx="0">
                        <c:v>3.5</c:v>
                      </c:pt>
                      <c:pt idx="1">
                        <c:v>1.92</c:v>
                      </c:pt>
                      <c:pt idx="2">
                        <c:v>2.82</c:v>
                      </c:pt>
                      <c:pt idx="3">
                        <c:v>3.46</c:v>
                      </c:pt>
                      <c:pt idx="4">
                        <c:v>3.48</c:v>
                      </c:pt>
                      <c:pt idx="5">
                        <c:v>3.36</c:v>
                      </c:pt>
                      <c:pt idx="6">
                        <c:v>2.48</c:v>
                      </c:pt>
                      <c:pt idx="7">
                        <c:v>1.84</c:v>
                      </c:pt>
                      <c:pt idx="8">
                        <c:v>1.82</c:v>
                      </c:pt>
                      <c:pt idx="9">
                        <c:v>4</c:v>
                      </c:pt>
                      <c:pt idx="10">
                        <c:v>6.28</c:v>
                      </c:pt>
                      <c:pt idx="11">
                        <c:v>8.14</c:v>
                      </c:pt>
                      <c:pt idx="12">
                        <c:v>7.82</c:v>
                      </c:pt>
                      <c:pt idx="13">
                        <c:v>12.04</c:v>
                      </c:pt>
                      <c:pt idx="14">
                        <c:v>11.46</c:v>
                      </c:pt>
                      <c:pt idx="15">
                        <c:v>4.08</c:v>
                      </c:pt>
                      <c:pt idx="16">
                        <c:v>7</c:v>
                      </c:pt>
                      <c:pt idx="17">
                        <c:v>6.5</c:v>
                      </c:pt>
                      <c:pt idx="18">
                        <c:v>11.02</c:v>
                      </c:pt>
                      <c:pt idx="19">
                        <c:v>5.42</c:v>
                      </c:pt>
                      <c:pt idx="20">
                        <c:v>21.28</c:v>
                      </c:pt>
                      <c:pt idx="21">
                        <c:v>23.28</c:v>
                      </c:pt>
                      <c:pt idx="22">
                        <c:v>6.32</c:v>
                      </c:pt>
                      <c:pt idx="23">
                        <c:v>5.46</c:v>
                      </c:pt>
                      <c:pt idx="24">
                        <c:v>4.38</c:v>
                      </c:pt>
                      <c:pt idx="25">
                        <c:v>2.02</c:v>
                      </c:pt>
                      <c:pt idx="26">
                        <c:v>0.86</c:v>
                      </c:pt>
                      <c:pt idx="27">
                        <c:v>2.84</c:v>
                      </c:pt>
                      <c:pt idx="28">
                        <c:v>1.62</c:v>
                      </c:pt>
                      <c:pt idx="29">
                        <c:v>1.88</c:v>
                      </c:pt>
                      <c:pt idx="30">
                        <c:v>1.58</c:v>
                      </c:pt>
                      <c:pt idx="31">
                        <c:v>1.48</c:v>
                      </c:pt>
                      <c:pt idx="32">
                        <c:v>2.62</c:v>
                      </c:pt>
                      <c:pt idx="33">
                        <c:v>2.68</c:v>
                      </c:pt>
                      <c:pt idx="34">
                        <c:v>4.0599999999999996</c:v>
                      </c:pt>
                      <c:pt idx="35">
                        <c:v>4.66</c:v>
                      </c:pt>
                      <c:pt idx="36">
                        <c:v>6.02</c:v>
                      </c:pt>
                      <c:pt idx="37">
                        <c:v>11.7</c:v>
                      </c:pt>
                      <c:pt idx="38">
                        <c:v>12.08</c:v>
                      </c:pt>
                      <c:pt idx="39">
                        <c:v>5.3</c:v>
                      </c:pt>
                      <c:pt idx="40">
                        <c:v>6.12</c:v>
                      </c:pt>
                      <c:pt idx="41">
                        <c:v>7.92</c:v>
                      </c:pt>
                      <c:pt idx="42">
                        <c:v>6.1</c:v>
                      </c:pt>
                      <c:pt idx="43">
                        <c:v>3.86</c:v>
                      </c:pt>
                      <c:pt idx="44">
                        <c:v>15.94</c:v>
                      </c:pt>
                      <c:pt idx="45">
                        <c:v>11.48</c:v>
                      </c:pt>
                      <c:pt idx="46">
                        <c:v>4.7</c:v>
                      </c:pt>
                      <c:pt idx="47">
                        <c:v>5.6</c:v>
                      </c:pt>
                      <c:pt idx="48">
                        <c:v>4.8600000000000003</c:v>
                      </c:pt>
                      <c:pt idx="49">
                        <c:v>2.02</c:v>
                      </c:pt>
                      <c:pt idx="50">
                        <c:v>2.16</c:v>
                      </c:pt>
                      <c:pt idx="51">
                        <c:v>3.12</c:v>
                      </c:pt>
                      <c:pt idx="52">
                        <c:v>2.76</c:v>
                      </c:pt>
                      <c:pt idx="53">
                        <c:v>3.2</c:v>
                      </c:pt>
                      <c:pt idx="54">
                        <c:v>2.42</c:v>
                      </c:pt>
                      <c:pt idx="55">
                        <c:v>1.38</c:v>
                      </c:pt>
                      <c:pt idx="56">
                        <c:v>1.84</c:v>
                      </c:pt>
                      <c:pt idx="57">
                        <c:v>3.7</c:v>
                      </c:pt>
                      <c:pt idx="58">
                        <c:v>6.56</c:v>
                      </c:pt>
                      <c:pt idx="59">
                        <c:v>8.8000000000000007</c:v>
                      </c:pt>
                      <c:pt idx="60">
                        <c:v>6.1</c:v>
                      </c:pt>
                      <c:pt idx="61">
                        <c:v>10.82</c:v>
                      </c:pt>
                      <c:pt idx="62">
                        <c:v>10.54</c:v>
                      </c:pt>
                      <c:pt idx="63">
                        <c:v>7.48</c:v>
                      </c:pt>
                      <c:pt idx="64">
                        <c:v>7.16</c:v>
                      </c:pt>
                      <c:pt idx="65">
                        <c:v>11.38</c:v>
                      </c:pt>
                      <c:pt idx="66">
                        <c:v>11.48</c:v>
                      </c:pt>
                      <c:pt idx="67">
                        <c:v>3.64</c:v>
                      </c:pt>
                      <c:pt idx="68">
                        <c:v>19.260000000000002</c:v>
                      </c:pt>
                      <c:pt idx="69">
                        <c:v>20.58</c:v>
                      </c:pt>
                      <c:pt idx="70">
                        <c:v>9.82</c:v>
                      </c:pt>
                      <c:pt idx="71">
                        <c:v>6.66</c:v>
                      </c:pt>
                      <c:pt idx="72">
                        <c:v>3.78</c:v>
                      </c:pt>
                      <c:pt idx="73">
                        <c:v>3.02</c:v>
                      </c:pt>
                      <c:pt idx="74">
                        <c:v>2.86</c:v>
                      </c:pt>
                      <c:pt idx="75">
                        <c:v>2.04</c:v>
                      </c:pt>
                      <c:pt idx="76">
                        <c:v>1.82</c:v>
                      </c:pt>
                      <c:pt idx="77">
                        <c:v>2.2999999999999998</c:v>
                      </c:pt>
                      <c:pt idx="78">
                        <c:v>2.64</c:v>
                      </c:pt>
                      <c:pt idx="79">
                        <c:v>1.28</c:v>
                      </c:pt>
                      <c:pt idx="80">
                        <c:v>1.4</c:v>
                      </c:pt>
                      <c:pt idx="81">
                        <c:v>2.44</c:v>
                      </c:pt>
                      <c:pt idx="82">
                        <c:v>9.02</c:v>
                      </c:pt>
                      <c:pt idx="83">
                        <c:v>6.76</c:v>
                      </c:pt>
                      <c:pt idx="84">
                        <c:v>5.5</c:v>
                      </c:pt>
                      <c:pt idx="85">
                        <c:v>10.64</c:v>
                      </c:pt>
                      <c:pt idx="86">
                        <c:v>11.96</c:v>
                      </c:pt>
                      <c:pt idx="87">
                        <c:v>5.64</c:v>
                      </c:pt>
                      <c:pt idx="88">
                        <c:v>4.0599999999999996</c:v>
                      </c:pt>
                      <c:pt idx="89">
                        <c:v>6.58</c:v>
                      </c:pt>
                      <c:pt idx="90">
                        <c:v>11.72</c:v>
                      </c:pt>
                      <c:pt idx="91">
                        <c:v>4.82</c:v>
                      </c:pt>
                      <c:pt idx="92">
                        <c:v>14.8</c:v>
                      </c:pt>
                      <c:pt idx="93">
                        <c:v>18.940000000000001</c:v>
                      </c:pt>
                      <c:pt idx="94">
                        <c:v>7.58</c:v>
                      </c:pt>
                      <c:pt idx="95">
                        <c:v>6</c:v>
                      </c:pt>
                      <c:pt idx="96">
                        <c:v>3.1</c:v>
                      </c:pt>
                      <c:pt idx="97">
                        <c:v>2.2200000000000002</c:v>
                      </c:pt>
                      <c:pt idx="98">
                        <c:v>2.04</c:v>
                      </c:pt>
                      <c:pt idx="99">
                        <c:v>3.06</c:v>
                      </c:pt>
                      <c:pt idx="100">
                        <c:v>1.9</c:v>
                      </c:pt>
                      <c:pt idx="101">
                        <c:v>2.9</c:v>
                      </c:pt>
                      <c:pt idx="102">
                        <c:v>1.92</c:v>
                      </c:pt>
                      <c:pt idx="103">
                        <c:v>1.06</c:v>
                      </c:pt>
                      <c:pt idx="104">
                        <c:v>1.64</c:v>
                      </c:pt>
                      <c:pt idx="105">
                        <c:v>3.04</c:v>
                      </c:pt>
                      <c:pt idx="106">
                        <c:v>5.5</c:v>
                      </c:pt>
                      <c:pt idx="107">
                        <c:v>4.88</c:v>
                      </c:pt>
                      <c:pt idx="108">
                        <c:v>3.66</c:v>
                      </c:pt>
                      <c:pt idx="109">
                        <c:v>12.3</c:v>
                      </c:pt>
                      <c:pt idx="110">
                        <c:v>7.88</c:v>
                      </c:pt>
                      <c:pt idx="111">
                        <c:v>8.32</c:v>
                      </c:pt>
                      <c:pt idx="112">
                        <c:v>3.98</c:v>
                      </c:pt>
                      <c:pt idx="113">
                        <c:v>6.78</c:v>
                      </c:pt>
                      <c:pt idx="114">
                        <c:v>7.86</c:v>
                      </c:pt>
                      <c:pt idx="115">
                        <c:v>4.18</c:v>
                      </c:pt>
                      <c:pt idx="116">
                        <c:v>14.82</c:v>
                      </c:pt>
                      <c:pt idx="117">
                        <c:v>11.18</c:v>
                      </c:pt>
                      <c:pt idx="118">
                        <c:v>6.44</c:v>
                      </c:pt>
                      <c:pt idx="119">
                        <c:v>5.46</c:v>
                      </c:pt>
                      <c:pt idx="120">
                        <c:v>4.62</c:v>
                      </c:pt>
                      <c:pt idx="121">
                        <c:v>2.2000000000000002</c:v>
                      </c:pt>
                      <c:pt idx="122">
                        <c:v>2.42</c:v>
                      </c:pt>
                      <c:pt idx="123">
                        <c:v>1.8</c:v>
                      </c:pt>
                      <c:pt idx="124">
                        <c:v>3.16</c:v>
                      </c:pt>
                      <c:pt idx="125">
                        <c:v>2.74</c:v>
                      </c:pt>
                      <c:pt idx="126">
                        <c:v>2.6</c:v>
                      </c:pt>
                      <c:pt idx="127">
                        <c:v>1.4</c:v>
                      </c:pt>
                      <c:pt idx="128">
                        <c:v>1.18</c:v>
                      </c:pt>
                      <c:pt idx="129">
                        <c:v>2.38</c:v>
                      </c:pt>
                      <c:pt idx="130">
                        <c:v>6.04</c:v>
                      </c:pt>
                      <c:pt idx="131">
                        <c:v>4.5199999999999996</c:v>
                      </c:pt>
                      <c:pt idx="132">
                        <c:v>4</c:v>
                      </c:pt>
                      <c:pt idx="133">
                        <c:v>10.8</c:v>
                      </c:pt>
                      <c:pt idx="134">
                        <c:v>8.84</c:v>
                      </c:pt>
                      <c:pt idx="135">
                        <c:v>7.34</c:v>
                      </c:pt>
                      <c:pt idx="136">
                        <c:v>5.58</c:v>
                      </c:pt>
                      <c:pt idx="137">
                        <c:v>7.34</c:v>
                      </c:pt>
                      <c:pt idx="138">
                        <c:v>6.56</c:v>
                      </c:pt>
                      <c:pt idx="139">
                        <c:v>4.46</c:v>
                      </c:pt>
                      <c:pt idx="140">
                        <c:v>13.66</c:v>
                      </c:pt>
                      <c:pt idx="141">
                        <c:v>13.22</c:v>
                      </c:pt>
                      <c:pt idx="142">
                        <c:v>7.42</c:v>
                      </c:pt>
                      <c:pt idx="143">
                        <c:v>4.7</c:v>
                      </c:pt>
                      <c:pt idx="144">
                        <c:v>2.9</c:v>
                      </c:pt>
                      <c:pt idx="145">
                        <c:v>1.9</c:v>
                      </c:pt>
                      <c:pt idx="146">
                        <c:v>2.66</c:v>
                      </c:pt>
                      <c:pt idx="147">
                        <c:v>1.66</c:v>
                      </c:pt>
                      <c:pt idx="148">
                        <c:v>1.96</c:v>
                      </c:pt>
                      <c:pt idx="149">
                        <c:v>2.04</c:v>
                      </c:pt>
                      <c:pt idx="150">
                        <c:v>1.32</c:v>
                      </c:pt>
                      <c:pt idx="151">
                        <c:v>1.06</c:v>
                      </c:pt>
                      <c:pt idx="152">
                        <c:v>1.26</c:v>
                      </c:pt>
                      <c:pt idx="153">
                        <c:v>2.34</c:v>
                      </c:pt>
                      <c:pt idx="154">
                        <c:v>6.76</c:v>
                      </c:pt>
                      <c:pt idx="155">
                        <c:v>4.16</c:v>
                      </c:pt>
                      <c:pt idx="156">
                        <c:v>2.02</c:v>
                      </c:pt>
                      <c:pt idx="157">
                        <c:v>6.3</c:v>
                      </c:pt>
                      <c:pt idx="158">
                        <c:v>7.56</c:v>
                      </c:pt>
                      <c:pt idx="159">
                        <c:v>4.0199999999999996</c:v>
                      </c:pt>
                      <c:pt idx="160">
                        <c:v>6.68</c:v>
                      </c:pt>
                      <c:pt idx="161">
                        <c:v>5.14</c:v>
                      </c:pt>
                      <c:pt idx="162">
                        <c:v>5.14</c:v>
                      </c:pt>
                      <c:pt idx="163">
                        <c:v>3.7</c:v>
                      </c:pt>
                      <c:pt idx="164">
                        <c:v>13.42</c:v>
                      </c:pt>
                      <c:pt idx="165">
                        <c:v>4.3600000000000003</c:v>
                      </c:pt>
                      <c:pt idx="166">
                        <c:v>5.16</c:v>
                      </c:pt>
                      <c:pt idx="167">
                        <c:v>3.62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515-4A6C-BE5A-AE8B50E8E15C}"/>
                  </c:ext>
                </c:extLst>
              </c15:ser>
            </c15:filteredLineSeries>
            <c15:filteredLine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Graphs!$F$5</c15:sqref>
                        </c15:formulaRef>
                      </c:ext>
                    </c:extLst>
                    <c:strCache>
                      <c:ptCount val="1"/>
                      <c:pt idx="0">
                        <c:v>Total Load</c:v>
                      </c:pt>
                    </c:strCache>
                  </c:strRef>
                </c:tx>
                <c:spPr>
                  <a:ln w="19050" cap="rnd">
                    <a:solidFill>
                      <a:schemeClr val="bg1">
                        <a:lumMod val="5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Graphs!$F$6:$F$173</c15:sqref>
                        </c15:formulaRef>
                      </c:ext>
                    </c:extLst>
                    <c:numCache>
                      <c:formatCode>General</c:formatCode>
                      <c:ptCount val="168"/>
                      <c:pt idx="0">
                        <c:v>5.34</c:v>
                      </c:pt>
                      <c:pt idx="1">
                        <c:v>3.6970000000000001</c:v>
                      </c:pt>
                      <c:pt idx="2">
                        <c:v>6.2359742871401753</c:v>
                      </c:pt>
                      <c:pt idx="3">
                        <c:v>23.040616000401847</c:v>
                      </c:pt>
                      <c:pt idx="4">
                        <c:v>23.04425400040185</c:v>
                      </c:pt>
                      <c:pt idx="5">
                        <c:v>23.018360000401852</c:v>
                      </c:pt>
                      <c:pt idx="6">
                        <c:v>4.7880000000000003</c:v>
                      </c:pt>
                      <c:pt idx="7">
                        <c:v>4.0609999999999999</c:v>
                      </c:pt>
                      <c:pt idx="8">
                        <c:v>4.0469999999999997</c:v>
                      </c:pt>
                      <c:pt idx="9">
                        <c:v>12.323</c:v>
                      </c:pt>
                      <c:pt idx="10">
                        <c:v>13.064</c:v>
                      </c:pt>
                      <c:pt idx="11">
                        <c:v>16.937000000000001</c:v>
                      </c:pt>
                      <c:pt idx="12">
                        <c:v>12.38</c:v>
                      </c:pt>
                      <c:pt idx="13">
                        <c:v>17.25</c:v>
                      </c:pt>
                      <c:pt idx="14">
                        <c:v>18.651</c:v>
                      </c:pt>
                      <c:pt idx="15">
                        <c:v>9.6134026401764014</c:v>
                      </c:pt>
                      <c:pt idx="16">
                        <c:v>14.551</c:v>
                      </c:pt>
                      <c:pt idx="17">
                        <c:v>12.456196603200972</c:v>
                      </c:pt>
                      <c:pt idx="18">
                        <c:v>11.02</c:v>
                      </c:pt>
                      <c:pt idx="19">
                        <c:v>5.42</c:v>
                      </c:pt>
                      <c:pt idx="20">
                        <c:v>21.28</c:v>
                      </c:pt>
                      <c:pt idx="21">
                        <c:v>23.28</c:v>
                      </c:pt>
                      <c:pt idx="22">
                        <c:v>6.32</c:v>
                      </c:pt>
                      <c:pt idx="23">
                        <c:v>5.4600000000000009</c:v>
                      </c:pt>
                      <c:pt idx="24">
                        <c:v>6.6876799999999967</c:v>
                      </c:pt>
                      <c:pt idx="25">
                        <c:v>3.8916799999999969</c:v>
                      </c:pt>
                      <c:pt idx="26">
                        <c:v>15.618150923743944</c:v>
                      </c:pt>
                      <c:pt idx="27">
                        <c:v>22.912323000401852</c:v>
                      </c:pt>
                      <c:pt idx="28">
                        <c:v>22.66076600040185</c:v>
                      </c:pt>
                      <c:pt idx="29">
                        <c:v>22.712340000401852</c:v>
                      </c:pt>
                      <c:pt idx="30">
                        <c:v>27.000000000450001</c:v>
                      </c:pt>
                      <c:pt idx="31">
                        <c:v>5.9958443445182628</c:v>
                      </c:pt>
                      <c:pt idx="32">
                        <c:v>7.22</c:v>
                      </c:pt>
                      <c:pt idx="33">
                        <c:v>16.11</c:v>
                      </c:pt>
                      <c:pt idx="34">
                        <c:v>30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24.052723</c:v>
                      </c:pt>
                      <c:pt idx="38">
                        <c:v>22.160293000000003</c:v>
                      </c:pt>
                      <c:pt idx="39">
                        <c:v>21.68242</c:v>
                      </c:pt>
                      <c:pt idx="40">
                        <c:v>13.007043999999999</c:v>
                      </c:pt>
                      <c:pt idx="41">
                        <c:v>15.163</c:v>
                      </c:pt>
                      <c:pt idx="42">
                        <c:v>8.5949999999999989</c:v>
                      </c:pt>
                      <c:pt idx="43">
                        <c:v>6.4190000000000005</c:v>
                      </c:pt>
                      <c:pt idx="44">
                        <c:v>18.837</c:v>
                      </c:pt>
                      <c:pt idx="45">
                        <c:v>12.815000000000001</c:v>
                      </c:pt>
                      <c:pt idx="46">
                        <c:v>6.157</c:v>
                      </c:pt>
                      <c:pt idx="47">
                        <c:v>7.8016799999999966</c:v>
                      </c:pt>
                      <c:pt idx="48">
                        <c:v>7.4266799999999975</c:v>
                      </c:pt>
                      <c:pt idx="49">
                        <c:v>3.9714698203121639</c:v>
                      </c:pt>
                      <c:pt idx="50">
                        <c:v>22.770013000571517</c:v>
                      </c:pt>
                      <c:pt idx="51">
                        <c:v>22.970531000571519</c:v>
                      </c:pt>
                      <c:pt idx="52">
                        <c:v>22.89541700057152</c:v>
                      </c:pt>
                      <c:pt idx="53">
                        <c:v>22.984334000571522</c:v>
                      </c:pt>
                      <c:pt idx="54">
                        <c:v>4.6669999999999998</c:v>
                      </c:pt>
                      <c:pt idx="55">
                        <c:v>3.0510000000000002</c:v>
                      </c:pt>
                      <c:pt idx="56">
                        <c:v>7.59</c:v>
                      </c:pt>
                      <c:pt idx="57">
                        <c:v>11.42</c:v>
                      </c:pt>
                      <c:pt idx="58">
                        <c:v>13.649000000000001</c:v>
                      </c:pt>
                      <c:pt idx="59">
                        <c:v>18.292999999999999</c:v>
                      </c:pt>
                      <c:pt idx="60">
                        <c:v>10.297056000000001</c:v>
                      </c:pt>
                      <c:pt idx="61">
                        <c:v>12.077999999999999</c:v>
                      </c:pt>
                      <c:pt idx="62">
                        <c:v>17.155999999999999</c:v>
                      </c:pt>
                      <c:pt idx="63">
                        <c:v>15.552</c:v>
                      </c:pt>
                      <c:pt idx="64">
                        <c:v>14.882999999999999</c:v>
                      </c:pt>
                      <c:pt idx="65">
                        <c:v>21.795999999999999</c:v>
                      </c:pt>
                      <c:pt idx="66">
                        <c:v>16.169</c:v>
                      </c:pt>
                      <c:pt idx="67">
                        <c:v>6.0460000000000003</c:v>
                      </c:pt>
                      <c:pt idx="68">
                        <c:v>22.764000000000003</c:v>
                      </c:pt>
                      <c:pt idx="69">
                        <c:v>22.970999999999997</c:v>
                      </c:pt>
                      <c:pt idx="70">
                        <c:v>12.863679999999997</c:v>
                      </c:pt>
                      <c:pt idx="71">
                        <c:v>9.2716799999999964</c:v>
                      </c:pt>
                      <c:pt idx="72">
                        <c:v>5.7716799999999964</c:v>
                      </c:pt>
                      <c:pt idx="73">
                        <c:v>5.8286799999999968</c:v>
                      </c:pt>
                      <c:pt idx="74">
                        <c:v>19.171750635833511</c:v>
                      </c:pt>
                      <c:pt idx="75">
                        <c:v>22.745831000571521</c:v>
                      </c:pt>
                      <c:pt idx="76">
                        <c:v>22.701747000571523</c:v>
                      </c:pt>
                      <c:pt idx="77">
                        <c:v>22.800294000571519</c:v>
                      </c:pt>
                      <c:pt idx="78">
                        <c:v>27.00000000064</c:v>
                      </c:pt>
                      <c:pt idx="79">
                        <c:v>13.417759585251313</c:v>
                      </c:pt>
                      <c:pt idx="80">
                        <c:v>9.41</c:v>
                      </c:pt>
                      <c:pt idx="81">
                        <c:v>7.5139999999999993</c:v>
                      </c:pt>
                      <c:pt idx="82">
                        <c:v>22.241951</c:v>
                      </c:pt>
                      <c:pt idx="83">
                        <c:v>28.294205999999996</c:v>
                      </c:pt>
                      <c:pt idx="84">
                        <c:v>27.491170999999998</c:v>
                      </c:pt>
                      <c:pt idx="85">
                        <c:v>20.59</c:v>
                      </c:pt>
                      <c:pt idx="86">
                        <c:v>19.46</c:v>
                      </c:pt>
                      <c:pt idx="87">
                        <c:v>12.08</c:v>
                      </c:pt>
                      <c:pt idx="88">
                        <c:v>11.3</c:v>
                      </c:pt>
                      <c:pt idx="89">
                        <c:v>12.605</c:v>
                      </c:pt>
                      <c:pt idx="90">
                        <c:v>16.503</c:v>
                      </c:pt>
                      <c:pt idx="91">
                        <c:v>8.0090000000000003</c:v>
                      </c:pt>
                      <c:pt idx="92">
                        <c:v>17.492000000000001</c:v>
                      </c:pt>
                      <c:pt idx="93">
                        <c:v>21.141000000000002</c:v>
                      </c:pt>
                      <c:pt idx="94">
                        <c:v>9.9290000000000003</c:v>
                      </c:pt>
                      <c:pt idx="95">
                        <c:v>8.3536799999999971</c:v>
                      </c:pt>
                      <c:pt idx="96">
                        <c:v>4.7386799999999969</c:v>
                      </c:pt>
                      <c:pt idx="97">
                        <c:v>4.2856799999999975</c:v>
                      </c:pt>
                      <c:pt idx="98">
                        <c:v>20.52459173894368</c:v>
                      </c:pt>
                      <c:pt idx="99">
                        <c:v>22.958440000571521</c:v>
                      </c:pt>
                      <c:pt idx="100">
                        <c:v>22.718011000571522</c:v>
                      </c:pt>
                      <c:pt idx="101">
                        <c:v>22.922809000571519</c:v>
                      </c:pt>
                      <c:pt idx="102">
                        <c:v>3.7050000000000001</c:v>
                      </c:pt>
                      <c:pt idx="103">
                        <c:v>2.3360000000000003</c:v>
                      </c:pt>
                      <c:pt idx="104">
                        <c:v>9.5152979999999996</c:v>
                      </c:pt>
                      <c:pt idx="105">
                        <c:v>9.3680000000000003</c:v>
                      </c:pt>
                      <c:pt idx="106">
                        <c:v>11.446</c:v>
                      </c:pt>
                      <c:pt idx="107">
                        <c:v>10.148</c:v>
                      </c:pt>
                      <c:pt idx="108">
                        <c:v>5.8334499999999991</c:v>
                      </c:pt>
                      <c:pt idx="109">
                        <c:v>15.730212999999999</c:v>
                      </c:pt>
                      <c:pt idx="110">
                        <c:v>12.83</c:v>
                      </c:pt>
                      <c:pt idx="111">
                        <c:v>17.301000000000002</c:v>
                      </c:pt>
                      <c:pt idx="112">
                        <c:v>8.2769999999999992</c:v>
                      </c:pt>
                      <c:pt idx="113">
                        <c:v>12.975999999999999</c:v>
                      </c:pt>
                      <c:pt idx="114">
                        <c:v>11.073</c:v>
                      </c:pt>
                      <c:pt idx="115">
                        <c:v>6.9450000000000003</c:v>
                      </c:pt>
                      <c:pt idx="116">
                        <c:v>17.516000000000002</c:v>
                      </c:pt>
                      <c:pt idx="117">
                        <c:v>12.48</c:v>
                      </c:pt>
                      <c:pt idx="118">
                        <c:v>8.4396799999999974</c:v>
                      </c:pt>
                      <c:pt idx="119">
                        <c:v>7.6046799999999966</c:v>
                      </c:pt>
                      <c:pt idx="120">
                        <c:v>7.0536799999999964</c:v>
                      </c:pt>
                      <c:pt idx="121">
                        <c:v>4.241679999999997</c:v>
                      </c:pt>
                      <c:pt idx="122">
                        <c:v>20.95109826421718</c:v>
                      </c:pt>
                      <c:pt idx="123">
                        <c:v>22.696076000571519</c:v>
                      </c:pt>
                      <c:pt idx="124">
                        <c:v>22.977379000571517</c:v>
                      </c:pt>
                      <c:pt idx="125">
                        <c:v>22.890388000571519</c:v>
                      </c:pt>
                      <c:pt idx="126">
                        <c:v>5.0169999999999995</c:v>
                      </c:pt>
                      <c:pt idx="127">
                        <c:v>3.0949999999999998</c:v>
                      </c:pt>
                      <c:pt idx="128">
                        <c:v>2.62</c:v>
                      </c:pt>
                      <c:pt idx="129">
                        <c:v>7.3319999999999999</c:v>
                      </c:pt>
                      <c:pt idx="130">
                        <c:v>12.55</c:v>
                      </c:pt>
                      <c:pt idx="131">
                        <c:v>9.3879999999999999</c:v>
                      </c:pt>
                      <c:pt idx="132">
                        <c:v>6.2876719999999997</c:v>
                      </c:pt>
                      <c:pt idx="133">
                        <c:v>12.054</c:v>
                      </c:pt>
                      <c:pt idx="134">
                        <c:v>14.384</c:v>
                      </c:pt>
                      <c:pt idx="135">
                        <c:v>15.272</c:v>
                      </c:pt>
                      <c:pt idx="136">
                        <c:v>11.612</c:v>
                      </c:pt>
                      <c:pt idx="137">
                        <c:v>14.047000000000001</c:v>
                      </c:pt>
                      <c:pt idx="138">
                        <c:v>9.2360000000000007</c:v>
                      </c:pt>
                      <c:pt idx="139">
                        <c:v>7.4180000000000001</c:v>
                      </c:pt>
                      <c:pt idx="140">
                        <c:v>16.143000000000001</c:v>
                      </c:pt>
                      <c:pt idx="141">
                        <c:v>14.757000000000001</c:v>
                      </c:pt>
                      <c:pt idx="142">
                        <c:v>9.7176799999999961</c:v>
                      </c:pt>
                      <c:pt idx="143">
                        <c:v>6.5436799999999966</c:v>
                      </c:pt>
                      <c:pt idx="144">
                        <c:v>4.4256799999999963</c:v>
                      </c:pt>
                      <c:pt idx="145">
                        <c:v>3.6656799999999965</c:v>
                      </c:pt>
                      <c:pt idx="146">
                        <c:v>17.911907822022187</c:v>
                      </c:pt>
                      <c:pt idx="147">
                        <c:v>22.667507000571522</c:v>
                      </c:pt>
                      <c:pt idx="148">
                        <c:v>22.730958000571519</c:v>
                      </c:pt>
                      <c:pt idx="149">
                        <c:v>22.745189000571521</c:v>
                      </c:pt>
                      <c:pt idx="150">
                        <c:v>2.548</c:v>
                      </c:pt>
                      <c:pt idx="151">
                        <c:v>2.3529999999999998</c:v>
                      </c:pt>
                      <c:pt idx="152">
                        <c:v>2.8079999999999998</c:v>
                      </c:pt>
                      <c:pt idx="153">
                        <c:v>9.2799999999999994</c:v>
                      </c:pt>
                      <c:pt idx="154">
                        <c:v>14.062999999999999</c:v>
                      </c:pt>
                      <c:pt idx="155">
                        <c:v>8.6490000000000009</c:v>
                      </c:pt>
                      <c:pt idx="156">
                        <c:v>9.48</c:v>
                      </c:pt>
                      <c:pt idx="157">
                        <c:v>7.032</c:v>
                      </c:pt>
                      <c:pt idx="158">
                        <c:v>12.308</c:v>
                      </c:pt>
                      <c:pt idx="159">
                        <c:v>10.28</c:v>
                      </c:pt>
                      <c:pt idx="160">
                        <c:v>13.899000000000001</c:v>
                      </c:pt>
                      <c:pt idx="161">
                        <c:v>9.8359999999999985</c:v>
                      </c:pt>
                      <c:pt idx="162">
                        <c:v>7.2430000000000003</c:v>
                      </c:pt>
                      <c:pt idx="163">
                        <c:v>6.1539999999999999</c:v>
                      </c:pt>
                      <c:pt idx="164">
                        <c:v>15.859</c:v>
                      </c:pt>
                      <c:pt idx="165">
                        <c:v>4.867</c:v>
                      </c:pt>
                      <c:pt idx="166">
                        <c:v>6.7596799999999968</c:v>
                      </c:pt>
                      <c:pt idx="167">
                        <c:v>5.0436799999999966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515-4A6C-BE5A-AE8B50E8E15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1"/>
          <c:order val="11"/>
          <c:tx>
            <c:strRef>
              <c:f>undergrid!$G$1</c:f>
              <c:strCache>
                <c:ptCount val="1"/>
                <c:pt idx="0">
                  <c:v>p_grid_export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undergrid!$G$2:$G$169</c:f>
              <c:numCache>
                <c:formatCode>General</c:formatCode>
                <c:ptCount val="168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0.08</c:v>
                </c:pt>
                <c:pt idx="77">
                  <c:v>0.08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0.08</c:v>
                </c:pt>
                <c:pt idx="95">
                  <c:v>0.08</c:v>
                </c:pt>
                <c:pt idx="96">
                  <c:v>0.08</c:v>
                </c:pt>
                <c:pt idx="97">
                  <c:v>0.08</c:v>
                </c:pt>
                <c:pt idx="98">
                  <c:v>0.08</c:v>
                </c:pt>
                <c:pt idx="99">
                  <c:v>0.08</c:v>
                </c:pt>
                <c:pt idx="100">
                  <c:v>0.08</c:v>
                </c:pt>
                <c:pt idx="101">
                  <c:v>0.08</c:v>
                </c:pt>
                <c:pt idx="102">
                  <c:v>0.13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0.13</c:v>
                </c:pt>
                <c:pt idx="118">
                  <c:v>0.08</c:v>
                </c:pt>
                <c:pt idx="119">
                  <c:v>0.08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0.13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0.08</c:v>
                </c:pt>
                <c:pt idx="143">
                  <c:v>0.08</c:v>
                </c:pt>
                <c:pt idx="144">
                  <c:v>0.08</c:v>
                </c:pt>
                <c:pt idx="145">
                  <c:v>0.08</c:v>
                </c:pt>
                <c:pt idx="146">
                  <c:v>0.08</c:v>
                </c:pt>
                <c:pt idx="147">
                  <c:v>0.08</c:v>
                </c:pt>
                <c:pt idx="148">
                  <c:v>0.08</c:v>
                </c:pt>
                <c:pt idx="149">
                  <c:v>0.08</c:v>
                </c:pt>
                <c:pt idx="150">
                  <c:v>0.13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0.08</c:v>
                </c:pt>
                <c:pt idx="167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515-4A6C-BE5A-AE8B50E8E15C}"/>
            </c:ext>
          </c:extLst>
        </c:ser>
        <c:ser>
          <c:idx val="12"/>
          <c:order val="12"/>
          <c:tx>
            <c:strRef>
              <c:f>undergrid!$I$1</c:f>
              <c:strCache>
                <c:ptCount val="1"/>
                <c:pt idx="0">
                  <c:v>c_grid_import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undergrid!$I$2:$I$169</c:f>
              <c:numCache>
                <c:formatCode>General</c:formatCode>
                <c:ptCount val="16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0.15</c:v>
                </c:pt>
                <c:pt idx="127">
                  <c:v>0.15</c:v>
                </c:pt>
                <c:pt idx="128">
                  <c:v>0.15</c:v>
                </c:pt>
                <c:pt idx="129">
                  <c:v>0.15</c:v>
                </c:pt>
                <c:pt idx="130">
                  <c:v>0.15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0.15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0.15</c:v>
                </c:pt>
                <c:pt idx="157">
                  <c:v>0.15</c:v>
                </c:pt>
                <c:pt idx="158">
                  <c:v>0.15</c:v>
                </c:pt>
                <c:pt idx="159">
                  <c:v>0.15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</c:v>
                </c:pt>
                <c:pt idx="16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515-4A6C-BE5A-AE8B50E8E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837935"/>
        <c:axId val="853846255"/>
      </c:lineChart>
      <c:catAx>
        <c:axId val="2511577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55856"/>
        <c:crosses val="autoZero"/>
        <c:auto val="1"/>
        <c:lblAlgn val="ctr"/>
        <c:lblOffset val="100"/>
        <c:noMultiLvlLbl val="1"/>
      </c:catAx>
      <c:valAx>
        <c:axId val="2511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57776"/>
        <c:crosses val="autoZero"/>
        <c:crossBetween val="between"/>
      </c:valAx>
      <c:valAx>
        <c:axId val="8538462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837935"/>
        <c:crosses val="max"/>
        <c:crossBetween val="between"/>
      </c:valAx>
      <c:catAx>
        <c:axId val="853837935"/>
        <c:scaling>
          <c:orientation val="minMax"/>
        </c:scaling>
        <c:delete val="1"/>
        <c:axPos val="b"/>
        <c:majorTickMark val="out"/>
        <c:minorTickMark val="none"/>
        <c:tickLblPos val="nextTo"/>
        <c:crossAx val="853846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Revenue,</a:t>
            </a:r>
            <a:r>
              <a:rPr lang="fr-FR" b="1" baseline="0"/>
              <a:t> Costs and Profit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Costs!$AN$1</c:f>
              <c:strCache>
                <c:ptCount val="1"/>
                <c:pt idx="0">
                  <c:v>OPEX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Costs!$AM$2:$AM$169</c:f>
              <c:numCache>
                <c:formatCode>0.0</c:formatCode>
                <c:ptCount val="168"/>
                <c:pt idx="0">
                  <c:v>2.0076000000000001</c:v>
                </c:pt>
                <c:pt idx="1">
                  <c:v>1.20878</c:v>
                </c:pt>
                <c:pt idx="2">
                  <c:v>1.7763800000000001</c:v>
                </c:pt>
                <c:pt idx="3">
                  <c:v>2.1819199999999999</c:v>
                </c:pt>
                <c:pt idx="4">
                  <c:v>2.1938800000000001</c:v>
                </c:pt>
                <c:pt idx="5">
                  <c:v>2.1168</c:v>
                </c:pt>
                <c:pt idx="6">
                  <c:v>1.5631200000000001</c:v>
                </c:pt>
                <c:pt idx="7">
                  <c:v>1.2309400000000001</c:v>
                </c:pt>
                <c:pt idx="8">
                  <c:v>1.2217800000000001</c:v>
                </c:pt>
                <c:pt idx="9">
                  <c:v>3.1652200000000001</c:v>
                </c:pt>
                <c:pt idx="10">
                  <c:v>4.0897600000000001</c:v>
                </c:pt>
                <c:pt idx="11">
                  <c:v>5.3015800000000004</c:v>
                </c:pt>
                <c:pt idx="12">
                  <c:v>4.5177700000000005</c:v>
                </c:pt>
                <c:pt idx="13">
                  <c:v>6.7112799999999995</c:v>
                </c:pt>
                <c:pt idx="14">
                  <c:v>6.7367400000000002</c:v>
                </c:pt>
                <c:pt idx="15">
                  <c:v>2.7962445161021705</c:v>
                </c:pt>
                <c:pt idx="16">
                  <c:v>4.5571400000000004</c:v>
                </c:pt>
                <c:pt idx="17">
                  <c:v>4.0823</c:v>
                </c:pt>
                <c:pt idx="18">
                  <c:v>5.51</c:v>
                </c:pt>
                <c:pt idx="19">
                  <c:v>2.71</c:v>
                </c:pt>
                <c:pt idx="20">
                  <c:v>10.64</c:v>
                </c:pt>
                <c:pt idx="21">
                  <c:v>11.64</c:v>
                </c:pt>
                <c:pt idx="22">
                  <c:v>3.16</c:v>
                </c:pt>
                <c:pt idx="23">
                  <c:v>2.73</c:v>
                </c:pt>
                <c:pt idx="24">
                  <c:v>2.5128399999999997</c:v>
                </c:pt>
                <c:pt idx="25">
                  <c:v>1.2718</c:v>
                </c:pt>
                <c:pt idx="26">
                  <c:v>0.54046000000000005</c:v>
                </c:pt>
                <c:pt idx="27">
                  <c:v>1.7908599999999999</c:v>
                </c:pt>
                <c:pt idx="28">
                  <c:v>1.0225200000000001</c:v>
                </c:pt>
                <c:pt idx="29">
                  <c:v>1.1836</c:v>
                </c:pt>
                <c:pt idx="30">
                  <c:v>4.1091900000584998</c:v>
                </c:pt>
                <c:pt idx="31">
                  <c:v>1.3448297647873741</c:v>
                </c:pt>
                <c:pt idx="32">
                  <c:v>1.9128699999999998</c:v>
                </c:pt>
                <c:pt idx="33">
                  <c:v>3.1416599999999999</c:v>
                </c:pt>
                <c:pt idx="34">
                  <c:v>5.4459300000000006</c:v>
                </c:pt>
                <c:pt idx="35">
                  <c:v>5.6745800000000006</c:v>
                </c:pt>
                <c:pt idx="36">
                  <c:v>6.1389100000000001</c:v>
                </c:pt>
                <c:pt idx="37">
                  <c:v>6.04026</c:v>
                </c:pt>
                <c:pt idx="38">
                  <c:v>7.1010600000000004</c:v>
                </c:pt>
                <c:pt idx="39">
                  <c:v>3.4508000000000001</c:v>
                </c:pt>
                <c:pt idx="40">
                  <c:v>3.9856800000000003</c:v>
                </c:pt>
                <c:pt idx="41">
                  <c:v>4.9740200000000003</c:v>
                </c:pt>
                <c:pt idx="42">
                  <c:v>3.3992999999999998</c:v>
                </c:pt>
                <c:pt idx="43">
                  <c:v>2.2882600000000002</c:v>
                </c:pt>
                <c:pt idx="44">
                  <c:v>8.3755799999999994</c:v>
                </c:pt>
                <c:pt idx="45">
                  <c:v>5.9268999999999998</c:v>
                </c:pt>
                <c:pt idx="46">
                  <c:v>2.5539800000000001</c:v>
                </c:pt>
                <c:pt idx="47">
                  <c:v>3.1079999999999997</c:v>
                </c:pt>
                <c:pt idx="48">
                  <c:v>2.7891000000000004</c:v>
                </c:pt>
                <c:pt idx="49">
                  <c:v>1.27278</c:v>
                </c:pt>
                <c:pt idx="50">
                  <c:v>1.3598600000000001</c:v>
                </c:pt>
                <c:pt idx="51">
                  <c:v>1.9678200000000001</c:v>
                </c:pt>
                <c:pt idx="52">
                  <c:v>1.7399399999999998</c:v>
                </c:pt>
                <c:pt idx="53">
                  <c:v>2.0146800000000002</c:v>
                </c:pt>
                <c:pt idx="54">
                  <c:v>1.52458</c:v>
                </c:pt>
                <c:pt idx="55">
                  <c:v>0.92393999999999998</c:v>
                </c:pt>
                <c:pt idx="56">
                  <c:v>1.68994</c:v>
                </c:pt>
                <c:pt idx="57">
                  <c:v>2.9308000000000001</c:v>
                </c:pt>
                <c:pt idx="58">
                  <c:v>4.2724599999999997</c:v>
                </c:pt>
                <c:pt idx="59">
                  <c:v>5.7290200000000002</c:v>
                </c:pt>
                <c:pt idx="60">
                  <c:v>3.2135199999999999</c:v>
                </c:pt>
                <c:pt idx="61">
                  <c:v>5.5861200000000002</c:v>
                </c:pt>
                <c:pt idx="62">
                  <c:v>6.1962399999999995</c:v>
                </c:pt>
                <c:pt idx="63">
                  <c:v>4.8700799999999997</c:v>
                </c:pt>
                <c:pt idx="64">
                  <c:v>4.6612200000000001</c:v>
                </c:pt>
                <c:pt idx="65">
                  <c:v>7.1482400000000004</c:v>
                </c:pt>
                <c:pt idx="66">
                  <c:v>6.3964600000000003</c:v>
                </c:pt>
                <c:pt idx="67">
                  <c:v>2.1568399999999999</c:v>
                </c:pt>
                <c:pt idx="68">
                  <c:v>10.120560000000001</c:v>
                </c:pt>
                <c:pt idx="69">
                  <c:v>10.624739999999999</c:v>
                </c:pt>
                <c:pt idx="70">
                  <c:v>5.3358800000000004</c:v>
                </c:pt>
                <c:pt idx="71">
                  <c:v>3.6954000000000002</c:v>
                </c:pt>
                <c:pt idx="72">
                  <c:v>2.1686000000000001</c:v>
                </c:pt>
                <c:pt idx="73">
                  <c:v>1.9029800000000001</c:v>
                </c:pt>
                <c:pt idx="74">
                  <c:v>1.8018399999999999</c:v>
                </c:pt>
                <c:pt idx="75">
                  <c:v>1.2850200000000001</c:v>
                </c:pt>
                <c:pt idx="76">
                  <c:v>1.1481400000000002</c:v>
                </c:pt>
                <c:pt idx="77">
                  <c:v>1.4498799999999998</c:v>
                </c:pt>
                <c:pt idx="78">
                  <c:v>4.5113700000832004</c:v>
                </c:pt>
                <c:pt idx="79">
                  <c:v>2.2333187460826709</c:v>
                </c:pt>
                <c:pt idx="80">
                  <c:v>1.7583199999999999</c:v>
                </c:pt>
                <c:pt idx="81">
                  <c:v>1.9303599999999999</c:v>
                </c:pt>
                <c:pt idx="82">
                  <c:v>5.8726199999999995</c:v>
                </c:pt>
                <c:pt idx="83">
                  <c:v>4.4017200000000001</c:v>
                </c:pt>
                <c:pt idx="84">
                  <c:v>2.8974199999999999</c:v>
                </c:pt>
                <c:pt idx="85">
                  <c:v>6.6258500000000007</c:v>
                </c:pt>
                <c:pt idx="86">
                  <c:v>7.03</c:v>
                </c:pt>
                <c:pt idx="87">
                  <c:v>3.7180599999999999</c:v>
                </c:pt>
                <c:pt idx="88">
                  <c:v>3.0151300000000001</c:v>
                </c:pt>
                <c:pt idx="89">
                  <c:v>4.1334999999999997</c:v>
                </c:pt>
                <c:pt idx="90">
                  <c:v>6.5296200000000004</c:v>
                </c:pt>
                <c:pt idx="91">
                  <c:v>2.8564600000000002</c:v>
                </c:pt>
                <c:pt idx="92">
                  <c:v>7.7768800000000002</c:v>
                </c:pt>
                <c:pt idx="93">
                  <c:v>9.7781400000000005</c:v>
                </c:pt>
                <c:pt idx="94">
                  <c:v>4.1188599999999997</c:v>
                </c:pt>
                <c:pt idx="95">
                  <c:v>3.3292799999999998</c:v>
                </c:pt>
                <c:pt idx="96">
                  <c:v>1.77918</c:v>
                </c:pt>
                <c:pt idx="97">
                  <c:v>1.3989600000000002</c:v>
                </c:pt>
                <c:pt idx="98">
                  <c:v>1.2854399999999999</c:v>
                </c:pt>
                <c:pt idx="99">
                  <c:v>1.9304000000000001</c:v>
                </c:pt>
                <c:pt idx="100">
                  <c:v>1.1982200000000001</c:v>
                </c:pt>
                <c:pt idx="101">
                  <c:v>1.8261799999999999</c:v>
                </c:pt>
                <c:pt idx="102">
                  <c:v>1.2099</c:v>
                </c:pt>
                <c:pt idx="103">
                  <c:v>0.70864000000000005</c:v>
                </c:pt>
                <c:pt idx="104">
                  <c:v>1.0991599999999999</c:v>
                </c:pt>
                <c:pt idx="105">
                  <c:v>2.4059200000000001</c:v>
                </c:pt>
                <c:pt idx="106">
                  <c:v>3.5824400000000001</c:v>
                </c:pt>
                <c:pt idx="107">
                  <c:v>3.1775199999999999</c:v>
                </c:pt>
                <c:pt idx="108">
                  <c:v>1.9280000000000002</c:v>
                </c:pt>
                <c:pt idx="109">
                  <c:v>6.35006</c:v>
                </c:pt>
                <c:pt idx="110">
                  <c:v>4.633</c:v>
                </c:pt>
                <c:pt idx="111">
                  <c:v>5.4173400000000003</c:v>
                </c:pt>
                <c:pt idx="112">
                  <c:v>2.59158</c:v>
                </c:pt>
                <c:pt idx="113">
                  <c:v>4.2574399999999999</c:v>
                </c:pt>
                <c:pt idx="114">
                  <c:v>4.3798200000000005</c:v>
                </c:pt>
                <c:pt idx="115">
                  <c:v>2.4771000000000001</c:v>
                </c:pt>
                <c:pt idx="116">
                  <c:v>7.7874400000000001</c:v>
                </c:pt>
                <c:pt idx="117">
                  <c:v>5.7720000000000002</c:v>
                </c:pt>
                <c:pt idx="118">
                  <c:v>3.4997200000000004</c:v>
                </c:pt>
                <c:pt idx="119">
                  <c:v>3.0300199999999999</c:v>
                </c:pt>
                <c:pt idx="120">
                  <c:v>2.6504799999999999</c:v>
                </c:pt>
                <c:pt idx="121">
                  <c:v>1.3856000000000002</c:v>
                </c:pt>
                <c:pt idx="122">
                  <c:v>1.52332</c:v>
                </c:pt>
                <c:pt idx="123">
                  <c:v>1.1335200000000001</c:v>
                </c:pt>
                <c:pt idx="124">
                  <c:v>1.9911799999999999</c:v>
                </c:pt>
                <c:pt idx="125">
                  <c:v>1.7261600000000001</c:v>
                </c:pt>
                <c:pt idx="126">
                  <c:v>1.6383800000000002</c:v>
                </c:pt>
                <c:pt idx="127">
                  <c:v>0.93730000000000002</c:v>
                </c:pt>
                <c:pt idx="128">
                  <c:v>0.79159999999999997</c:v>
                </c:pt>
                <c:pt idx="129">
                  <c:v>1.8832800000000001</c:v>
                </c:pt>
                <c:pt idx="130">
                  <c:v>3.9314</c:v>
                </c:pt>
                <c:pt idx="131">
                  <c:v>2.9415199999999997</c:v>
                </c:pt>
                <c:pt idx="132">
                  <c:v>2.10724</c:v>
                </c:pt>
                <c:pt idx="133">
                  <c:v>5.5755600000000003</c:v>
                </c:pt>
                <c:pt idx="134">
                  <c:v>5.1961599999999999</c:v>
                </c:pt>
                <c:pt idx="135">
                  <c:v>4.7804799999999998</c:v>
                </c:pt>
                <c:pt idx="136">
                  <c:v>3.6344799999999999</c:v>
                </c:pt>
                <c:pt idx="137">
                  <c:v>4.6089799999999999</c:v>
                </c:pt>
                <c:pt idx="138">
                  <c:v>3.6546399999999997</c:v>
                </c:pt>
                <c:pt idx="139">
                  <c:v>2.64412</c:v>
                </c:pt>
                <c:pt idx="140">
                  <c:v>7.1776200000000001</c:v>
                </c:pt>
                <c:pt idx="141">
                  <c:v>6.8251800000000005</c:v>
                </c:pt>
                <c:pt idx="142">
                  <c:v>4.0314399999999999</c:v>
                </c:pt>
                <c:pt idx="143">
                  <c:v>2.6078800000000002</c:v>
                </c:pt>
                <c:pt idx="144">
                  <c:v>1.6633599999999999</c:v>
                </c:pt>
                <c:pt idx="145">
                  <c:v>1.19696</c:v>
                </c:pt>
                <c:pt idx="146">
                  <c:v>1.6752400000000001</c:v>
                </c:pt>
                <c:pt idx="147">
                  <c:v>1.0457399999999999</c:v>
                </c:pt>
                <c:pt idx="148">
                  <c:v>1.2367600000000001</c:v>
                </c:pt>
                <c:pt idx="149">
                  <c:v>1.2841800000000001</c:v>
                </c:pt>
                <c:pt idx="150">
                  <c:v>0.83191999999999999</c:v>
                </c:pt>
                <c:pt idx="151">
                  <c:v>0.71101999999999999</c:v>
                </c:pt>
                <c:pt idx="152">
                  <c:v>0.84672000000000003</c:v>
                </c:pt>
                <c:pt idx="153">
                  <c:v>2.1211899999999999</c:v>
                </c:pt>
                <c:pt idx="154">
                  <c:v>4.4024200000000002</c:v>
                </c:pt>
                <c:pt idx="155">
                  <c:v>2.7084600000000001</c:v>
                </c:pt>
                <c:pt idx="156">
                  <c:v>1.9836500000000001</c:v>
                </c:pt>
                <c:pt idx="157">
                  <c:v>3.2524799999999998</c:v>
                </c:pt>
                <c:pt idx="158">
                  <c:v>4.4447200000000002</c:v>
                </c:pt>
                <c:pt idx="159">
                  <c:v>2.8672399999999998</c:v>
                </c:pt>
                <c:pt idx="160">
                  <c:v>4.3506599999999995</c:v>
                </c:pt>
                <c:pt idx="161">
                  <c:v>3.2274399999999996</c:v>
                </c:pt>
                <c:pt idx="162">
                  <c:v>2.86442</c:v>
                </c:pt>
                <c:pt idx="163">
                  <c:v>2.1935600000000002</c:v>
                </c:pt>
                <c:pt idx="164">
                  <c:v>7.0514599999999996</c:v>
                </c:pt>
                <c:pt idx="165">
                  <c:v>2.2509800000000002</c:v>
                </c:pt>
                <c:pt idx="166">
                  <c:v>2.8037200000000002</c:v>
                </c:pt>
                <c:pt idx="167">
                  <c:v>2.00908</c:v>
                </c:pt>
              </c:numCache>
            </c:numRef>
          </c:cat>
          <c:val>
            <c:numRef>
              <c:f>Costs!$AN$2:$AN$169</c:f>
              <c:numCache>
                <c:formatCode>0.0</c:formatCode>
                <c:ptCount val="168"/>
                <c:pt idx="0">
                  <c:v>-0.53399999995500003</c:v>
                </c:pt>
                <c:pt idx="1">
                  <c:v>-0.36969999995500002</c:v>
                </c:pt>
                <c:pt idx="2">
                  <c:v>-0.63317400068307539</c:v>
                </c:pt>
                <c:pt idx="3">
                  <c:v>-2.5000654104640017</c:v>
                </c:pt>
                <c:pt idx="4">
                  <c:v>-2.5000652890160016</c:v>
                </c:pt>
                <c:pt idx="5">
                  <c:v>-2.5000661534400015</c:v>
                </c:pt>
                <c:pt idx="6">
                  <c:v>-0.71819999993250005</c:v>
                </c:pt>
                <c:pt idx="7">
                  <c:v>-0.32865373999999992</c:v>
                </c:pt>
                <c:pt idx="8">
                  <c:v>-5.8057319999999933E-2</c:v>
                </c:pt>
                <c:pt idx="9">
                  <c:v>-1.2484580000000001</c:v>
                </c:pt>
                <c:pt idx="10">
                  <c:v>-1.14511086</c:v>
                </c:pt>
                <c:pt idx="11">
                  <c:v>-0.46907762000000008</c:v>
                </c:pt>
                <c:pt idx="12">
                  <c:v>-2.476E-5</c:v>
                </c:pt>
                <c:pt idx="13">
                  <c:v>-3.4499999999999998E-5</c:v>
                </c:pt>
                <c:pt idx="14">
                  <c:v>-0.44268140000000006</c:v>
                </c:pt>
                <c:pt idx="15">
                  <c:v>-1.9460240834484967E-5</c:v>
                </c:pt>
                <c:pt idx="16">
                  <c:v>-0.69466983999999998</c:v>
                </c:pt>
                <c:pt idx="17">
                  <c:v>-1.2731387132076286</c:v>
                </c:pt>
                <c:pt idx="18">
                  <c:v>-4.3942222222222232E-5</c:v>
                </c:pt>
                <c:pt idx="19">
                  <c:v>-2.4088888886888886E-5</c:v>
                </c:pt>
                <c:pt idx="20">
                  <c:v>-9.4577777775777783E-5</c:v>
                </c:pt>
                <c:pt idx="21">
                  <c:v>-2.7954488200027274</c:v>
                </c:pt>
                <c:pt idx="22">
                  <c:v>-2.8088888886888888E-5</c:v>
                </c:pt>
                <c:pt idx="23">
                  <c:v>-2.4266666664666669E-5</c:v>
                </c:pt>
                <c:pt idx="24">
                  <c:v>-0.66878813657421576</c:v>
                </c:pt>
                <c:pt idx="25">
                  <c:v>-0.3891881365742158</c:v>
                </c:pt>
                <c:pt idx="26">
                  <c:v>-1.7292504928794057</c:v>
                </c:pt>
                <c:pt idx="27">
                  <c:v>-2.5000696932920015</c:v>
                </c:pt>
                <c:pt idx="28">
                  <c:v>-2.5000780910640015</c:v>
                </c:pt>
                <c:pt idx="29">
                  <c:v>-2.5000763693600017</c:v>
                </c:pt>
                <c:pt idx="30">
                  <c:v>-1.1999999999999999E-4</c:v>
                </c:pt>
                <c:pt idx="31">
                  <c:v>-1.452375264230339E-5</c:v>
                </c:pt>
                <c:pt idx="32">
                  <c:v>-1.4439999999999999E-5</c:v>
                </c:pt>
                <c:pt idx="33">
                  <c:v>-3.222E-5</c:v>
                </c:pt>
                <c:pt idx="34">
                  <c:v>-6.0039999999999994E-5</c:v>
                </c:pt>
                <c:pt idx="35">
                  <c:v>-6.9679999999999997E-5</c:v>
                </c:pt>
                <c:pt idx="36">
                  <c:v>-6.19E-5</c:v>
                </c:pt>
                <c:pt idx="37">
                  <c:v>-9.4714892000000002E-5</c:v>
                </c:pt>
                <c:pt idx="38">
                  <c:v>-5.4925172000000011E-5</c:v>
                </c:pt>
                <c:pt idx="39">
                  <c:v>-8.8569680000000005E-5</c:v>
                </c:pt>
                <c:pt idx="40">
                  <c:v>-2.7180175999999995E-5</c:v>
                </c:pt>
                <c:pt idx="41">
                  <c:v>-4.6637777777777778E-5</c:v>
                </c:pt>
                <c:pt idx="42">
                  <c:v>-3.181999999999999E-5</c:v>
                </c:pt>
                <c:pt idx="43">
                  <c:v>-2.8528888886044447E-5</c:v>
                </c:pt>
                <c:pt idx="44">
                  <c:v>-8.3719999997155546E-5</c:v>
                </c:pt>
                <c:pt idx="45">
                  <c:v>-5.6955555552711113E-5</c:v>
                </c:pt>
                <c:pt idx="46">
                  <c:v>-2.7364444441599999E-5</c:v>
                </c:pt>
                <c:pt idx="47">
                  <c:v>-0.78018813655521579</c:v>
                </c:pt>
                <c:pt idx="48">
                  <c:v>-0.74268813655521582</c:v>
                </c:pt>
                <c:pt idx="49">
                  <c:v>-0.39803958340454937</c:v>
                </c:pt>
                <c:pt idx="50">
                  <c:v>-2.5000744440520024</c:v>
                </c:pt>
                <c:pt idx="51">
                  <c:v>-2.5000677501240025</c:v>
                </c:pt>
                <c:pt idx="52">
                  <c:v>-2.5000702576680025</c:v>
                </c:pt>
                <c:pt idx="53">
                  <c:v>-2.5000672893360023</c:v>
                </c:pt>
                <c:pt idx="54">
                  <c:v>-2.0742222219377775E-5</c:v>
                </c:pt>
                <c:pt idx="55">
                  <c:v>-1.3559999996977777E-5</c:v>
                </c:pt>
                <c:pt idx="56">
                  <c:v>-1.5179999999999999E-5</c:v>
                </c:pt>
                <c:pt idx="57">
                  <c:v>-0.42578586523757572</c:v>
                </c:pt>
                <c:pt idx="58">
                  <c:v>-3.6340000000000008E-5</c:v>
                </c:pt>
                <c:pt idx="59">
                  <c:v>-5.5317777777777783E-5</c:v>
                </c:pt>
                <c:pt idx="60">
                  <c:v>-3.3436224000000003E-5</c:v>
                </c:pt>
                <c:pt idx="61">
                  <c:v>-2.4566666666666663E-5</c:v>
                </c:pt>
                <c:pt idx="62">
                  <c:v>-0.83792313999999979</c:v>
                </c:pt>
                <c:pt idx="63">
                  <c:v>-1.5453104999999998</c:v>
                </c:pt>
                <c:pt idx="64">
                  <c:v>-1.4599602999999999</c:v>
                </c:pt>
                <c:pt idx="65">
                  <c:v>-2.46241076</c:v>
                </c:pt>
                <c:pt idx="66">
                  <c:v>-7.1862222219377784E-5</c:v>
                </c:pt>
                <c:pt idx="67">
                  <c:v>-2.6871111108266665E-5</c:v>
                </c:pt>
                <c:pt idx="68">
                  <c:v>-1.0117333333048889E-4</c:v>
                </c:pt>
                <c:pt idx="69">
                  <c:v>-3.4456499999039996</c:v>
                </c:pt>
                <c:pt idx="70">
                  <c:v>-1.2863881365552159</c:v>
                </c:pt>
                <c:pt idx="71">
                  <c:v>-0.92718813655521581</c:v>
                </c:pt>
                <c:pt idx="72">
                  <c:v>-0.57718813655521573</c:v>
                </c:pt>
                <c:pt idx="73">
                  <c:v>-0.58288813655521576</c:v>
                </c:pt>
                <c:pt idx="74">
                  <c:v>-2.080854022248007</c:v>
                </c:pt>
                <c:pt idx="75">
                  <c:v>-2.5000752513240023</c:v>
                </c:pt>
                <c:pt idx="76">
                  <c:v>-2.5000767229880023</c:v>
                </c:pt>
                <c:pt idx="77">
                  <c:v>-2.5000734331760022</c:v>
                </c:pt>
                <c:pt idx="78">
                  <c:v>-1.1999999999999999E-4</c:v>
                </c:pt>
                <c:pt idx="79">
                  <c:v>-4.5603375934450274E-5</c:v>
                </c:pt>
                <c:pt idx="80">
                  <c:v>-1.8819999999999999E-5</c:v>
                </c:pt>
                <c:pt idx="81">
                  <c:v>-1.525777777777777E-5</c:v>
                </c:pt>
                <c:pt idx="82">
                  <c:v>-5.9275804000000004E-5</c:v>
                </c:pt>
                <c:pt idx="83">
                  <c:v>-1.22744824E-4</c:v>
                </c:pt>
                <c:pt idx="84">
                  <c:v>-1.4637268399999998E-4</c:v>
                </c:pt>
                <c:pt idx="85">
                  <c:v>-4.1179999999999995E-5</c:v>
                </c:pt>
                <c:pt idx="86">
                  <c:v>-0.64474934983269316</c:v>
                </c:pt>
                <c:pt idx="87">
                  <c:v>-2.4159999999999999E-5</c:v>
                </c:pt>
                <c:pt idx="88">
                  <c:v>-2.26E-5</c:v>
                </c:pt>
                <c:pt idx="89">
                  <c:v>-0.70726578000000007</c:v>
                </c:pt>
                <c:pt idx="90">
                  <c:v>-2.4754499999039998</c:v>
                </c:pt>
                <c:pt idx="91">
                  <c:v>-3.5595555552711108E-5</c:v>
                </c:pt>
                <c:pt idx="92">
                  <c:v>-7.7742222219377775E-5</c:v>
                </c:pt>
                <c:pt idx="93">
                  <c:v>-9.3959999997155557E-5</c:v>
                </c:pt>
                <c:pt idx="94">
                  <c:v>-4.412888888604445E-5</c:v>
                </c:pt>
                <c:pt idx="95">
                  <c:v>-0.83538813655521593</c:v>
                </c:pt>
                <c:pt idx="96">
                  <c:v>-0.47388813655521578</c:v>
                </c:pt>
                <c:pt idx="97">
                  <c:v>-0.42858813655521583</c:v>
                </c:pt>
                <c:pt idx="98">
                  <c:v>-2.2512914090558875</c:v>
                </c:pt>
                <c:pt idx="99">
                  <c:v>-2.5000681537600022</c:v>
                </c:pt>
                <c:pt idx="100">
                  <c:v>-2.5000761800440023</c:v>
                </c:pt>
                <c:pt idx="101">
                  <c:v>-2.5000693432360022</c:v>
                </c:pt>
                <c:pt idx="102">
                  <c:v>-1.6466666663822224E-5</c:v>
                </c:pt>
                <c:pt idx="103">
                  <c:v>-1.0382222218888889E-5</c:v>
                </c:pt>
                <c:pt idx="104">
                  <c:v>-4.3965192000000002E-5</c:v>
                </c:pt>
                <c:pt idx="105">
                  <c:v>-2.753111111111111E-5</c:v>
                </c:pt>
                <c:pt idx="106">
                  <c:v>-3.9431111111111112E-5</c:v>
                </c:pt>
                <c:pt idx="107">
                  <c:v>-3.1731111111111114E-5</c:v>
                </c:pt>
                <c:pt idx="108">
                  <c:v>-1.7913799999999994E-5</c:v>
                </c:pt>
                <c:pt idx="109">
                  <c:v>-3.9944851999999993E-5</c:v>
                </c:pt>
                <c:pt idx="110">
                  <c:v>-3.7735555555555556E-5</c:v>
                </c:pt>
                <c:pt idx="111">
                  <c:v>-5.8437777777777787E-5</c:v>
                </c:pt>
                <c:pt idx="112">
                  <c:v>-2.2902222222222217E-5</c:v>
                </c:pt>
                <c:pt idx="113">
                  <c:v>-5.7671111107511108E-5</c:v>
                </c:pt>
                <c:pt idx="114">
                  <c:v>-4.9213333330488894E-5</c:v>
                </c:pt>
                <c:pt idx="115">
                  <c:v>-3.0866666663822222E-5</c:v>
                </c:pt>
                <c:pt idx="116">
                  <c:v>-2.3287575479003055</c:v>
                </c:pt>
                <c:pt idx="117">
                  <c:v>-1.871999999904</c:v>
                </c:pt>
                <c:pt idx="118">
                  <c:v>-0.84398813655521587</c:v>
                </c:pt>
                <c:pt idx="119">
                  <c:v>-0.76048813655521574</c:v>
                </c:pt>
                <c:pt idx="120">
                  <c:v>-0.70538813655521571</c:v>
                </c:pt>
                <c:pt idx="121">
                  <c:v>-0.42418813655521576</c:v>
                </c:pt>
                <c:pt idx="122">
                  <c:v>-2.2904002523085847</c:v>
                </c:pt>
                <c:pt idx="123">
                  <c:v>-2.5000769123040021</c:v>
                </c:pt>
                <c:pt idx="124">
                  <c:v>-2.5000675215160024</c:v>
                </c:pt>
                <c:pt idx="125">
                  <c:v>-2.5000704255520021</c:v>
                </c:pt>
                <c:pt idx="126">
                  <c:v>-2.2297777774933332E-5</c:v>
                </c:pt>
                <c:pt idx="127">
                  <c:v>-1.375555555311111E-5</c:v>
                </c:pt>
                <c:pt idx="128">
                  <c:v>-6.3494887484178725E-2</c:v>
                </c:pt>
                <c:pt idx="129">
                  <c:v>-1.0997999998919998</c:v>
                </c:pt>
                <c:pt idx="130">
                  <c:v>-4.3604444444444441E-5</c:v>
                </c:pt>
                <c:pt idx="131">
                  <c:v>-2.9722222222222223E-5</c:v>
                </c:pt>
                <c:pt idx="132">
                  <c:v>-1.9026687999999996E-5</c:v>
                </c:pt>
                <c:pt idx="133">
                  <c:v>-2.7002222222222225E-5</c:v>
                </c:pt>
                <c:pt idx="134">
                  <c:v>-5.2879999999999995E-5</c:v>
                </c:pt>
                <c:pt idx="135">
                  <c:v>-1.15231518</c:v>
                </c:pt>
                <c:pt idx="136">
                  <c:v>-1.741799999907</c:v>
                </c:pt>
                <c:pt idx="137">
                  <c:v>-2.1070499998860002</c:v>
                </c:pt>
                <c:pt idx="138">
                  <c:v>-1.3853999999040001</c:v>
                </c:pt>
                <c:pt idx="139">
                  <c:v>-1.1126999999039999</c:v>
                </c:pt>
                <c:pt idx="140">
                  <c:v>-7.1746666663822224E-5</c:v>
                </c:pt>
                <c:pt idx="141">
                  <c:v>-6.5586666663822228E-5</c:v>
                </c:pt>
                <c:pt idx="142">
                  <c:v>-0.97178813655521579</c:v>
                </c:pt>
                <c:pt idx="143">
                  <c:v>-0.65438813655521577</c:v>
                </c:pt>
                <c:pt idx="144">
                  <c:v>-0.44258813655521567</c:v>
                </c:pt>
                <c:pt idx="145">
                  <c:v>-0.36658813655521577</c:v>
                </c:pt>
                <c:pt idx="146">
                  <c:v>-1.9444437328194926</c:v>
                </c:pt>
                <c:pt idx="147">
                  <c:v>-2.5000778660280023</c:v>
                </c:pt>
                <c:pt idx="148">
                  <c:v>-2.5000757478320024</c:v>
                </c:pt>
                <c:pt idx="149">
                  <c:v>-2.5000752727560025</c:v>
                </c:pt>
                <c:pt idx="150">
                  <c:v>-1.13244444416E-5</c:v>
                </c:pt>
                <c:pt idx="151">
                  <c:v>-1.0457777775466665E-5</c:v>
                </c:pt>
                <c:pt idx="152">
                  <c:v>-1.2479999996977777E-5</c:v>
                </c:pt>
                <c:pt idx="153">
                  <c:v>-1.8559999999999998E-5</c:v>
                </c:pt>
                <c:pt idx="154">
                  <c:v>-3.3486666666666666E-5</c:v>
                </c:pt>
                <c:pt idx="155">
                  <c:v>-1.9788888888888894E-5</c:v>
                </c:pt>
                <c:pt idx="156">
                  <c:v>-1.8960000000000001E-5</c:v>
                </c:pt>
                <c:pt idx="157">
                  <c:v>-1.580444444444444E-5</c:v>
                </c:pt>
                <c:pt idx="158">
                  <c:v>-3.4242222222222227E-5</c:v>
                </c:pt>
                <c:pt idx="159">
                  <c:v>-2.0559999999999996E-5</c:v>
                </c:pt>
                <c:pt idx="160">
                  <c:v>-4.8059999999999997E-5</c:v>
                </c:pt>
                <c:pt idx="161">
                  <c:v>-0.73317106684619548</c:v>
                </c:pt>
                <c:pt idx="162">
                  <c:v>-3.2191111108133332E-5</c:v>
                </c:pt>
                <c:pt idx="163">
                  <c:v>-2.7351111108266667E-5</c:v>
                </c:pt>
                <c:pt idx="164">
                  <c:v>-7.0484444441600003E-5</c:v>
                </c:pt>
                <c:pt idx="165">
                  <c:v>-2.1631111108266664E-5</c:v>
                </c:pt>
                <c:pt idx="166">
                  <c:v>-0.67598813655521572</c:v>
                </c:pt>
                <c:pt idx="167">
                  <c:v>-0.50438813655521575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9-4328-840D-99AB1D63E11E}"/>
            </c:ext>
          </c:extLst>
        </c:ser>
        <c:ser>
          <c:idx val="1"/>
          <c:order val="1"/>
          <c:tx>
            <c:strRef>
              <c:f>Costs!$AO$1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Costs!$AM$2:$AM$169</c:f>
              <c:numCache>
                <c:formatCode>0.0</c:formatCode>
                <c:ptCount val="168"/>
                <c:pt idx="0">
                  <c:v>2.0076000000000001</c:v>
                </c:pt>
                <c:pt idx="1">
                  <c:v>1.20878</c:v>
                </c:pt>
                <c:pt idx="2">
                  <c:v>1.7763800000000001</c:v>
                </c:pt>
                <c:pt idx="3">
                  <c:v>2.1819199999999999</c:v>
                </c:pt>
                <c:pt idx="4">
                  <c:v>2.1938800000000001</c:v>
                </c:pt>
                <c:pt idx="5">
                  <c:v>2.1168</c:v>
                </c:pt>
                <c:pt idx="6">
                  <c:v>1.5631200000000001</c:v>
                </c:pt>
                <c:pt idx="7">
                  <c:v>1.2309400000000001</c:v>
                </c:pt>
                <c:pt idx="8">
                  <c:v>1.2217800000000001</c:v>
                </c:pt>
                <c:pt idx="9">
                  <c:v>3.1652200000000001</c:v>
                </c:pt>
                <c:pt idx="10">
                  <c:v>4.0897600000000001</c:v>
                </c:pt>
                <c:pt idx="11">
                  <c:v>5.3015800000000004</c:v>
                </c:pt>
                <c:pt idx="12">
                  <c:v>4.5177700000000005</c:v>
                </c:pt>
                <c:pt idx="13">
                  <c:v>6.7112799999999995</c:v>
                </c:pt>
                <c:pt idx="14">
                  <c:v>6.7367400000000002</c:v>
                </c:pt>
                <c:pt idx="15">
                  <c:v>2.7962445161021705</c:v>
                </c:pt>
                <c:pt idx="16">
                  <c:v>4.5571400000000004</c:v>
                </c:pt>
                <c:pt idx="17">
                  <c:v>4.0823</c:v>
                </c:pt>
                <c:pt idx="18">
                  <c:v>5.51</c:v>
                </c:pt>
                <c:pt idx="19">
                  <c:v>2.71</c:v>
                </c:pt>
                <c:pt idx="20">
                  <c:v>10.64</c:v>
                </c:pt>
                <c:pt idx="21">
                  <c:v>11.64</c:v>
                </c:pt>
                <c:pt idx="22">
                  <c:v>3.16</c:v>
                </c:pt>
                <c:pt idx="23">
                  <c:v>2.73</c:v>
                </c:pt>
                <c:pt idx="24">
                  <c:v>2.5128399999999997</c:v>
                </c:pt>
                <c:pt idx="25">
                  <c:v>1.2718</c:v>
                </c:pt>
                <c:pt idx="26">
                  <c:v>0.54046000000000005</c:v>
                </c:pt>
                <c:pt idx="27">
                  <c:v>1.7908599999999999</c:v>
                </c:pt>
                <c:pt idx="28">
                  <c:v>1.0225200000000001</c:v>
                </c:pt>
                <c:pt idx="29">
                  <c:v>1.1836</c:v>
                </c:pt>
                <c:pt idx="30">
                  <c:v>4.1091900000584998</c:v>
                </c:pt>
                <c:pt idx="31">
                  <c:v>1.3448297647873741</c:v>
                </c:pt>
                <c:pt idx="32">
                  <c:v>1.9128699999999998</c:v>
                </c:pt>
                <c:pt idx="33">
                  <c:v>3.1416599999999999</c:v>
                </c:pt>
                <c:pt idx="34">
                  <c:v>5.4459300000000006</c:v>
                </c:pt>
                <c:pt idx="35">
                  <c:v>5.6745800000000006</c:v>
                </c:pt>
                <c:pt idx="36">
                  <c:v>6.1389100000000001</c:v>
                </c:pt>
                <c:pt idx="37">
                  <c:v>6.04026</c:v>
                </c:pt>
                <c:pt idx="38">
                  <c:v>7.1010600000000004</c:v>
                </c:pt>
                <c:pt idx="39">
                  <c:v>3.4508000000000001</c:v>
                </c:pt>
                <c:pt idx="40">
                  <c:v>3.9856800000000003</c:v>
                </c:pt>
                <c:pt idx="41">
                  <c:v>4.9740200000000003</c:v>
                </c:pt>
                <c:pt idx="42">
                  <c:v>3.3992999999999998</c:v>
                </c:pt>
                <c:pt idx="43">
                  <c:v>2.2882600000000002</c:v>
                </c:pt>
                <c:pt idx="44">
                  <c:v>8.3755799999999994</c:v>
                </c:pt>
                <c:pt idx="45">
                  <c:v>5.9268999999999998</c:v>
                </c:pt>
                <c:pt idx="46">
                  <c:v>2.5539800000000001</c:v>
                </c:pt>
                <c:pt idx="47">
                  <c:v>3.1079999999999997</c:v>
                </c:pt>
                <c:pt idx="48">
                  <c:v>2.7891000000000004</c:v>
                </c:pt>
                <c:pt idx="49">
                  <c:v>1.27278</c:v>
                </c:pt>
                <c:pt idx="50">
                  <c:v>1.3598600000000001</c:v>
                </c:pt>
                <c:pt idx="51">
                  <c:v>1.9678200000000001</c:v>
                </c:pt>
                <c:pt idx="52">
                  <c:v>1.7399399999999998</c:v>
                </c:pt>
                <c:pt idx="53">
                  <c:v>2.0146800000000002</c:v>
                </c:pt>
                <c:pt idx="54">
                  <c:v>1.52458</c:v>
                </c:pt>
                <c:pt idx="55">
                  <c:v>0.92393999999999998</c:v>
                </c:pt>
                <c:pt idx="56">
                  <c:v>1.68994</c:v>
                </c:pt>
                <c:pt idx="57">
                  <c:v>2.9308000000000001</c:v>
                </c:pt>
                <c:pt idx="58">
                  <c:v>4.2724599999999997</c:v>
                </c:pt>
                <c:pt idx="59">
                  <c:v>5.7290200000000002</c:v>
                </c:pt>
                <c:pt idx="60">
                  <c:v>3.2135199999999999</c:v>
                </c:pt>
                <c:pt idx="61">
                  <c:v>5.5861200000000002</c:v>
                </c:pt>
                <c:pt idx="62">
                  <c:v>6.1962399999999995</c:v>
                </c:pt>
                <c:pt idx="63">
                  <c:v>4.8700799999999997</c:v>
                </c:pt>
                <c:pt idx="64">
                  <c:v>4.6612200000000001</c:v>
                </c:pt>
                <c:pt idx="65">
                  <c:v>7.1482400000000004</c:v>
                </c:pt>
                <c:pt idx="66">
                  <c:v>6.3964600000000003</c:v>
                </c:pt>
                <c:pt idx="67">
                  <c:v>2.1568399999999999</c:v>
                </c:pt>
                <c:pt idx="68">
                  <c:v>10.120560000000001</c:v>
                </c:pt>
                <c:pt idx="69">
                  <c:v>10.624739999999999</c:v>
                </c:pt>
                <c:pt idx="70">
                  <c:v>5.3358800000000004</c:v>
                </c:pt>
                <c:pt idx="71">
                  <c:v>3.6954000000000002</c:v>
                </c:pt>
                <c:pt idx="72">
                  <c:v>2.1686000000000001</c:v>
                </c:pt>
                <c:pt idx="73">
                  <c:v>1.9029800000000001</c:v>
                </c:pt>
                <c:pt idx="74">
                  <c:v>1.8018399999999999</c:v>
                </c:pt>
                <c:pt idx="75">
                  <c:v>1.2850200000000001</c:v>
                </c:pt>
                <c:pt idx="76">
                  <c:v>1.1481400000000002</c:v>
                </c:pt>
                <c:pt idx="77">
                  <c:v>1.4498799999999998</c:v>
                </c:pt>
                <c:pt idx="78">
                  <c:v>4.5113700000832004</c:v>
                </c:pt>
                <c:pt idx="79">
                  <c:v>2.2333187460826709</c:v>
                </c:pt>
                <c:pt idx="80">
                  <c:v>1.7583199999999999</c:v>
                </c:pt>
                <c:pt idx="81">
                  <c:v>1.9303599999999999</c:v>
                </c:pt>
                <c:pt idx="82">
                  <c:v>5.8726199999999995</c:v>
                </c:pt>
                <c:pt idx="83">
                  <c:v>4.4017200000000001</c:v>
                </c:pt>
                <c:pt idx="84">
                  <c:v>2.8974199999999999</c:v>
                </c:pt>
                <c:pt idx="85">
                  <c:v>6.6258500000000007</c:v>
                </c:pt>
                <c:pt idx="86">
                  <c:v>7.03</c:v>
                </c:pt>
                <c:pt idx="87">
                  <c:v>3.7180599999999999</c:v>
                </c:pt>
                <c:pt idx="88">
                  <c:v>3.0151300000000001</c:v>
                </c:pt>
                <c:pt idx="89">
                  <c:v>4.1334999999999997</c:v>
                </c:pt>
                <c:pt idx="90">
                  <c:v>6.5296200000000004</c:v>
                </c:pt>
                <c:pt idx="91">
                  <c:v>2.8564600000000002</c:v>
                </c:pt>
                <c:pt idx="92">
                  <c:v>7.7768800000000002</c:v>
                </c:pt>
                <c:pt idx="93">
                  <c:v>9.7781400000000005</c:v>
                </c:pt>
                <c:pt idx="94">
                  <c:v>4.1188599999999997</c:v>
                </c:pt>
                <c:pt idx="95">
                  <c:v>3.3292799999999998</c:v>
                </c:pt>
                <c:pt idx="96">
                  <c:v>1.77918</c:v>
                </c:pt>
                <c:pt idx="97">
                  <c:v>1.3989600000000002</c:v>
                </c:pt>
                <c:pt idx="98">
                  <c:v>1.2854399999999999</c:v>
                </c:pt>
                <c:pt idx="99">
                  <c:v>1.9304000000000001</c:v>
                </c:pt>
                <c:pt idx="100">
                  <c:v>1.1982200000000001</c:v>
                </c:pt>
                <c:pt idx="101">
                  <c:v>1.8261799999999999</c:v>
                </c:pt>
                <c:pt idx="102">
                  <c:v>1.2099</c:v>
                </c:pt>
                <c:pt idx="103">
                  <c:v>0.70864000000000005</c:v>
                </c:pt>
                <c:pt idx="104">
                  <c:v>1.0991599999999999</c:v>
                </c:pt>
                <c:pt idx="105">
                  <c:v>2.4059200000000001</c:v>
                </c:pt>
                <c:pt idx="106">
                  <c:v>3.5824400000000001</c:v>
                </c:pt>
                <c:pt idx="107">
                  <c:v>3.1775199999999999</c:v>
                </c:pt>
                <c:pt idx="108">
                  <c:v>1.9280000000000002</c:v>
                </c:pt>
                <c:pt idx="109">
                  <c:v>6.35006</c:v>
                </c:pt>
                <c:pt idx="110">
                  <c:v>4.633</c:v>
                </c:pt>
                <c:pt idx="111">
                  <c:v>5.4173400000000003</c:v>
                </c:pt>
                <c:pt idx="112">
                  <c:v>2.59158</c:v>
                </c:pt>
                <c:pt idx="113">
                  <c:v>4.2574399999999999</c:v>
                </c:pt>
                <c:pt idx="114">
                  <c:v>4.3798200000000005</c:v>
                </c:pt>
                <c:pt idx="115">
                  <c:v>2.4771000000000001</c:v>
                </c:pt>
                <c:pt idx="116">
                  <c:v>7.7874400000000001</c:v>
                </c:pt>
                <c:pt idx="117">
                  <c:v>5.7720000000000002</c:v>
                </c:pt>
                <c:pt idx="118">
                  <c:v>3.4997200000000004</c:v>
                </c:pt>
                <c:pt idx="119">
                  <c:v>3.0300199999999999</c:v>
                </c:pt>
                <c:pt idx="120">
                  <c:v>2.6504799999999999</c:v>
                </c:pt>
                <c:pt idx="121">
                  <c:v>1.3856000000000002</c:v>
                </c:pt>
                <c:pt idx="122">
                  <c:v>1.52332</c:v>
                </c:pt>
                <c:pt idx="123">
                  <c:v>1.1335200000000001</c:v>
                </c:pt>
                <c:pt idx="124">
                  <c:v>1.9911799999999999</c:v>
                </c:pt>
                <c:pt idx="125">
                  <c:v>1.7261600000000001</c:v>
                </c:pt>
                <c:pt idx="126">
                  <c:v>1.6383800000000002</c:v>
                </c:pt>
                <c:pt idx="127">
                  <c:v>0.93730000000000002</c:v>
                </c:pt>
                <c:pt idx="128">
                  <c:v>0.79159999999999997</c:v>
                </c:pt>
                <c:pt idx="129">
                  <c:v>1.8832800000000001</c:v>
                </c:pt>
                <c:pt idx="130">
                  <c:v>3.9314</c:v>
                </c:pt>
                <c:pt idx="131">
                  <c:v>2.9415199999999997</c:v>
                </c:pt>
                <c:pt idx="132">
                  <c:v>2.10724</c:v>
                </c:pt>
                <c:pt idx="133">
                  <c:v>5.5755600000000003</c:v>
                </c:pt>
                <c:pt idx="134">
                  <c:v>5.1961599999999999</c:v>
                </c:pt>
                <c:pt idx="135">
                  <c:v>4.7804799999999998</c:v>
                </c:pt>
                <c:pt idx="136">
                  <c:v>3.6344799999999999</c:v>
                </c:pt>
                <c:pt idx="137">
                  <c:v>4.6089799999999999</c:v>
                </c:pt>
                <c:pt idx="138">
                  <c:v>3.6546399999999997</c:v>
                </c:pt>
                <c:pt idx="139">
                  <c:v>2.64412</c:v>
                </c:pt>
                <c:pt idx="140">
                  <c:v>7.1776200000000001</c:v>
                </c:pt>
                <c:pt idx="141">
                  <c:v>6.8251800000000005</c:v>
                </c:pt>
                <c:pt idx="142">
                  <c:v>4.0314399999999999</c:v>
                </c:pt>
                <c:pt idx="143">
                  <c:v>2.6078800000000002</c:v>
                </c:pt>
                <c:pt idx="144">
                  <c:v>1.6633599999999999</c:v>
                </c:pt>
                <c:pt idx="145">
                  <c:v>1.19696</c:v>
                </c:pt>
                <c:pt idx="146">
                  <c:v>1.6752400000000001</c:v>
                </c:pt>
                <c:pt idx="147">
                  <c:v>1.0457399999999999</c:v>
                </c:pt>
                <c:pt idx="148">
                  <c:v>1.2367600000000001</c:v>
                </c:pt>
                <c:pt idx="149">
                  <c:v>1.2841800000000001</c:v>
                </c:pt>
                <c:pt idx="150">
                  <c:v>0.83191999999999999</c:v>
                </c:pt>
                <c:pt idx="151">
                  <c:v>0.71101999999999999</c:v>
                </c:pt>
                <c:pt idx="152">
                  <c:v>0.84672000000000003</c:v>
                </c:pt>
                <c:pt idx="153">
                  <c:v>2.1211899999999999</c:v>
                </c:pt>
                <c:pt idx="154">
                  <c:v>4.4024200000000002</c:v>
                </c:pt>
                <c:pt idx="155">
                  <c:v>2.7084600000000001</c:v>
                </c:pt>
                <c:pt idx="156">
                  <c:v>1.9836500000000001</c:v>
                </c:pt>
                <c:pt idx="157">
                  <c:v>3.2524799999999998</c:v>
                </c:pt>
                <c:pt idx="158">
                  <c:v>4.4447200000000002</c:v>
                </c:pt>
                <c:pt idx="159">
                  <c:v>2.8672399999999998</c:v>
                </c:pt>
                <c:pt idx="160">
                  <c:v>4.3506599999999995</c:v>
                </c:pt>
                <c:pt idx="161">
                  <c:v>3.2274399999999996</c:v>
                </c:pt>
                <c:pt idx="162">
                  <c:v>2.86442</c:v>
                </c:pt>
                <c:pt idx="163">
                  <c:v>2.1935600000000002</c:v>
                </c:pt>
                <c:pt idx="164">
                  <c:v>7.0514599999999996</c:v>
                </c:pt>
                <c:pt idx="165">
                  <c:v>2.2509800000000002</c:v>
                </c:pt>
                <c:pt idx="166">
                  <c:v>2.8037200000000002</c:v>
                </c:pt>
                <c:pt idx="167">
                  <c:v>2.00908</c:v>
                </c:pt>
              </c:numCache>
            </c:numRef>
          </c:cat>
          <c:val>
            <c:numRef>
              <c:f>Costs!$AO$2:$AO$169</c:f>
              <c:numCache>
                <c:formatCode>0.0</c:formatCode>
                <c:ptCount val="168"/>
                <c:pt idx="0">
                  <c:v>1.473600000045</c:v>
                </c:pt>
                <c:pt idx="1">
                  <c:v>0.83908000004499994</c:v>
                </c:pt>
                <c:pt idx="2">
                  <c:v>1.1432059993169248</c:v>
                </c:pt>
                <c:pt idx="3">
                  <c:v>-0.3181454104640018</c:v>
                </c:pt>
                <c:pt idx="4">
                  <c:v>-0.30618528901600151</c:v>
                </c:pt>
                <c:pt idx="5">
                  <c:v>-0.38326615344000148</c:v>
                </c:pt>
                <c:pt idx="6">
                  <c:v>0.84492000006750001</c:v>
                </c:pt>
                <c:pt idx="7">
                  <c:v>0.90228626000000023</c:v>
                </c:pt>
                <c:pt idx="8">
                  <c:v>1.1637226800000002</c:v>
                </c:pt>
                <c:pt idx="9">
                  <c:v>1.9167620000000001</c:v>
                </c:pt>
                <c:pt idx="10">
                  <c:v>2.9446491400000001</c:v>
                </c:pt>
                <c:pt idx="11">
                  <c:v>4.8325023800000002</c:v>
                </c:pt>
                <c:pt idx="12">
                  <c:v>4.5177452400000009</c:v>
                </c:pt>
                <c:pt idx="13">
                  <c:v>6.7112454999999995</c:v>
                </c:pt>
                <c:pt idx="14">
                  <c:v>6.2940586000000005</c:v>
                </c:pt>
                <c:pt idx="15">
                  <c:v>2.7962250558613362</c:v>
                </c:pt>
                <c:pt idx="16">
                  <c:v>3.8624701600000004</c:v>
                </c:pt>
                <c:pt idx="17">
                  <c:v>2.8091612867923716</c:v>
                </c:pt>
                <c:pt idx="18">
                  <c:v>5.509956057777778</c:v>
                </c:pt>
                <c:pt idx="19">
                  <c:v>2.7099759111111132</c:v>
                </c:pt>
                <c:pt idx="20">
                  <c:v>10.639905422222224</c:v>
                </c:pt>
                <c:pt idx="21">
                  <c:v>8.8445511799972731</c:v>
                </c:pt>
                <c:pt idx="22">
                  <c:v>3.1599719111111133</c:v>
                </c:pt>
                <c:pt idx="23">
                  <c:v>2.7299757333333354</c:v>
                </c:pt>
                <c:pt idx="24">
                  <c:v>1.8440518634257841</c:v>
                </c:pt>
                <c:pt idx="25">
                  <c:v>0.88261186342578424</c:v>
                </c:pt>
                <c:pt idx="26">
                  <c:v>-1.1887904928794057</c:v>
                </c:pt>
                <c:pt idx="27">
                  <c:v>-0.70920969329200156</c:v>
                </c:pt>
                <c:pt idx="28">
                  <c:v>-1.4775580910640014</c:v>
                </c:pt>
                <c:pt idx="29">
                  <c:v>-1.3164763693600017</c:v>
                </c:pt>
                <c:pt idx="30">
                  <c:v>4.1090700000584999</c:v>
                </c:pt>
                <c:pt idx="31">
                  <c:v>1.3448152410347318</c:v>
                </c:pt>
                <c:pt idx="32">
                  <c:v>1.9128555599999999</c:v>
                </c:pt>
                <c:pt idx="33">
                  <c:v>3.1416277799999999</c:v>
                </c:pt>
                <c:pt idx="34">
                  <c:v>5.4458699600000005</c:v>
                </c:pt>
                <c:pt idx="35">
                  <c:v>5.6745103200000004</c:v>
                </c:pt>
                <c:pt idx="36">
                  <c:v>6.1388480999999997</c:v>
                </c:pt>
                <c:pt idx="37">
                  <c:v>6.0401652851080003</c:v>
                </c:pt>
                <c:pt idx="38">
                  <c:v>7.1010050748280005</c:v>
                </c:pt>
                <c:pt idx="39">
                  <c:v>3.4507114303200002</c:v>
                </c:pt>
                <c:pt idx="40">
                  <c:v>3.9856528198240002</c:v>
                </c:pt>
                <c:pt idx="41">
                  <c:v>4.9739733622222229</c:v>
                </c:pt>
                <c:pt idx="42">
                  <c:v>3.39926818</c:v>
                </c:pt>
                <c:pt idx="43">
                  <c:v>2.2882314711111142</c:v>
                </c:pt>
                <c:pt idx="44">
                  <c:v>8.3754962800000019</c:v>
                </c:pt>
                <c:pt idx="45">
                  <c:v>5.9268430444444471</c:v>
                </c:pt>
                <c:pt idx="46">
                  <c:v>2.5539526355555586</c:v>
                </c:pt>
                <c:pt idx="47">
                  <c:v>2.3278118634447837</c:v>
                </c:pt>
                <c:pt idx="48">
                  <c:v>2.0464118634447845</c:v>
                </c:pt>
                <c:pt idx="49">
                  <c:v>0.87474041659545065</c:v>
                </c:pt>
                <c:pt idx="50">
                  <c:v>-1.1402144440520023</c:v>
                </c:pt>
                <c:pt idx="51">
                  <c:v>-0.53224775012400238</c:v>
                </c:pt>
                <c:pt idx="52">
                  <c:v>-0.76013025766800268</c:v>
                </c:pt>
                <c:pt idx="53">
                  <c:v>-0.48538728933600206</c:v>
                </c:pt>
                <c:pt idx="54">
                  <c:v>1.5245592577777807</c:v>
                </c:pt>
                <c:pt idx="55">
                  <c:v>0.92392644000000301</c:v>
                </c:pt>
                <c:pt idx="56">
                  <c:v>1.6899248200000001</c:v>
                </c:pt>
                <c:pt idx="57">
                  <c:v>2.5050141347624244</c:v>
                </c:pt>
                <c:pt idx="58">
                  <c:v>4.2724236599999994</c:v>
                </c:pt>
                <c:pt idx="59">
                  <c:v>5.7289646822222222</c:v>
                </c:pt>
                <c:pt idx="60">
                  <c:v>3.2134865637759997</c:v>
                </c:pt>
                <c:pt idx="61">
                  <c:v>5.5860954333333339</c:v>
                </c:pt>
                <c:pt idx="62">
                  <c:v>5.3583168599999995</c:v>
                </c:pt>
                <c:pt idx="63">
                  <c:v>3.3247694999999999</c:v>
                </c:pt>
                <c:pt idx="64">
                  <c:v>3.2012597000000005</c:v>
                </c:pt>
                <c:pt idx="65">
                  <c:v>4.6858292400000003</c:v>
                </c:pt>
                <c:pt idx="66">
                  <c:v>6.3963881377777811</c:v>
                </c:pt>
                <c:pt idx="67">
                  <c:v>2.1568131288888917</c:v>
                </c:pt>
                <c:pt idx="68">
                  <c:v>10.12045882666667</c:v>
                </c:pt>
                <c:pt idx="69">
                  <c:v>7.1790900000960001</c:v>
                </c:pt>
                <c:pt idx="70">
                  <c:v>4.0494918634447847</c:v>
                </c:pt>
                <c:pt idx="71">
                  <c:v>2.7682118634447845</c:v>
                </c:pt>
                <c:pt idx="72">
                  <c:v>1.5914118634447845</c:v>
                </c:pt>
                <c:pt idx="73">
                  <c:v>1.3200918634447842</c:v>
                </c:pt>
                <c:pt idx="74">
                  <c:v>-0.27901402224800709</c:v>
                </c:pt>
                <c:pt idx="75">
                  <c:v>-1.2150552513240023</c:v>
                </c:pt>
                <c:pt idx="76">
                  <c:v>-1.3519367229880022</c:v>
                </c:pt>
                <c:pt idx="77">
                  <c:v>-1.0501934331760023</c:v>
                </c:pt>
                <c:pt idx="78">
                  <c:v>4.5112500000832005</c:v>
                </c:pt>
                <c:pt idx="79">
                  <c:v>2.2332731427067363</c:v>
                </c:pt>
                <c:pt idx="80">
                  <c:v>1.7583011799999999</c:v>
                </c:pt>
                <c:pt idx="81">
                  <c:v>1.930344742222222</c:v>
                </c:pt>
                <c:pt idx="82">
                  <c:v>5.8725607241959992</c:v>
                </c:pt>
                <c:pt idx="83">
                  <c:v>4.4015972551760001</c:v>
                </c:pt>
                <c:pt idx="84">
                  <c:v>2.8972736273159998</c:v>
                </c:pt>
                <c:pt idx="85">
                  <c:v>6.6258088200000005</c:v>
                </c:pt>
                <c:pt idx="86">
                  <c:v>6.3852506501673068</c:v>
                </c:pt>
                <c:pt idx="87">
                  <c:v>3.7180358399999998</c:v>
                </c:pt>
                <c:pt idx="88">
                  <c:v>3.0151074000000002</c:v>
                </c:pt>
                <c:pt idx="89">
                  <c:v>3.4262342199999996</c:v>
                </c:pt>
                <c:pt idx="90">
                  <c:v>4.0541700000960006</c:v>
                </c:pt>
                <c:pt idx="91">
                  <c:v>2.8564244044444473</c:v>
                </c:pt>
                <c:pt idx="92">
                  <c:v>7.7768022577777804</c:v>
                </c:pt>
                <c:pt idx="93">
                  <c:v>9.7780460400000031</c:v>
                </c:pt>
                <c:pt idx="94">
                  <c:v>4.1188158711111136</c:v>
                </c:pt>
                <c:pt idx="95">
                  <c:v>2.4938918634447838</c:v>
                </c:pt>
                <c:pt idx="96">
                  <c:v>1.3052918634447841</c:v>
                </c:pt>
                <c:pt idx="97">
                  <c:v>0.97037186344478443</c:v>
                </c:pt>
                <c:pt idx="98">
                  <c:v>-0.96585140905588762</c:v>
                </c:pt>
                <c:pt idx="99">
                  <c:v>-0.56966815376000213</c:v>
                </c:pt>
                <c:pt idx="100">
                  <c:v>-1.3018561800440023</c:v>
                </c:pt>
                <c:pt idx="101">
                  <c:v>-0.67388934323600225</c:v>
                </c:pt>
                <c:pt idx="102">
                  <c:v>1.2098835333333362</c:v>
                </c:pt>
                <c:pt idx="103">
                  <c:v>0.70862961777778111</c:v>
                </c:pt>
                <c:pt idx="104">
                  <c:v>1.099116034808</c:v>
                </c:pt>
                <c:pt idx="105">
                  <c:v>2.4058924688888887</c:v>
                </c:pt>
                <c:pt idx="106">
                  <c:v>3.5824005688888891</c:v>
                </c:pt>
                <c:pt idx="107">
                  <c:v>3.1774882688888888</c:v>
                </c:pt>
                <c:pt idx="108">
                  <c:v>1.9279820862000001</c:v>
                </c:pt>
                <c:pt idx="109">
                  <c:v>6.3500200551479997</c:v>
                </c:pt>
                <c:pt idx="110">
                  <c:v>4.6329622644444441</c:v>
                </c:pt>
                <c:pt idx="111">
                  <c:v>5.4172815622222226</c:v>
                </c:pt>
                <c:pt idx="112">
                  <c:v>2.5915570977777778</c:v>
                </c:pt>
                <c:pt idx="113">
                  <c:v>4.2573823288888928</c:v>
                </c:pt>
                <c:pt idx="114">
                  <c:v>4.3797707866666702</c:v>
                </c:pt>
                <c:pt idx="115">
                  <c:v>2.4770691333333361</c:v>
                </c:pt>
                <c:pt idx="116">
                  <c:v>5.4586824520996942</c:v>
                </c:pt>
                <c:pt idx="117">
                  <c:v>3.900000000096</c:v>
                </c:pt>
                <c:pt idx="118">
                  <c:v>2.6557318634447844</c:v>
                </c:pt>
                <c:pt idx="119">
                  <c:v>2.2695318634447843</c:v>
                </c:pt>
                <c:pt idx="120">
                  <c:v>1.9450918634447842</c:v>
                </c:pt>
                <c:pt idx="121">
                  <c:v>0.96141186344478435</c:v>
                </c:pt>
                <c:pt idx="122">
                  <c:v>-0.76708025230858468</c:v>
                </c:pt>
                <c:pt idx="123">
                  <c:v>-1.366556912304002</c:v>
                </c:pt>
                <c:pt idx="124">
                  <c:v>-0.50888752151600247</c:v>
                </c:pt>
                <c:pt idx="125">
                  <c:v>-0.77391042555200196</c:v>
                </c:pt>
                <c:pt idx="126">
                  <c:v>1.6383577022222253</c:v>
                </c:pt>
                <c:pt idx="127">
                  <c:v>0.93728624444444686</c:v>
                </c:pt>
                <c:pt idx="128">
                  <c:v>0.72810511251582122</c:v>
                </c:pt>
                <c:pt idx="129">
                  <c:v>0.78348000010800023</c:v>
                </c:pt>
                <c:pt idx="130">
                  <c:v>3.9313563955555555</c:v>
                </c:pt>
                <c:pt idx="131">
                  <c:v>2.9414902777777776</c:v>
                </c:pt>
                <c:pt idx="132">
                  <c:v>2.1072209733120002</c:v>
                </c:pt>
                <c:pt idx="133">
                  <c:v>5.5755329977777777</c:v>
                </c:pt>
                <c:pt idx="134">
                  <c:v>5.1961071199999997</c:v>
                </c:pt>
                <c:pt idx="135">
                  <c:v>3.6281648199999998</c:v>
                </c:pt>
                <c:pt idx="136">
                  <c:v>1.892680000093</c:v>
                </c:pt>
                <c:pt idx="137">
                  <c:v>2.5019300001139997</c:v>
                </c:pt>
                <c:pt idx="138">
                  <c:v>2.2692400000959996</c:v>
                </c:pt>
                <c:pt idx="139">
                  <c:v>1.5314200000960001</c:v>
                </c:pt>
                <c:pt idx="140">
                  <c:v>7.1775482533333363</c:v>
                </c:pt>
                <c:pt idx="141">
                  <c:v>6.8251144133333366</c:v>
                </c:pt>
                <c:pt idx="142">
                  <c:v>3.0596518634447842</c:v>
                </c:pt>
                <c:pt idx="143">
                  <c:v>1.9534918634447844</c:v>
                </c:pt>
                <c:pt idx="144">
                  <c:v>1.2207718634447842</c:v>
                </c:pt>
                <c:pt idx="145">
                  <c:v>0.83037186344478431</c:v>
                </c:pt>
                <c:pt idx="146">
                  <c:v>-0.2692037328194925</c:v>
                </c:pt>
                <c:pt idx="147">
                  <c:v>-1.4543378660280024</c:v>
                </c:pt>
                <c:pt idx="148">
                  <c:v>-1.2633157478320023</c:v>
                </c:pt>
                <c:pt idx="149">
                  <c:v>-1.2158952727560024</c:v>
                </c:pt>
                <c:pt idx="150">
                  <c:v>0.83190867555555836</c:v>
                </c:pt>
                <c:pt idx="151">
                  <c:v>0.71100954222222457</c:v>
                </c:pt>
                <c:pt idx="152">
                  <c:v>0.84670752000000304</c:v>
                </c:pt>
                <c:pt idx="153">
                  <c:v>2.1211714399999999</c:v>
                </c:pt>
                <c:pt idx="154">
                  <c:v>4.402386513333334</c:v>
                </c:pt>
                <c:pt idx="155">
                  <c:v>2.7084402111111112</c:v>
                </c:pt>
                <c:pt idx="156">
                  <c:v>1.9836310400000001</c:v>
                </c:pt>
                <c:pt idx="157">
                  <c:v>3.2524641955555555</c:v>
                </c:pt>
                <c:pt idx="158">
                  <c:v>4.4446857577777781</c:v>
                </c:pt>
                <c:pt idx="159">
                  <c:v>2.86721944</c:v>
                </c:pt>
                <c:pt idx="160">
                  <c:v>4.3506119399999994</c:v>
                </c:pt>
                <c:pt idx="161">
                  <c:v>2.4942689331538039</c:v>
                </c:pt>
                <c:pt idx="162">
                  <c:v>2.8643878088888917</c:v>
                </c:pt>
                <c:pt idx="163">
                  <c:v>2.1935326488888918</c:v>
                </c:pt>
                <c:pt idx="164">
                  <c:v>7.0513895155555577</c:v>
                </c:pt>
                <c:pt idx="165">
                  <c:v>2.2509583688888921</c:v>
                </c:pt>
                <c:pt idx="166">
                  <c:v>2.1277318634447844</c:v>
                </c:pt>
                <c:pt idx="167">
                  <c:v>1.5046918634447843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9-4328-840D-99AB1D63E11E}"/>
            </c:ext>
          </c:extLst>
        </c:ser>
        <c:ser>
          <c:idx val="2"/>
          <c:order val="2"/>
          <c:tx>
            <c:strRef>
              <c:f>Costs!$AM$1</c:f>
              <c:strCache>
                <c:ptCount val="1"/>
                <c:pt idx="0">
                  <c:v>Revenues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Costs!$AM$2:$AM$169</c:f>
              <c:numCache>
                <c:formatCode>0.0</c:formatCode>
                <c:ptCount val="168"/>
                <c:pt idx="0">
                  <c:v>2.0076000000000001</c:v>
                </c:pt>
                <c:pt idx="1">
                  <c:v>1.20878</c:v>
                </c:pt>
                <c:pt idx="2">
                  <c:v>1.7763800000000001</c:v>
                </c:pt>
                <c:pt idx="3">
                  <c:v>2.1819199999999999</c:v>
                </c:pt>
                <c:pt idx="4">
                  <c:v>2.1938800000000001</c:v>
                </c:pt>
                <c:pt idx="5">
                  <c:v>2.1168</c:v>
                </c:pt>
                <c:pt idx="6">
                  <c:v>1.5631200000000001</c:v>
                </c:pt>
                <c:pt idx="7">
                  <c:v>1.2309400000000001</c:v>
                </c:pt>
                <c:pt idx="8">
                  <c:v>1.2217800000000001</c:v>
                </c:pt>
                <c:pt idx="9">
                  <c:v>3.1652200000000001</c:v>
                </c:pt>
                <c:pt idx="10">
                  <c:v>4.0897600000000001</c:v>
                </c:pt>
                <c:pt idx="11">
                  <c:v>5.3015800000000004</c:v>
                </c:pt>
                <c:pt idx="12">
                  <c:v>4.5177700000000005</c:v>
                </c:pt>
                <c:pt idx="13">
                  <c:v>6.7112799999999995</c:v>
                </c:pt>
                <c:pt idx="14">
                  <c:v>6.7367400000000002</c:v>
                </c:pt>
                <c:pt idx="15">
                  <c:v>2.7962445161021705</c:v>
                </c:pt>
                <c:pt idx="16">
                  <c:v>4.5571400000000004</c:v>
                </c:pt>
                <c:pt idx="17">
                  <c:v>4.0823</c:v>
                </c:pt>
                <c:pt idx="18">
                  <c:v>5.51</c:v>
                </c:pt>
                <c:pt idx="19">
                  <c:v>2.71</c:v>
                </c:pt>
                <c:pt idx="20">
                  <c:v>10.64</c:v>
                </c:pt>
                <c:pt idx="21">
                  <c:v>11.64</c:v>
                </c:pt>
                <c:pt idx="22">
                  <c:v>3.16</c:v>
                </c:pt>
                <c:pt idx="23">
                  <c:v>2.73</c:v>
                </c:pt>
                <c:pt idx="24">
                  <c:v>2.5128399999999997</c:v>
                </c:pt>
                <c:pt idx="25">
                  <c:v>1.2718</c:v>
                </c:pt>
                <c:pt idx="26">
                  <c:v>0.54046000000000005</c:v>
                </c:pt>
                <c:pt idx="27">
                  <c:v>1.7908599999999999</c:v>
                </c:pt>
                <c:pt idx="28">
                  <c:v>1.0225200000000001</c:v>
                </c:pt>
                <c:pt idx="29">
                  <c:v>1.1836</c:v>
                </c:pt>
                <c:pt idx="30">
                  <c:v>4.1091900000584998</c:v>
                </c:pt>
                <c:pt idx="31">
                  <c:v>1.3448297647873741</c:v>
                </c:pt>
                <c:pt idx="32">
                  <c:v>1.9128699999999998</c:v>
                </c:pt>
                <c:pt idx="33">
                  <c:v>3.1416599999999999</c:v>
                </c:pt>
                <c:pt idx="34">
                  <c:v>5.4459300000000006</c:v>
                </c:pt>
                <c:pt idx="35">
                  <c:v>5.6745800000000006</c:v>
                </c:pt>
                <c:pt idx="36">
                  <c:v>6.1389100000000001</c:v>
                </c:pt>
                <c:pt idx="37">
                  <c:v>6.04026</c:v>
                </c:pt>
                <c:pt idx="38">
                  <c:v>7.1010600000000004</c:v>
                </c:pt>
                <c:pt idx="39">
                  <c:v>3.4508000000000001</c:v>
                </c:pt>
                <c:pt idx="40">
                  <c:v>3.9856800000000003</c:v>
                </c:pt>
                <c:pt idx="41">
                  <c:v>4.9740200000000003</c:v>
                </c:pt>
                <c:pt idx="42">
                  <c:v>3.3992999999999998</c:v>
                </c:pt>
                <c:pt idx="43">
                  <c:v>2.2882600000000002</c:v>
                </c:pt>
                <c:pt idx="44">
                  <c:v>8.3755799999999994</c:v>
                </c:pt>
                <c:pt idx="45">
                  <c:v>5.9268999999999998</c:v>
                </c:pt>
                <c:pt idx="46">
                  <c:v>2.5539800000000001</c:v>
                </c:pt>
                <c:pt idx="47">
                  <c:v>3.1079999999999997</c:v>
                </c:pt>
                <c:pt idx="48">
                  <c:v>2.7891000000000004</c:v>
                </c:pt>
                <c:pt idx="49">
                  <c:v>1.27278</c:v>
                </c:pt>
                <c:pt idx="50">
                  <c:v>1.3598600000000001</c:v>
                </c:pt>
                <c:pt idx="51">
                  <c:v>1.9678200000000001</c:v>
                </c:pt>
                <c:pt idx="52">
                  <c:v>1.7399399999999998</c:v>
                </c:pt>
                <c:pt idx="53">
                  <c:v>2.0146800000000002</c:v>
                </c:pt>
                <c:pt idx="54">
                  <c:v>1.52458</c:v>
                </c:pt>
                <c:pt idx="55">
                  <c:v>0.92393999999999998</c:v>
                </c:pt>
                <c:pt idx="56">
                  <c:v>1.68994</c:v>
                </c:pt>
                <c:pt idx="57">
                  <c:v>2.9308000000000001</c:v>
                </c:pt>
                <c:pt idx="58">
                  <c:v>4.2724599999999997</c:v>
                </c:pt>
                <c:pt idx="59">
                  <c:v>5.7290200000000002</c:v>
                </c:pt>
                <c:pt idx="60">
                  <c:v>3.2135199999999999</c:v>
                </c:pt>
                <c:pt idx="61">
                  <c:v>5.5861200000000002</c:v>
                </c:pt>
                <c:pt idx="62">
                  <c:v>6.1962399999999995</c:v>
                </c:pt>
                <c:pt idx="63">
                  <c:v>4.8700799999999997</c:v>
                </c:pt>
                <c:pt idx="64">
                  <c:v>4.6612200000000001</c:v>
                </c:pt>
                <c:pt idx="65">
                  <c:v>7.1482400000000004</c:v>
                </c:pt>
                <c:pt idx="66">
                  <c:v>6.3964600000000003</c:v>
                </c:pt>
                <c:pt idx="67">
                  <c:v>2.1568399999999999</c:v>
                </c:pt>
                <c:pt idx="68">
                  <c:v>10.120560000000001</c:v>
                </c:pt>
                <c:pt idx="69">
                  <c:v>10.624739999999999</c:v>
                </c:pt>
                <c:pt idx="70">
                  <c:v>5.3358800000000004</c:v>
                </c:pt>
                <c:pt idx="71">
                  <c:v>3.6954000000000002</c:v>
                </c:pt>
                <c:pt idx="72">
                  <c:v>2.1686000000000001</c:v>
                </c:pt>
                <c:pt idx="73">
                  <c:v>1.9029800000000001</c:v>
                </c:pt>
                <c:pt idx="74">
                  <c:v>1.8018399999999999</c:v>
                </c:pt>
                <c:pt idx="75">
                  <c:v>1.2850200000000001</c:v>
                </c:pt>
                <c:pt idx="76">
                  <c:v>1.1481400000000002</c:v>
                </c:pt>
                <c:pt idx="77">
                  <c:v>1.4498799999999998</c:v>
                </c:pt>
                <c:pt idx="78">
                  <c:v>4.5113700000832004</c:v>
                </c:pt>
                <c:pt idx="79">
                  <c:v>2.2333187460826709</c:v>
                </c:pt>
                <c:pt idx="80">
                  <c:v>1.7583199999999999</c:v>
                </c:pt>
                <c:pt idx="81">
                  <c:v>1.9303599999999999</c:v>
                </c:pt>
                <c:pt idx="82">
                  <c:v>5.8726199999999995</c:v>
                </c:pt>
                <c:pt idx="83">
                  <c:v>4.4017200000000001</c:v>
                </c:pt>
                <c:pt idx="84">
                  <c:v>2.8974199999999999</c:v>
                </c:pt>
                <c:pt idx="85">
                  <c:v>6.6258500000000007</c:v>
                </c:pt>
                <c:pt idx="86">
                  <c:v>7.03</c:v>
                </c:pt>
                <c:pt idx="87">
                  <c:v>3.7180599999999999</c:v>
                </c:pt>
                <c:pt idx="88">
                  <c:v>3.0151300000000001</c:v>
                </c:pt>
                <c:pt idx="89">
                  <c:v>4.1334999999999997</c:v>
                </c:pt>
                <c:pt idx="90">
                  <c:v>6.5296200000000004</c:v>
                </c:pt>
                <c:pt idx="91">
                  <c:v>2.8564600000000002</c:v>
                </c:pt>
                <c:pt idx="92">
                  <c:v>7.7768800000000002</c:v>
                </c:pt>
                <c:pt idx="93">
                  <c:v>9.7781400000000005</c:v>
                </c:pt>
                <c:pt idx="94">
                  <c:v>4.1188599999999997</c:v>
                </c:pt>
                <c:pt idx="95">
                  <c:v>3.3292799999999998</c:v>
                </c:pt>
                <c:pt idx="96">
                  <c:v>1.77918</c:v>
                </c:pt>
                <c:pt idx="97">
                  <c:v>1.3989600000000002</c:v>
                </c:pt>
                <c:pt idx="98">
                  <c:v>1.2854399999999999</c:v>
                </c:pt>
                <c:pt idx="99">
                  <c:v>1.9304000000000001</c:v>
                </c:pt>
                <c:pt idx="100">
                  <c:v>1.1982200000000001</c:v>
                </c:pt>
                <c:pt idx="101">
                  <c:v>1.8261799999999999</c:v>
                </c:pt>
                <c:pt idx="102">
                  <c:v>1.2099</c:v>
                </c:pt>
                <c:pt idx="103">
                  <c:v>0.70864000000000005</c:v>
                </c:pt>
                <c:pt idx="104">
                  <c:v>1.0991599999999999</c:v>
                </c:pt>
                <c:pt idx="105">
                  <c:v>2.4059200000000001</c:v>
                </c:pt>
                <c:pt idx="106">
                  <c:v>3.5824400000000001</c:v>
                </c:pt>
                <c:pt idx="107">
                  <c:v>3.1775199999999999</c:v>
                </c:pt>
                <c:pt idx="108">
                  <c:v>1.9280000000000002</c:v>
                </c:pt>
                <c:pt idx="109">
                  <c:v>6.35006</c:v>
                </c:pt>
                <c:pt idx="110">
                  <c:v>4.633</c:v>
                </c:pt>
                <c:pt idx="111">
                  <c:v>5.4173400000000003</c:v>
                </c:pt>
                <c:pt idx="112">
                  <c:v>2.59158</c:v>
                </c:pt>
                <c:pt idx="113">
                  <c:v>4.2574399999999999</c:v>
                </c:pt>
                <c:pt idx="114">
                  <c:v>4.3798200000000005</c:v>
                </c:pt>
                <c:pt idx="115">
                  <c:v>2.4771000000000001</c:v>
                </c:pt>
                <c:pt idx="116">
                  <c:v>7.7874400000000001</c:v>
                </c:pt>
                <c:pt idx="117">
                  <c:v>5.7720000000000002</c:v>
                </c:pt>
                <c:pt idx="118">
                  <c:v>3.4997200000000004</c:v>
                </c:pt>
                <c:pt idx="119">
                  <c:v>3.0300199999999999</c:v>
                </c:pt>
                <c:pt idx="120">
                  <c:v>2.6504799999999999</c:v>
                </c:pt>
                <c:pt idx="121">
                  <c:v>1.3856000000000002</c:v>
                </c:pt>
                <c:pt idx="122">
                  <c:v>1.52332</c:v>
                </c:pt>
                <c:pt idx="123">
                  <c:v>1.1335200000000001</c:v>
                </c:pt>
                <c:pt idx="124">
                  <c:v>1.9911799999999999</c:v>
                </c:pt>
                <c:pt idx="125">
                  <c:v>1.7261600000000001</c:v>
                </c:pt>
                <c:pt idx="126">
                  <c:v>1.6383800000000002</c:v>
                </c:pt>
                <c:pt idx="127">
                  <c:v>0.93730000000000002</c:v>
                </c:pt>
                <c:pt idx="128">
                  <c:v>0.79159999999999997</c:v>
                </c:pt>
                <c:pt idx="129">
                  <c:v>1.8832800000000001</c:v>
                </c:pt>
                <c:pt idx="130">
                  <c:v>3.9314</c:v>
                </c:pt>
                <c:pt idx="131">
                  <c:v>2.9415199999999997</c:v>
                </c:pt>
                <c:pt idx="132">
                  <c:v>2.10724</c:v>
                </c:pt>
                <c:pt idx="133">
                  <c:v>5.5755600000000003</c:v>
                </c:pt>
                <c:pt idx="134">
                  <c:v>5.1961599999999999</c:v>
                </c:pt>
                <c:pt idx="135">
                  <c:v>4.7804799999999998</c:v>
                </c:pt>
                <c:pt idx="136">
                  <c:v>3.6344799999999999</c:v>
                </c:pt>
                <c:pt idx="137">
                  <c:v>4.6089799999999999</c:v>
                </c:pt>
                <c:pt idx="138">
                  <c:v>3.6546399999999997</c:v>
                </c:pt>
                <c:pt idx="139">
                  <c:v>2.64412</c:v>
                </c:pt>
                <c:pt idx="140">
                  <c:v>7.1776200000000001</c:v>
                </c:pt>
                <c:pt idx="141">
                  <c:v>6.8251800000000005</c:v>
                </c:pt>
                <c:pt idx="142">
                  <c:v>4.0314399999999999</c:v>
                </c:pt>
                <c:pt idx="143">
                  <c:v>2.6078800000000002</c:v>
                </c:pt>
                <c:pt idx="144">
                  <c:v>1.6633599999999999</c:v>
                </c:pt>
                <c:pt idx="145">
                  <c:v>1.19696</c:v>
                </c:pt>
                <c:pt idx="146">
                  <c:v>1.6752400000000001</c:v>
                </c:pt>
                <c:pt idx="147">
                  <c:v>1.0457399999999999</c:v>
                </c:pt>
                <c:pt idx="148">
                  <c:v>1.2367600000000001</c:v>
                </c:pt>
                <c:pt idx="149">
                  <c:v>1.2841800000000001</c:v>
                </c:pt>
                <c:pt idx="150">
                  <c:v>0.83191999999999999</c:v>
                </c:pt>
                <c:pt idx="151">
                  <c:v>0.71101999999999999</c:v>
                </c:pt>
                <c:pt idx="152">
                  <c:v>0.84672000000000003</c:v>
                </c:pt>
                <c:pt idx="153">
                  <c:v>2.1211899999999999</c:v>
                </c:pt>
                <c:pt idx="154">
                  <c:v>4.4024200000000002</c:v>
                </c:pt>
                <c:pt idx="155">
                  <c:v>2.7084600000000001</c:v>
                </c:pt>
                <c:pt idx="156">
                  <c:v>1.9836500000000001</c:v>
                </c:pt>
                <c:pt idx="157">
                  <c:v>3.2524799999999998</c:v>
                </c:pt>
                <c:pt idx="158">
                  <c:v>4.4447200000000002</c:v>
                </c:pt>
                <c:pt idx="159">
                  <c:v>2.8672399999999998</c:v>
                </c:pt>
                <c:pt idx="160">
                  <c:v>4.3506599999999995</c:v>
                </c:pt>
                <c:pt idx="161">
                  <c:v>3.2274399999999996</c:v>
                </c:pt>
                <c:pt idx="162">
                  <c:v>2.86442</c:v>
                </c:pt>
                <c:pt idx="163">
                  <c:v>2.1935600000000002</c:v>
                </c:pt>
                <c:pt idx="164">
                  <c:v>7.0514599999999996</c:v>
                </c:pt>
                <c:pt idx="165">
                  <c:v>2.2509800000000002</c:v>
                </c:pt>
                <c:pt idx="166">
                  <c:v>2.8037200000000002</c:v>
                </c:pt>
                <c:pt idx="167">
                  <c:v>2.00908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72-41BE-BCB9-7C643C035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0603855"/>
        <c:axId val="1960606767"/>
      </c:barChart>
      <c:catAx>
        <c:axId val="196060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06767"/>
        <c:crosses val="autoZero"/>
        <c:auto val="1"/>
        <c:lblAlgn val="ctr"/>
        <c:lblOffset val="100"/>
        <c:noMultiLvlLbl val="1"/>
      </c:catAx>
      <c:valAx>
        <c:axId val="19606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0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Merit Order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Graphs!$BS$28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Graphs!$BT$29:$BT$34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23.28</c:v>
                </c:pt>
                <c:pt idx="2" formatCode="General">
                  <c:v>23.28</c:v>
                </c:pt>
                <c:pt idx="3">
                  <c:v>23.28</c:v>
                </c:pt>
                <c:pt idx="4" formatCode="General">
                  <c:v>23.28</c:v>
                </c:pt>
                <c:pt idx="5">
                  <c:v>23.28</c:v>
                </c:pt>
              </c:numCache>
            </c:numRef>
          </c:xVal>
          <c:yVal>
            <c:numRef>
              <c:f>Graphs!$BU$29:$BU$34</c:f>
              <c:numCache>
                <c:formatCode>0.0</c:formatCode>
                <c:ptCount val="6"/>
                <c:pt idx="0">
                  <c:v>0.5</c:v>
                </c:pt>
                <c:pt idx="1">
                  <c:v>0.5</c:v>
                </c:pt>
                <c:pt idx="2" formatCode="General">
                  <c:v>0.14000000000000001</c:v>
                </c:pt>
                <c:pt idx="3" formatCode="General">
                  <c:v>0.14000000000000001</c:v>
                </c:pt>
                <c:pt idx="4" formatCode="General">
                  <c:v>0.13</c:v>
                </c:pt>
                <c:pt idx="5" formatCode="General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4-4C64-AF23-5378A5A86E57}"/>
            </c:ext>
          </c:extLst>
        </c:ser>
        <c:ser>
          <c:idx val="1"/>
          <c:order val="1"/>
          <c:tx>
            <c:strRef>
              <c:f>Graphs!$BY$28</c:f>
              <c:strCache>
                <c:ptCount val="1"/>
                <c:pt idx="0">
                  <c:v>Supply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Graphs!$BZ$29:$BZ$36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17.260130579673373</c:v>
                </c:pt>
                <c:pt idx="4" formatCode="General">
                  <c:v>17.260130579673373</c:v>
                </c:pt>
                <c:pt idx="5">
                  <c:v>17.260130579673373</c:v>
                </c:pt>
                <c:pt idx="6">
                  <c:v>17.260130579673373</c:v>
                </c:pt>
                <c:pt idx="7">
                  <c:v>25.006013057517336</c:v>
                </c:pt>
              </c:numCache>
            </c:numRef>
          </c:xVal>
          <c:yVal>
            <c:numRef>
              <c:f>Graphs!$CA$29:$CA$36</c:f>
              <c:numCache>
                <c:formatCode>0.0</c:formatCode>
                <c:ptCount val="8"/>
                <c:pt idx="0">
                  <c:v>1.9999999999999999E-6</c:v>
                </c:pt>
                <c:pt idx="1">
                  <c:v>1.9999999999999999E-6</c:v>
                </c:pt>
                <c:pt idx="2" formatCode="General">
                  <c:v>3.9999999999999998E-6</c:v>
                </c:pt>
                <c:pt idx="3" formatCode="General">
                  <c:v>3.9999999999999998E-6</c:v>
                </c:pt>
                <c:pt idx="4" formatCode="General">
                  <c:v>0.15</c:v>
                </c:pt>
                <c:pt idx="5" formatCode="General">
                  <c:v>0.15</c:v>
                </c:pt>
                <c:pt idx="6" formatCode="0.000000">
                  <c:v>0.33332999999999996</c:v>
                </c:pt>
                <c:pt idx="7" formatCode="0.000000">
                  <c:v>0.33332999999999996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B4-4C64-AF23-5378A5A86E57}"/>
            </c:ext>
          </c:extLst>
        </c:ser>
        <c:ser>
          <c:idx val="2"/>
          <c:order val="2"/>
          <c:tx>
            <c:strRef>
              <c:f>Graphs!$BS$36</c:f>
              <c:strCache>
                <c:ptCount val="1"/>
                <c:pt idx="0">
                  <c:v>Bat. Charge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Graphs!$BT$36:$BT$37</c:f>
              <c:numCache>
                <c:formatCode>0.00000000000000</c:formatCode>
                <c:ptCount val="2"/>
                <c:pt idx="0" formatCode="0.00">
                  <c:v>23.28</c:v>
                </c:pt>
                <c:pt idx="1">
                  <c:v>25.006013057517336</c:v>
                </c:pt>
              </c:numCache>
            </c:numRef>
          </c:xVal>
          <c:yVal>
            <c:numRef>
              <c:f>Graphs!$BU$36:$BU$37</c:f>
              <c:numCache>
                <c:formatCode>0.0000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5-4BE1-9AEB-37678D930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341215"/>
        <c:axId val="2035354527"/>
      </c:scatterChart>
      <c:valAx>
        <c:axId val="20353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Energy suuplied 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54527"/>
        <c:crosses val="autoZero"/>
        <c:crossBetween val="midCat"/>
      </c:valAx>
      <c:valAx>
        <c:axId val="203535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Price/Cost [cent/kWh]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4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739720089304856"/>
          <c:y val="0.92012569597254801"/>
          <c:w val="0.49162051274459928"/>
          <c:h val="6.0465142342767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Revenue,</a:t>
            </a:r>
            <a:r>
              <a:rPr lang="fr-FR" b="1" baseline="0"/>
              <a:t> Costs and Profit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Costs!$AN$1</c:f>
              <c:strCache>
                <c:ptCount val="1"/>
                <c:pt idx="0">
                  <c:v>OPEX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Costs!$AM$2:$AM$169</c:f>
              <c:numCache>
                <c:formatCode>0.0</c:formatCode>
                <c:ptCount val="168"/>
                <c:pt idx="0">
                  <c:v>2.0076000000000001</c:v>
                </c:pt>
                <c:pt idx="1">
                  <c:v>1.20878</c:v>
                </c:pt>
                <c:pt idx="2">
                  <c:v>1.7763800000000001</c:v>
                </c:pt>
                <c:pt idx="3">
                  <c:v>2.1819199999999999</c:v>
                </c:pt>
                <c:pt idx="4">
                  <c:v>2.1938800000000001</c:v>
                </c:pt>
                <c:pt idx="5">
                  <c:v>2.1168</c:v>
                </c:pt>
                <c:pt idx="6">
                  <c:v>1.5631200000000001</c:v>
                </c:pt>
                <c:pt idx="7">
                  <c:v>1.2309400000000001</c:v>
                </c:pt>
                <c:pt idx="8">
                  <c:v>1.2217800000000001</c:v>
                </c:pt>
                <c:pt idx="9">
                  <c:v>3.1652200000000001</c:v>
                </c:pt>
                <c:pt idx="10">
                  <c:v>4.0897600000000001</c:v>
                </c:pt>
                <c:pt idx="11">
                  <c:v>5.3015800000000004</c:v>
                </c:pt>
                <c:pt idx="12">
                  <c:v>4.5177700000000005</c:v>
                </c:pt>
                <c:pt idx="13">
                  <c:v>6.7112799999999995</c:v>
                </c:pt>
                <c:pt idx="14">
                  <c:v>6.7367400000000002</c:v>
                </c:pt>
                <c:pt idx="15">
                  <c:v>2.7962445161021705</c:v>
                </c:pt>
                <c:pt idx="16">
                  <c:v>4.5571400000000004</c:v>
                </c:pt>
                <c:pt idx="17">
                  <c:v>4.0823</c:v>
                </c:pt>
                <c:pt idx="18">
                  <c:v>5.51</c:v>
                </c:pt>
                <c:pt idx="19">
                  <c:v>2.71</c:v>
                </c:pt>
                <c:pt idx="20">
                  <c:v>10.64</c:v>
                </c:pt>
                <c:pt idx="21">
                  <c:v>11.64</c:v>
                </c:pt>
                <c:pt idx="22">
                  <c:v>3.16</c:v>
                </c:pt>
                <c:pt idx="23">
                  <c:v>2.73</c:v>
                </c:pt>
                <c:pt idx="24">
                  <c:v>2.5128399999999997</c:v>
                </c:pt>
                <c:pt idx="25">
                  <c:v>1.2718</c:v>
                </c:pt>
                <c:pt idx="26">
                  <c:v>0.54046000000000005</c:v>
                </c:pt>
                <c:pt idx="27">
                  <c:v>1.7908599999999999</c:v>
                </c:pt>
                <c:pt idx="28">
                  <c:v>1.0225200000000001</c:v>
                </c:pt>
                <c:pt idx="29">
                  <c:v>1.1836</c:v>
                </c:pt>
                <c:pt idx="30">
                  <c:v>4.1091900000584998</c:v>
                </c:pt>
                <c:pt idx="31">
                  <c:v>1.3448297647873741</c:v>
                </c:pt>
                <c:pt idx="32">
                  <c:v>1.9128699999999998</c:v>
                </c:pt>
                <c:pt idx="33">
                  <c:v>3.1416599999999999</c:v>
                </c:pt>
                <c:pt idx="34">
                  <c:v>5.4459300000000006</c:v>
                </c:pt>
                <c:pt idx="35">
                  <c:v>5.6745800000000006</c:v>
                </c:pt>
                <c:pt idx="36">
                  <c:v>6.1389100000000001</c:v>
                </c:pt>
                <c:pt idx="37">
                  <c:v>6.04026</c:v>
                </c:pt>
                <c:pt idx="38">
                  <c:v>7.1010600000000004</c:v>
                </c:pt>
                <c:pt idx="39">
                  <c:v>3.4508000000000001</c:v>
                </c:pt>
                <c:pt idx="40">
                  <c:v>3.9856800000000003</c:v>
                </c:pt>
                <c:pt idx="41">
                  <c:v>4.9740200000000003</c:v>
                </c:pt>
                <c:pt idx="42">
                  <c:v>3.3992999999999998</c:v>
                </c:pt>
                <c:pt idx="43">
                  <c:v>2.2882600000000002</c:v>
                </c:pt>
                <c:pt idx="44">
                  <c:v>8.3755799999999994</c:v>
                </c:pt>
                <c:pt idx="45">
                  <c:v>5.9268999999999998</c:v>
                </c:pt>
                <c:pt idx="46">
                  <c:v>2.5539800000000001</c:v>
                </c:pt>
                <c:pt idx="47">
                  <c:v>3.1079999999999997</c:v>
                </c:pt>
                <c:pt idx="48">
                  <c:v>2.7891000000000004</c:v>
                </c:pt>
                <c:pt idx="49">
                  <c:v>1.27278</c:v>
                </c:pt>
                <c:pt idx="50">
                  <c:v>1.3598600000000001</c:v>
                </c:pt>
                <c:pt idx="51">
                  <c:v>1.9678200000000001</c:v>
                </c:pt>
                <c:pt idx="52">
                  <c:v>1.7399399999999998</c:v>
                </c:pt>
                <c:pt idx="53">
                  <c:v>2.0146800000000002</c:v>
                </c:pt>
                <c:pt idx="54">
                  <c:v>1.52458</c:v>
                </c:pt>
                <c:pt idx="55">
                  <c:v>0.92393999999999998</c:v>
                </c:pt>
                <c:pt idx="56">
                  <c:v>1.68994</c:v>
                </c:pt>
                <c:pt idx="57">
                  <c:v>2.9308000000000001</c:v>
                </c:pt>
                <c:pt idx="58">
                  <c:v>4.2724599999999997</c:v>
                </c:pt>
                <c:pt idx="59">
                  <c:v>5.7290200000000002</c:v>
                </c:pt>
                <c:pt idx="60">
                  <c:v>3.2135199999999999</c:v>
                </c:pt>
                <c:pt idx="61">
                  <c:v>5.5861200000000002</c:v>
                </c:pt>
                <c:pt idx="62">
                  <c:v>6.1962399999999995</c:v>
                </c:pt>
                <c:pt idx="63">
                  <c:v>4.8700799999999997</c:v>
                </c:pt>
                <c:pt idx="64">
                  <c:v>4.6612200000000001</c:v>
                </c:pt>
                <c:pt idx="65">
                  <c:v>7.1482400000000004</c:v>
                </c:pt>
                <c:pt idx="66">
                  <c:v>6.3964600000000003</c:v>
                </c:pt>
                <c:pt idx="67">
                  <c:v>2.1568399999999999</c:v>
                </c:pt>
                <c:pt idx="68">
                  <c:v>10.120560000000001</c:v>
                </c:pt>
                <c:pt idx="69">
                  <c:v>10.624739999999999</c:v>
                </c:pt>
                <c:pt idx="70">
                  <c:v>5.3358800000000004</c:v>
                </c:pt>
                <c:pt idx="71">
                  <c:v>3.6954000000000002</c:v>
                </c:pt>
                <c:pt idx="72">
                  <c:v>2.1686000000000001</c:v>
                </c:pt>
                <c:pt idx="73">
                  <c:v>1.9029800000000001</c:v>
                </c:pt>
                <c:pt idx="74">
                  <c:v>1.8018399999999999</c:v>
                </c:pt>
                <c:pt idx="75">
                  <c:v>1.2850200000000001</c:v>
                </c:pt>
                <c:pt idx="76">
                  <c:v>1.1481400000000002</c:v>
                </c:pt>
                <c:pt idx="77">
                  <c:v>1.4498799999999998</c:v>
                </c:pt>
                <c:pt idx="78">
                  <c:v>4.5113700000832004</c:v>
                </c:pt>
                <c:pt idx="79">
                  <c:v>2.2333187460826709</c:v>
                </c:pt>
                <c:pt idx="80">
                  <c:v>1.7583199999999999</c:v>
                </c:pt>
                <c:pt idx="81">
                  <c:v>1.9303599999999999</c:v>
                </c:pt>
                <c:pt idx="82">
                  <c:v>5.8726199999999995</c:v>
                </c:pt>
                <c:pt idx="83">
                  <c:v>4.4017200000000001</c:v>
                </c:pt>
                <c:pt idx="84">
                  <c:v>2.8974199999999999</c:v>
                </c:pt>
                <c:pt idx="85">
                  <c:v>6.6258500000000007</c:v>
                </c:pt>
                <c:pt idx="86">
                  <c:v>7.03</c:v>
                </c:pt>
                <c:pt idx="87">
                  <c:v>3.7180599999999999</c:v>
                </c:pt>
                <c:pt idx="88">
                  <c:v>3.0151300000000001</c:v>
                </c:pt>
                <c:pt idx="89">
                  <c:v>4.1334999999999997</c:v>
                </c:pt>
                <c:pt idx="90">
                  <c:v>6.5296200000000004</c:v>
                </c:pt>
                <c:pt idx="91">
                  <c:v>2.8564600000000002</c:v>
                </c:pt>
                <c:pt idx="92">
                  <c:v>7.7768800000000002</c:v>
                </c:pt>
                <c:pt idx="93">
                  <c:v>9.7781400000000005</c:v>
                </c:pt>
                <c:pt idx="94">
                  <c:v>4.1188599999999997</c:v>
                </c:pt>
                <c:pt idx="95">
                  <c:v>3.3292799999999998</c:v>
                </c:pt>
                <c:pt idx="96">
                  <c:v>1.77918</c:v>
                </c:pt>
                <c:pt idx="97">
                  <c:v>1.3989600000000002</c:v>
                </c:pt>
                <c:pt idx="98">
                  <c:v>1.2854399999999999</c:v>
                </c:pt>
                <c:pt idx="99">
                  <c:v>1.9304000000000001</c:v>
                </c:pt>
                <c:pt idx="100">
                  <c:v>1.1982200000000001</c:v>
                </c:pt>
                <c:pt idx="101">
                  <c:v>1.8261799999999999</c:v>
                </c:pt>
                <c:pt idx="102">
                  <c:v>1.2099</c:v>
                </c:pt>
                <c:pt idx="103">
                  <c:v>0.70864000000000005</c:v>
                </c:pt>
                <c:pt idx="104">
                  <c:v>1.0991599999999999</c:v>
                </c:pt>
                <c:pt idx="105">
                  <c:v>2.4059200000000001</c:v>
                </c:pt>
                <c:pt idx="106">
                  <c:v>3.5824400000000001</c:v>
                </c:pt>
                <c:pt idx="107">
                  <c:v>3.1775199999999999</c:v>
                </c:pt>
                <c:pt idx="108">
                  <c:v>1.9280000000000002</c:v>
                </c:pt>
                <c:pt idx="109">
                  <c:v>6.35006</c:v>
                </c:pt>
                <c:pt idx="110">
                  <c:v>4.633</c:v>
                </c:pt>
                <c:pt idx="111">
                  <c:v>5.4173400000000003</c:v>
                </c:pt>
                <c:pt idx="112">
                  <c:v>2.59158</c:v>
                </c:pt>
                <c:pt idx="113">
                  <c:v>4.2574399999999999</c:v>
                </c:pt>
                <c:pt idx="114">
                  <c:v>4.3798200000000005</c:v>
                </c:pt>
                <c:pt idx="115">
                  <c:v>2.4771000000000001</c:v>
                </c:pt>
                <c:pt idx="116">
                  <c:v>7.7874400000000001</c:v>
                </c:pt>
                <c:pt idx="117">
                  <c:v>5.7720000000000002</c:v>
                </c:pt>
                <c:pt idx="118">
                  <c:v>3.4997200000000004</c:v>
                </c:pt>
                <c:pt idx="119">
                  <c:v>3.0300199999999999</c:v>
                </c:pt>
                <c:pt idx="120">
                  <c:v>2.6504799999999999</c:v>
                </c:pt>
                <c:pt idx="121">
                  <c:v>1.3856000000000002</c:v>
                </c:pt>
                <c:pt idx="122">
                  <c:v>1.52332</c:v>
                </c:pt>
                <c:pt idx="123">
                  <c:v>1.1335200000000001</c:v>
                </c:pt>
                <c:pt idx="124">
                  <c:v>1.9911799999999999</c:v>
                </c:pt>
                <c:pt idx="125">
                  <c:v>1.7261600000000001</c:v>
                </c:pt>
                <c:pt idx="126">
                  <c:v>1.6383800000000002</c:v>
                </c:pt>
                <c:pt idx="127">
                  <c:v>0.93730000000000002</c:v>
                </c:pt>
                <c:pt idx="128">
                  <c:v>0.79159999999999997</c:v>
                </c:pt>
                <c:pt idx="129">
                  <c:v>1.8832800000000001</c:v>
                </c:pt>
                <c:pt idx="130">
                  <c:v>3.9314</c:v>
                </c:pt>
                <c:pt idx="131">
                  <c:v>2.9415199999999997</c:v>
                </c:pt>
                <c:pt idx="132">
                  <c:v>2.10724</c:v>
                </c:pt>
                <c:pt idx="133">
                  <c:v>5.5755600000000003</c:v>
                </c:pt>
                <c:pt idx="134">
                  <c:v>5.1961599999999999</c:v>
                </c:pt>
                <c:pt idx="135">
                  <c:v>4.7804799999999998</c:v>
                </c:pt>
                <c:pt idx="136">
                  <c:v>3.6344799999999999</c:v>
                </c:pt>
                <c:pt idx="137">
                  <c:v>4.6089799999999999</c:v>
                </c:pt>
                <c:pt idx="138">
                  <c:v>3.6546399999999997</c:v>
                </c:pt>
                <c:pt idx="139">
                  <c:v>2.64412</c:v>
                </c:pt>
                <c:pt idx="140">
                  <c:v>7.1776200000000001</c:v>
                </c:pt>
                <c:pt idx="141">
                  <c:v>6.8251800000000005</c:v>
                </c:pt>
                <c:pt idx="142">
                  <c:v>4.0314399999999999</c:v>
                </c:pt>
                <c:pt idx="143">
                  <c:v>2.6078800000000002</c:v>
                </c:pt>
                <c:pt idx="144">
                  <c:v>1.6633599999999999</c:v>
                </c:pt>
                <c:pt idx="145">
                  <c:v>1.19696</c:v>
                </c:pt>
                <c:pt idx="146">
                  <c:v>1.6752400000000001</c:v>
                </c:pt>
                <c:pt idx="147">
                  <c:v>1.0457399999999999</c:v>
                </c:pt>
                <c:pt idx="148">
                  <c:v>1.2367600000000001</c:v>
                </c:pt>
                <c:pt idx="149">
                  <c:v>1.2841800000000001</c:v>
                </c:pt>
                <c:pt idx="150">
                  <c:v>0.83191999999999999</c:v>
                </c:pt>
                <c:pt idx="151">
                  <c:v>0.71101999999999999</c:v>
                </c:pt>
                <c:pt idx="152">
                  <c:v>0.84672000000000003</c:v>
                </c:pt>
                <c:pt idx="153">
                  <c:v>2.1211899999999999</c:v>
                </c:pt>
                <c:pt idx="154">
                  <c:v>4.4024200000000002</c:v>
                </c:pt>
                <c:pt idx="155">
                  <c:v>2.7084600000000001</c:v>
                </c:pt>
                <c:pt idx="156">
                  <c:v>1.9836500000000001</c:v>
                </c:pt>
                <c:pt idx="157">
                  <c:v>3.2524799999999998</c:v>
                </c:pt>
                <c:pt idx="158">
                  <c:v>4.4447200000000002</c:v>
                </c:pt>
                <c:pt idx="159">
                  <c:v>2.8672399999999998</c:v>
                </c:pt>
                <c:pt idx="160">
                  <c:v>4.3506599999999995</c:v>
                </c:pt>
                <c:pt idx="161">
                  <c:v>3.2274399999999996</c:v>
                </c:pt>
                <c:pt idx="162">
                  <c:v>2.86442</c:v>
                </c:pt>
                <c:pt idx="163">
                  <c:v>2.1935600000000002</c:v>
                </c:pt>
                <c:pt idx="164">
                  <c:v>7.0514599999999996</c:v>
                </c:pt>
                <c:pt idx="165">
                  <c:v>2.2509800000000002</c:v>
                </c:pt>
                <c:pt idx="166">
                  <c:v>2.8037200000000002</c:v>
                </c:pt>
                <c:pt idx="167">
                  <c:v>2.00908</c:v>
                </c:pt>
              </c:numCache>
            </c:numRef>
          </c:cat>
          <c:val>
            <c:numRef>
              <c:f>Costs!$AN$2:$AN$49</c:f>
              <c:numCache>
                <c:formatCode>0.0</c:formatCode>
                <c:ptCount val="48"/>
                <c:pt idx="0">
                  <c:v>-0.53399999995500003</c:v>
                </c:pt>
                <c:pt idx="1">
                  <c:v>-0.36969999995500002</c:v>
                </c:pt>
                <c:pt idx="2">
                  <c:v>-0.63317400068307539</c:v>
                </c:pt>
                <c:pt idx="3">
                  <c:v>-2.5000654104640017</c:v>
                </c:pt>
                <c:pt idx="4">
                  <c:v>-2.5000652890160016</c:v>
                </c:pt>
                <c:pt idx="5">
                  <c:v>-2.5000661534400015</c:v>
                </c:pt>
                <c:pt idx="6">
                  <c:v>-0.71819999993250005</c:v>
                </c:pt>
                <c:pt idx="7">
                  <c:v>-0.32865373999999992</c:v>
                </c:pt>
                <c:pt idx="8">
                  <c:v>-5.8057319999999933E-2</c:v>
                </c:pt>
                <c:pt idx="9">
                  <c:v>-1.2484580000000001</c:v>
                </c:pt>
                <c:pt idx="10">
                  <c:v>-1.14511086</c:v>
                </c:pt>
                <c:pt idx="11">
                  <c:v>-0.46907762000000008</c:v>
                </c:pt>
                <c:pt idx="12">
                  <c:v>-2.476E-5</c:v>
                </c:pt>
                <c:pt idx="13">
                  <c:v>-3.4499999999999998E-5</c:v>
                </c:pt>
                <c:pt idx="14">
                  <c:v>-0.44268140000000006</c:v>
                </c:pt>
                <c:pt idx="15">
                  <c:v>-1.9460240834484967E-5</c:v>
                </c:pt>
                <c:pt idx="16">
                  <c:v>-0.69466983999999998</c:v>
                </c:pt>
                <c:pt idx="17">
                  <c:v>-1.2731387132076286</c:v>
                </c:pt>
                <c:pt idx="18">
                  <c:v>-4.3942222222222232E-5</c:v>
                </c:pt>
                <c:pt idx="19">
                  <c:v>-2.4088888886888886E-5</c:v>
                </c:pt>
                <c:pt idx="20">
                  <c:v>-9.4577777775777783E-5</c:v>
                </c:pt>
                <c:pt idx="21">
                  <c:v>-2.7954488200027274</c:v>
                </c:pt>
                <c:pt idx="22">
                  <c:v>-2.8088888886888888E-5</c:v>
                </c:pt>
                <c:pt idx="23">
                  <c:v>-2.4266666664666669E-5</c:v>
                </c:pt>
                <c:pt idx="24">
                  <c:v>-0.66878813657421576</c:v>
                </c:pt>
                <c:pt idx="25">
                  <c:v>-0.3891881365742158</c:v>
                </c:pt>
                <c:pt idx="26">
                  <c:v>-1.7292504928794057</c:v>
                </c:pt>
                <c:pt idx="27">
                  <c:v>-2.5000696932920015</c:v>
                </c:pt>
                <c:pt idx="28">
                  <c:v>-2.5000780910640015</c:v>
                </c:pt>
                <c:pt idx="29">
                  <c:v>-2.5000763693600017</c:v>
                </c:pt>
                <c:pt idx="30">
                  <c:v>-1.1999999999999999E-4</c:v>
                </c:pt>
                <c:pt idx="31">
                  <c:v>-1.452375264230339E-5</c:v>
                </c:pt>
                <c:pt idx="32">
                  <c:v>-1.4439999999999999E-5</c:v>
                </c:pt>
                <c:pt idx="33">
                  <c:v>-3.222E-5</c:v>
                </c:pt>
                <c:pt idx="34">
                  <c:v>-6.0039999999999994E-5</c:v>
                </c:pt>
                <c:pt idx="35">
                  <c:v>-6.9679999999999997E-5</c:v>
                </c:pt>
                <c:pt idx="36">
                  <c:v>-6.19E-5</c:v>
                </c:pt>
                <c:pt idx="37">
                  <c:v>-9.4714892000000002E-5</c:v>
                </c:pt>
                <c:pt idx="38">
                  <c:v>-5.4925172000000011E-5</c:v>
                </c:pt>
                <c:pt idx="39">
                  <c:v>-8.8569680000000005E-5</c:v>
                </c:pt>
                <c:pt idx="40">
                  <c:v>-2.7180175999999995E-5</c:v>
                </c:pt>
                <c:pt idx="41">
                  <c:v>-4.6637777777777778E-5</c:v>
                </c:pt>
                <c:pt idx="42">
                  <c:v>-3.181999999999999E-5</c:v>
                </c:pt>
                <c:pt idx="43">
                  <c:v>-2.8528888886044447E-5</c:v>
                </c:pt>
                <c:pt idx="44">
                  <c:v>-8.3719999997155546E-5</c:v>
                </c:pt>
                <c:pt idx="45">
                  <c:v>-5.6955555552711113E-5</c:v>
                </c:pt>
                <c:pt idx="46">
                  <c:v>-2.7364444441599999E-5</c:v>
                </c:pt>
                <c:pt idx="47">
                  <c:v>-0.78018813655521579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8-49A7-B4FC-6A72E99EAC6F}"/>
            </c:ext>
          </c:extLst>
        </c:ser>
        <c:ser>
          <c:idx val="1"/>
          <c:order val="1"/>
          <c:tx>
            <c:strRef>
              <c:f>Costs!$AO$1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Costs!$AM$2:$AM$169</c:f>
              <c:numCache>
                <c:formatCode>0.0</c:formatCode>
                <c:ptCount val="168"/>
                <c:pt idx="0">
                  <c:v>2.0076000000000001</c:v>
                </c:pt>
                <c:pt idx="1">
                  <c:v>1.20878</c:v>
                </c:pt>
                <c:pt idx="2">
                  <c:v>1.7763800000000001</c:v>
                </c:pt>
                <c:pt idx="3">
                  <c:v>2.1819199999999999</c:v>
                </c:pt>
                <c:pt idx="4">
                  <c:v>2.1938800000000001</c:v>
                </c:pt>
                <c:pt idx="5">
                  <c:v>2.1168</c:v>
                </c:pt>
                <c:pt idx="6">
                  <c:v>1.5631200000000001</c:v>
                </c:pt>
                <c:pt idx="7">
                  <c:v>1.2309400000000001</c:v>
                </c:pt>
                <c:pt idx="8">
                  <c:v>1.2217800000000001</c:v>
                </c:pt>
                <c:pt idx="9">
                  <c:v>3.1652200000000001</c:v>
                </c:pt>
                <c:pt idx="10">
                  <c:v>4.0897600000000001</c:v>
                </c:pt>
                <c:pt idx="11">
                  <c:v>5.3015800000000004</c:v>
                </c:pt>
                <c:pt idx="12">
                  <c:v>4.5177700000000005</c:v>
                </c:pt>
                <c:pt idx="13">
                  <c:v>6.7112799999999995</c:v>
                </c:pt>
                <c:pt idx="14">
                  <c:v>6.7367400000000002</c:v>
                </c:pt>
                <c:pt idx="15">
                  <c:v>2.7962445161021705</c:v>
                </c:pt>
                <c:pt idx="16">
                  <c:v>4.5571400000000004</c:v>
                </c:pt>
                <c:pt idx="17">
                  <c:v>4.0823</c:v>
                </c:pt>
                <c:pt idx="18">
                  <c:v>5.51</c:v>
                </c:pt>
                <c:pt idx="19">
                  <c:v>2.71</c:v>
                </c:pt>
                <c:pt idx="20">
                  <c:v>10.64</c:v>
                </c:pt>
                <c:pt idx="21">
                  <c:v>11.64</c:v>
                </c:pt>
                <c:pt idx="22">
                  <c:v>3.16</c:v>
                </c:pt>
                <c:pt idx="23">
                  <c:v>2.73</c:v>
                </c:pt>
                <c:pt idx="24">
                  <c:v>2.5128399999999997</c:v>
                </c:pt>
                <c:pt idx="25">
                  <c:v>1.2718</c:v>
                </c:pt>
                <c:pt idx="26">
                  <c:v>0.54046000000000005</c:v>
                </c:pt>
                <c:pt idx="27">
                  <c:v>1.7908599999999999</c:v>
                </c:pt>
                <c:pt idx="28">
                  <c:v>1.0225200000000001</c:v>
                </c:pt>
                <c:pt idx="29">
                  <c:v>1.1836</c:v>
                </c:pt>
                <c:pt idx="30">
                  <c:v>4.1091900000584998</c:v>
                </c:pt>
                <c:pt idx="31">
                  <c:v>1.3448297647873741</c:v>
                </c:pt>
                <c:pt idx="32">
                  <c:v>1.9128699999999998</c:v>
                </c:pt>
                <c:pt idx="33">
                  <c:v>3.1416599999999999</c:v>
                </c:pt>
                <c:pt idx="34">
                  <c:v>5.4459300000000006</c:v>
                </c:pt>
                <c:pt idx="35">
                  <c:v>5.6745800000000006</c:v>
                </c:pt>
                <c:pt idx="36">
                  <c:v>6.1389100000000001</c:v>
                </c:pt>
                <c:pt idx="37">
                  <c:v>6.04026</c:v>
                </c:pt>
                <c:pt idx="38">
                  <c:v>7.1010600000000004</c:v>
                </c:pt>
                <c:pt idx="39">
                  <c:v>3.4508000000000001</c:v>
                </c:pt>
                <c:pt idx="40">
                  <c:v>3.9856800000000003</c:v>
                </c:pt>
                <c:pt idx="41">
                  <c:v>4.9740200000000003</c:v>
                </c:pt>
                <c:pt idx="42">
                  <c:v>3.3992999999999998</c:v>
                </c:pt>
                <c:pt idx="43">
                  <c:v>2.2882600000000002</c:v>
                </c:pt>
                <c:pt idx="44">
                  <c:v>8.3755799999999994</c:v>
                </c:pt>
                <c:pt idx="45">
                  <c:v>5.9268999999999998</c:v>
                </c:pt>
                <c:pt idx="46">
                  <c:v>2.5539800000000001</c:v>
                </c:pt>
                <c:pt idx="47">
                  <c:v>3.1079999999999997</c:v>
                </c:pt>
                <c:pt idx="48">
                  <c:v>2.7891000000000004</c:v>
                </c:pt>
                <c:pt idx="49">
                  <c:v>1.27278</c:v>
                </c:pt>
                <c:pt idx="50">
                  <c:v>1.3598600000000001</c:v>
                </c:pt>
                <c:pt idx="51">
                  <c:v>1.9678200000000001</c:v>
                </c:pt>
                <c:pt idx="52">
                  <c:v>1.7399399999999998</c:v>
                </c:pt>
                <c:pt idx="53">
                  <c:v>2.0146800000000002</c:v>
                </c:pt>
                <c:pt idx="54">
                  <c:v>1.52458</c:v>
                </c:pt>
                <c:pt idx="55">
                  <c:v>0.92393999999999998</c:v>
                </c:pt>
                <c:pt idx="56">
                  <c:v>1.68994</c:v>
                </c:pt>
                <c:pt idx="57">
                  <c:v>2.9308000000000001</c:v>
                </c:pt>
                <c:pt idx="58">
                  <c:v>4.2724599999999997</c:v>
                </c:pt>
                <c:pt idx="59">
                  <c:v>5.7290200000000002</c:v>
                </c:pt>
                <c:pt idx="60">
                  <c:v>3.2135199999999999</c:v>
                </c:pt>
                <c:pt idx="61">
                  <c:v>5.5861200000000002</c:v>
                </c:pt>
                <c:pt idx="62">
                  <c:v>6.1962399999999995</c:v>
                </c:pt>
                <c:pt idx="63">
                  <c:v>4.8700799999999997</c:v>
                </c:pt>
                <c:pt idx="64">
                  <c:v>4.6612200000000001</c:v>
                </c:pt>
                <c:pt idx="65">
                  <c:v>7.1482400000000004</c:v>
                </c:pt>
                <c:pt idx="66">
                  <c:v>6.3964600000000003</c:v>
                </c:pt>
                <c:pt idx="67">
                  <c:v>2.1568399999999999</c:v>
                </c:pt>
                <c:pt idx="68">
                  <c:v>10.120560000000001</c:v>
                </c:pt>
                <c:pt idx="69">
                  <c:v>10.624739999999999</c:v>
                </c:pt>
                <c:pt idx="70">
                  <c:v>5.3358800000000004</c:v>
                </c:pt>
                <c:pt idx="71">
                  <c:v>3.6954000000000002</c:v>
                </c:pt>
                <c:pt idx="72">
                  <c:v>2.1686000000000001</c:v>
                </c:pt>
                <c:pt idx="73">
                  <c:v>1.9029800000000001</c:v>
                </c:pt>
                <c:pt idx="74">
                  <c:v>1.8018399999999999</c:v>
                </c:pt>
                <c:pt idx="75">
                  <c:v>1.2850200000000001</c:v>
                </c:pt>
                <c:pt idx="76">
                  <c:v>1.1481400000000002</c:v>
                </c:pt>
                <c:pt idx="77">
                  <c:v>1.4498799999999998</c:v>
                </c:pt>
                <c:pt idx="78">
                  <c:v>4.5113700000832004</c:v>
                </c:pt>
                <c:pt idx="79">
                  <c:v>2.2333187460826709</c:v>
                </c:pt>
                <c:pt idx="80">
                  <c:v>1.7583199999999999</c:v>
                </c:pt>
                <c:pt idx="81">
                  <c:v>1.9303599999999999</c:v>
                </c:pt>
                <c:pt idx="82">
                  <c:v>5.8726199999999995</c:v>
                </c:pt>
                <c:pt idx="83">
                  <c:v>4.4017200000000001</c:v>
                </c:pt>
                <c:pt idx="84">
                  <c:v>2.8974199999999999</c:v>
                </c:pt>
                <c:pt idx="85">
                  <c:v>6.6258500000000007</c:v>
                </c:pt>
                <c:pt idx="86">
                  <c:v>7.03</c:v>
                </c:pt>
                <c:pt idx="87">
                  <c:v>3.7180599999999999</c:v>
                </c:pt>
                <c:pt idx="88">
                  <c:v>3.0151300000000001</c:v>
                </c:pt>
                <c:pt idx="89">
                  <c:v>4.1334999999999997</c:v>
                </c:pt>
                <c:pt idx="90">
                  <c:v>6.5296200000000004</c:v>
                </c:pt>
                <c:pt idx="91">
                  <c:v>2.8564600000000002</c:v>
                </c:pt>
                <c:pt idx="92">
                  <c:v>7.7768800000000002</c:v>
                </c:pt>
                <c:pt idx="93">
                  <c:v>9.7781400000000005</c:v>
                </c:pt>
                <c:pt idx="94">
                  <c:v>4.1188599999999997</c:v>
                </c:pt>
                <c:pt idx="95">
                  <c:v>3.3292799999999998</c:v>
                </c:pt>
                <c:pt idx="96">
                  <c:v>1.77918</c:v>
                </c:pt>
                <c:pt idx="97">
                  <c:v>1.3989600000000002</c:v>
                </c:pt>
                <c:pt idx="98">
                  <c:v>1.2854399999999999</c:v>
                </c:pt>
                <c:pt idx="99">
                  <c:v>1.9304000000000001</c:v>
                </c:pt>
                <c:pt idx="100">
                  <c:v>1.1982200000000001</c:v>
                </c:pt>
                <c:pt idx="101">
                  <c:v>1.8261799999999999</c:v>
                </c:pt>
                <c:pt idx="102">
                  <c:v>1.2099</c:v>
                </c:pt>
                <c:pt idx="103">
                  <c:v>0.70864000000000005</c:v>
                </c:pt>
                <c:pt idx="104">
                  <c:v>1.0991599999999999</c:v>
                </c:pt>
                <c:pt idx="105">
                  <c:v>2.4059200000000001</c:v>
                </c:pt>
                <c:pt idx="106">
                  <c:v>3.5824400000000001</c:v>
                </c:pt>
                <c:pt idx="107">
                  <c:v>3.1775199999999999</c:v>
                </c:pt>
                <c:pt idx="108">
                  <c:v>1.9280000000000002</c:v>
                </c:pt>
                <c:pt idx="109">
                  <c:v>6.35006</c:v>
                </c:pt>
                <c:pt idx="110">
                  <c:v>4.633</c:v>
                </c:pt>
                <c:pt idx="111">
                  <c:v>5.4173400000000003</c:v>
                </c:pt>
                <c:pt idx="112">
                  <c:v>2.59158</c:v>
                </c:pt>
                <c:pt idx="113">
                  <c:v>4.2574399999999999</c:v>
                </c:pt>
                <c:pt idx="114">
                  <c:v>4.3798200000000005</c:v>
                </c:pt>
                <c:pt idx="115">
                  <c:v>2.4771000000000001</c:v>
                </c:pt>
                <c:pt idx="116">
                  <c:v>7.7874400000000001</c:v>
                </c:pt>
                <c:pt idx="117">
                  <c:v>5.7720000000000002</c:v>
                </c:pt>
                <c:pt idx="118">
                  <c:v>3.4997200000000004</c:v>
                </c:pt>
                <c:pt idx="119">
                  <c:v>3.0300199999999999</c:v>
                </c:pt>
                <c:pt idx="120">
                  <c:v>2.6504799999999999</c:v>
                </c:pt>
                <c:pt idx="121">
                  <c:v>1.3856000000000002</c:v>
                </c:pt>
                <c:pt idx="122">
                  <c:v>1.52332</c:v>
                </c:pt>
                <c:pt idx="123">
                  <c:v>1.1335200000000001</c:v>
                </c:pt>
                <c:pt idx="124">
                  <c:v>1.9911799999999999</c:v>
                </c:pt>
                <c:pt idx="125">
                  <c:v>1.7261600000000001</c:v>
                </c:pt>
                <c:pt idx="126">
                  <c:v>1.6383800000000002</c:v>
                </c:pt>
                <c:pt idx="127">
                  <c:v>0.93730000000000002</c:v>
                </c:pt>
                <c:pt idx="128">
                  <c:v>0.79159999999999997</c:v>
                </c:pt>
                <c:pt idx="129">
                  <c:v>1.8832800000000001</c:v>
                </c:pt>
                <c:pt idx="130">
                  <c:v>3.9314</c:v>
                </c:pt>
                <c:pt idx="131">
                  <c:v>2.9415199999999997</c:v>
                </c:pt>
                <c:pt idx="132">
                  <c:v>2.10724</c:v>
                </c:pt>
                <c:pt idx="133">
                  <c:v>5.5755600000000003</c:v>
                </c:pt>
                <c:pt idx="134">
                  <c:v>5.1961599999999999</c:v>
                </c:pt>
                <c:pt idx="135">
                  <c:v>4.7804799999999998</c:v>
                </c:pt>
                <c:pt idx="136">
                  <c:v>3.6344799999999999</c:v>
                </c:pt>
                <c:pt idx="137">
                  <c:v>4.6089799999999999</c:v>
                </c:pt>
                <c:pt idx="138">
                  <c:v>3.6546399999999997</c:v>
                </c:pt>
                <c:pt idx="139">
                  <c:v>2.64412</c:v>
                </c:pt>
                <c:pt idx="140">
                  <c:v>7.1776200000000001</c:v>
                </c:pt>
                <c:pt idx="141">
                  <c:v>6.8251800000000005</c:v>
                </c:pt>
                <c:pt idx="142">
                  <c:v>4.0314399999999999</c:v>
                </c:pt>
                <c:pt idx="143">
                  <c:v>2.6078800000000002</c:v>
                </c:pt>
                <c:pt idx="144">
                  <c:v>1.6633599999999999</c:v>
                </c:pt>
                <c:pt idx="145">
                  <c:v>1.19696</c:v>
                </c:pt>
                <c:pt idx="146">
                  <c:v>1.6752400000000001</c:v>
                </c:pt>
                <c:pt idx="147">
                  <c:v>1.0457399999999999</c:v>
                </c:pt>
                <c:pt idx="148">
                  <c:v>1.2367600000000001</c:v>
                </c:pt>
                <c:pt idx="149">
                  <c:v>1.2841800000000001</c:v>
                </c:pt>
                <c:pt idx="150">
                  <c:v>0.83191999999999999</c:v>
                </c:pt>
                <c:pt idx="151">
                  <c:v>0.71101999999999999</c:v>
                </c:pt>
                <c:pt idx="152">
                  <c:v>0.84672000000000003</c:v>
                </c:pt>
                <c:pt idx="153">
                  <c:v>2.1211899999999999</c:v>
                </c:pt>
                <c:pt idx="154">
                  <c:v>4.4024200000000002</c:v>
                </c:pt>
                <c:pt idx="155">
                  <c:v>2.7084600000000001</c:v>
                </c:pt>
                <c:pt idx="156">
                  <c:v>1.9836500000000001</c:v>
                </c:pt>
                <c:pt idx="157">
                  <c:v>3.2524799999999998</c:v>
                </c:pt>
                <c:pt idx="158">
                  <c:v>4.4447200000000002</c:v>
                </c:pt>
                <c:pt idx="159">
                  <c:v>2.8672399999999998</c:v>
                </c:pt>
                <c:pt idx="160">
                  <c:v>4.3506599999999995</c:v>
                </c:pt>
                <c:pt idx="161">
                  <c:v>3.2274399999999996</c:v>
                </c:pt>
                <c:pt idx="162">
                  <c:v>2.86442</c:v>
                </c:pt>
                <c:pt idx="163">
                  <c:v>2.1935600000000002</c:v>
                </c:pt>
                <c:pt idx="164">
                  <c:v>7.0514599999999996</c:v>
                </c:pt>
                <c:pt idx="165">
                  <c:v>2.2509800000000002</c:v>
                </c:pt>
                <c:pt idx="166">
                  <c:v>2.8037200000000002</c:v>
                </c:pt>
                <c:pt idx="167">
                  <c:v>2.00908</c:v>
                </c:pt>
              </c:numCache>
            </c:numRef>
          </c:cat>
          <c:val>
            <c:numRef>
              <c:f>Costs!$AO$2:$AO$49</c:f>
              <c:numCache>
                <c:formatCode>0.0</c:formatCode>
                <c:ptCount val="48"/>
                <c:pt idx="0">
                  <c:v>1.473600000045</c:v>
                </c:pt>
                <c:pt idx="1">
                  <c:v>0.83908000004499994</c:v>
                </c:pt>
                <c:pt idx="2">
                  <c:v>1.1432059993169248</c:v>
                </c:pt>
                <c:pt idx="3">
                  <c:v>-0.3181454104640018</c:v>
                </c:pt>
                <c:pt idx="4">
                  <c:v>-0.30618528901600151</c:v>
                </c:pt>
                <c:pt idx="5">
                  <c:v>-0.38326615344000148</c:v>
                </c:pt>
                <c:pt idx="6">
                  <c:v>0.84492000006750001</c:v>
                </c:pt>
                <c:pt idx="7">
                  <c:v>0.90228626000000023</c:v>
                </c:pt>
                <c:pt idx="8">
                  <c:v>1.1637226800000002</c:v>
                </c:pt>
                <c:pt idx="9">
                  <c:v>1.9167620000000001</c:v>
                </c:pt>
                <c:pt idx="10">
                  <c:v>2.9446491400000001</c:v>
                </c:pt>
                <c:pt idx="11">
                  <c:v>4.8325023800000002</c:v>
                </c:pt>
                <c:pt idx="12">
                  <c:v>4.5177452400000009</c:v>
                </c:pt>
                <c:pt idx="13">
                  <c:v>6.7112454999999995</c:v>
                </c:pt>
                <c:pt idx="14">
                  <c:v>6.2940586000000005</c:v>
                </c:pt>
                <c:pt idx="15">
                  <c:v>2.7962250558613362</c:v>
                </c:pt>
                <c:pt idx="16">
                  <c:v>3.8624701600000004</c:v>
                </c:pt>
                <c:pt idx="17">
                  <c:v>2.8091612867923716</c:v>
                </c:pt>
                <c:pt idx="18">
                  <c:v>5.509956057777778</c:v>
                </c:pt>
                <c:pt idx="19">
                  <c:v>2.7099759111111132</c:v>
                </c:pt>
                <c:pt idx="20">
                  <c:v>10.639905422222224</c:v>
                </c:pt>
                <c:pt idx="21">
                  <c:v>8.8445511799972731</c:v>
                </c:pt>
                <c:pt idx="22">
                  <c:v>3.1599719111111133</c:v>
                </c:pt>
                <c:pt idx="23">
                  <c:v>2.7299757333333354</c:v>
                </c:pt>
                <c:pt idx="24">
                  <c:v>1.8440518634257841</c:v>
                </c:pt>
                <c:pt idx="25">
                  <c:v>0.88261186342578424</c:v>
                </c:pt>
                <c:pt idx="26">
                  <c:v>-1.1887904928794057</c:v>
                </c:pt>
                <c:pt idx="27">
                  <c:v>-0.70920969329200156</c:v>
                </c:pt>
                <c:pt idx="28">
                  <c:v>-1.4775580910640014</c:v>
                </c:pt>
                <c:pt idx="29">
                  <c:v>-1.3164763693600017</c:v>
                </c:pt>
                <c:pt idx="30">
                  <c:v>4.1090700000584999</c:v>
                </c:pt>
                <c:pt idx="31">
                  <c:v>1.3448152410347318</c:v>
                </c:pt>
                <c:pt idx="32">
                  <c:v>1.9128555599999999</c:v>
                </c:pt>
                <c:pt idx="33">
                  <c:v>3.1416277799999999</c:v>
                </c:pt>
                <c:pt idx="34">
                  <c:v>5.4458699600000005</c:v>
                </c:pt>
                <c:pt idx="35">
                  <c:v>5.6745103200000004</c:v>
                </c:pt>
                <c:pt idx="36">
                  <c:v>6.1388480999999997</c:v>
                </c:pt>
                <c:pt idx="37">
                  <c:v>6.0401652851080003</c:v>
                </c:pt>
                <c:pt idx="38">
                  <c:v>7.1010050748280005</c:v>
                </c:pt>
                <c:pt idx="39">
                  <c:v>3.4507114303200002</c:v>
                </c:pt>
                <c:pt idx="40">
                  <c:v>3.9856528198240002</c:v>
                </c:pt>
                <c:pt idx="41">
                  <c:v>4.9739733622222229</c:v>
                </c:pt>
                <c:pt idx="42">
                  <c:v>3.39926818</c:v>
                </c:pt>
                <c:pt idx="43">
                  <c:v>2.2882314711111142</c:v>
                </c:pt>
                <c:pt idx="44">
                  <c:v>8.3754962800000019</c:v>
                </c:pt>
                <c:pt idx="45">
                  <c:v>5.9268430444444471</c:v>
                </c:pt>
                <c:pt idx="46">
                  <c:v>2.5539526355555586</c:v>
                </c:pt>
                <c:pt idx="47">
                  <c:v>2.3278118634447837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8-49A7-B4FC-6A72E99EAC6F}"/>
            </c:ext>
          </c:extLst>
        </c:ser>
        <c:ser>
          <c:idx val="2"/>
          <c:order val="2"/>
          <c:tx>
            <c:strRef>
              <c:f>Costs!$AM$1</c:f>
              <c:strCache>
                <c:ptCount val="1"/>
                <c:pt idx="0">
                  <c:v>Revenues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Costs!$AM$2:$AM$49</c:f>
              <c:numCache>
                <c:formatCode>0.0</c:formatCode>
                <c:ptCount val="48"/>
                <c:pt idx="0">
                  <c:v>2.0076000000000001</c:v>
                </c:pt>
                <c:pt idx="1">
                  <c:v>1.20878</c:v>
                </c:pt>
                <c:pt idx="2">
                  <c:v>1.7763800000000001</c:v>
                </c:pt>
                <c:pt idx="3">
                  <c:v>2.1819199999999999</c:v>
                </c:pt>
                <c:pt idx="4">
                  <c:v>2.1938800000000001</c:v>
                </c:pt>
                <c:pt idx="5">
                  <c:v>2.1168</c:v>
                </c:pt>
                <c:pt idx="6">
                  <c:v>1.5631200000000001</c:v>
                </c:pt>
                <c:pt idx="7">
                  <c:v>1.2309400000000001</c:v>
                </c:pt>
                <c:pt idx="8">
                  <c:v>1.2217800000000001</c:v>
                </c:pt>
                <c:pt idx="9">
                  <c:v>3.1652200000000001</c:v>
                </c:pt>
                <c:pt idx="10">
                  <c:v>4.0897600000000001</c:v>
                </c:pt>
                <c:pt idx="11">
                  <c:v>5.3015800000000004</c:v>
                </c:pt>
                <c:pt idx="12">
                  <c:v>4.5177700000000005</c:v>
                </c:pt>
                <c:pt idx="13">
                  <c:v>6.7112799999999995</c:v>
                </c:pt>
                <c:pt idx="14">
                  <c:v>6.7367400000000002</c:v>
                </c:pt>
                <c:pt idx="15">
                  <c:v>2.7962445161021705</c:v>
                </c:pt>
                <c:pt idx="16">
                  <c:v>4.5571400000000004</c:v>
                </c:pt>
                <c:pt idx="17">
                  <c:v>4.0823</c:v>
                </c:pt>
                <c:pt idx="18">
                  <c:v>5.51</c:v>
                </c:pt>
                <c:pt idx="19">
                  <c:v>2.71</c:v>
                </c:pt>
                <c:pt idx="20">
                  <c:v>10.64</c:v>
                </c:pt>
                <c:pt idx="21">
                  <c:v>11.64</c:v>
                </c:pt>
                <c:pt idx="22">
                  <c:v>3.16</c:v>
                </c:pt>
                <c:pt idx="23">
                  <c:v>2.73</c:v>
                </c:pt>
                <c:pt idx="24">
                  <c:v>2.5128399999999997</c:v>
                </c:pt>
                <c:pt idx="25">
                  <c:v>1.2718</c:v>
                </c:pt>
                <c:pt idx="26">
                  <c:v>0.54046000000000005</c:v>
                </c:pt>
                <c:pt idx="27">
                  <c:v>1.7908599999999999</c:v>
                </c:pt>
                <c:pt idx="28">
                  <c:v>1.0225200000000001</c:v>
                </c:pt>
                <c:pt idx="29">
                  <c:v>1.1836</c:v>
                </c:pt>
                <c:pt idx="30">
                  <c:v>4.1091900000584998</c:v>
                </c:pt>
                <c:pt idx="31">
                  <c:v>1.3448297647873741</c:v>
                </c:pt>
                <c:pt idx="32">
                  <c:v>1.9128699999999998</c:v>
                </c:pt>
                <c:pt idx="33">
                  <c:v>3.1416599999999999</c:v>
                </c:pt>
                <c:pt idx="34">
                  <c:v>5.4459300000000006</c:v>
                </c:pt>
                <c:pt idx="35">
                  <c:v>5.6745800000000006</c:v>
                </c:pt>
                <c:pt idx="36">
                  <c:v>6.1389100000000001</c:v>
                </c:pt>
                <c:pt idx="37">
                  <c:v>6.04026</c:v>
                </c:pt>
                <c:pt idx="38">
                  <c:v>7.1010600000000004</c:v>
                </c:pt>
                <c:pt idx="39">
                  <c:v>3.4508000000000001</c:v>
                </c:pt>
                <c:pt idx="40">
                  <c:v>3.9856800000000003</c:v>
                </c:pt>
                <c:pt idx="41">
                  <c:v>4.9740200000000003</c:v>
                </c:pt>
                <c:pt idx="42">
                  <c:v>3.3992999999999998</c:v>
                </c:pt>
                <c:pt idx="43">
                  <c:v>2.2882600000000002</c:v>
                </c:pt>
                <c:pt idx="44">
                  <c:v>8.3755799999999994</c:v>
                </c:pt>
                <c:pt idx="45">
                  <c:v>5.9268999999999998</c:v>
                </c:pt>
                <c:pt idx="46">
                  <c:v>2.5539800000000001</c:v>
                </c:pt>
                <c:pt idx="47">
                  <c:v>3.1079999999999997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8-49A7-B4FC-6A72E99EA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0603855"/>
        <c:axId val="1960606767"/>
      </c:barChart>
      <c:catAx>
        <c:axId val="196060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06767"/>
        <c:crosses val="autoZero"/>
        <c:auto val="1"/>
        <c:lblAlgn val="ctr"/>
        <c:lblOffset val="100"/>
        <c:noMultiLvlLbl val="1"/>
      </c:catAx>
      <c:valAx>
        <c:axId val="19606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0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Merit Order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458514555948498E-2"/>
          <c:y val="0.20667827585420806"/>
          <c:w val="0.89207129538593244"/>
          <c:h val="0.73737218501045887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Graphs!$BS$28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25C-45CF-8BD4-EB75E697CDE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7382BF4-A295-4844-A3C4-1D3F29EF08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25C-45CF-8BD4-EB75E697CDE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25C-45CF-8BD4-EB75E697CDEC}"/>
                </c:ext>
              </c:extLst>
            </c:dLbl>
            <c:dLbl>
              <c:idx val="3"/>
              <c:layout>
                <c:manualLayout>
                  <c:x val="-5.9798970158248907E-2"/>
                  <c:y val="-4.6066544555435796E-2"/>
                </c:manualLayout>
              </c:layout>
              <c:tx>
                <c:rich>
                  <a:bodyPr/>
                  <a:lstStyle/>
                  <a:p>
                    <a:fld id="{51EB11D1-C283-40A4-A2FE-56EA86E891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25C-45CF-8BD4-EB75E697CDE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25C-45CF-8BD4-EB75E697CDEC}"/>
                </c:ext>
              </c:extLst>
            </c:dLbl>
            <c:dLbl>
              <c:idx val="5"/>
              <c:layout>
                <c:manualLayout>
                  <c:x val="-2.9100408933974121E-3"/>
                  <c:y val="5.887758967459712E-3"/>
                </c:manualLayout>
              </c:layout>
              <c:tx>
                <c:rich>
                  <a:bodyPr/>
                  <a:lstStyle/>
                  <a:p>
                    <a:fld id="{2B673B0B-27EF-423B-B5D3-71AF70F835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25C-45CF-8BD4-EB75E697CD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Graphs!$BT$29:$BT$34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23.28</c:v>
                </c:pt>
                <c:pt idx="2" formatCode="General">
                  <c:v>23.28</c:v>
                </c:pt>
                <c:pt idx="3">
                  <c:v>23.28</c:v>
                </c:pt>
                <c:pt idx="4" formatCode="General">
                  <c:v>23.28</c:v>
                </c:pt>
                <c:pt idx="5">
                  <c:v>23.28</c:v>
                </c:pt>
              </c:numCache>
            </c:numRef>
          </c:xVal>
          <c:yVal>
            <c:numRef>
              <c:f>Graphs!$BU$29:$BU$34</c:f>
              <c:numCache>
                <c:formatCode>0.0</c:formatCode>
                <c:ptCount val="6"/>
                <c:pt idx="0">
                  <c:v>0.5</c:v>
                </c:pt>
                <c:pt idx="1">
                  <c:v>0.5</c:v>
                </c:pt>
                <c:pt idx="2" formatCode="General">
                  <c:v>0.14000000000000001</c:v>
                </c:pt>
                <c:pt idx="3" formatCode="General">
                  <c:v>0.14000000000000001</c:v>
                </c:pt>
                <c:pt idx="4" formatCode="General">
                  <c:v>0.13</c:v>
                </c:pt>
                <c:pt idx="5" formatCode="General">
                  <c:v>0.13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Graphs!$BS$40:$BS$45</c15:f>
                <c15:dlblRangeCache>
                  <c:ptCount val="6"/>
                  <c:pt idx="0">
                    <c:v>Load A</c:v>
                  </c:pt>
                  <c:pt idx="1">
                    <c:v>Load A</c:v>
                  </c:pt>
                  <c:pt idx="2">
                    <c:v>Load B</c:v>
                  </c:pt>
                  <c:pt idx="3">
                    <c:v>Load B</c:v>
                  </c:pt>
                  <c:pt idx="4">
                    <c:v>Grid Exp</c:v>
                  </c:pt>
                  <c:pt idx="5">
                    <c:v>Grid Exp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25C-45CF-8BD4-EB75E697CDEC}"/>
            </c:ext>
          </c:extLst>
        </c:ser>
        <c:ser>
          <c:idx val="1"/>
          <c:order val="1"/>
          <c:tx>
            <c:strRef>
              <c:f>Graphs!$BY$28</c:f>
              <c:strCache>
                <c:ptCount val="1"/>
                <c:pt idx="0">
                  <c:v>Supply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942153509503656E-3"/>
                  <c:y val="-2.7010670278172094E-2"/>
                </c:manualLayout>
              </c:layout>
              <c:tx>
                <c:rich>
                  <a:bodyPr/>
                  <a:lstStyle/>
                  <a:p>
                    <a:fld id="{60EFEF09-BF88-4271-94C8-5417490CC3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225C-45CF-8BD4-EB75E697CDEC}"/>
                </c:ext>
              </c:extLst>
            </c:dLbl>
            <c:dLbl>
              <c:idx val="1"/>
              <c:layout>
                <c:manualLayout>
                  <c:x val="-2.8741354962523082E-3"/>
                  <c:y val="2.2744652767952501E-2"/>
                </c:manualLayout>
              </c:layout>
              <c:tx>
                <c:rich>
                  <a:bodyPr/>
                  <a:lstStyle/>
                  <a:p>
                    <a:fld id="{81551446-5605-456B-B3CB-FC3B0A28B8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225C-45CF-8BD4-EB75E697CDE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25C-45CF-8BD4-EB75E697CDEC}"/>
                </c:ext>
              </c:extLst>
            </c:dLbl>
            <c:dLbl>
              <c:idx val="3"/>
              <c:layout>
                <c:manualLayout>
                  <c:x val="-4.3112032443784623E-3"/>
                  <c:y val="2.8430815959940756E-3"/>
                </c:manualLayout>
              </c:layout>
              <c:tx>
                <c:rich>
                  <a:bodyPr/>
                  <a:lstStyle/>
                  <a:p>
                    <a:fld id="{97949B37-8FB7-4E96-87F0-D324881221C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25C-45CF-8BD4-EB75E697CDE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25C-45CF-8BD4-EB75E697CDEC}"/>
                </c:ext>
              </c:extLst>
            </c:dLbl>
            <c:dLbl>
              <c:idx val="5"/>
              <c:layout>
                <c:manualLayout>
                  <c:x val="-6.0356845421298475E-2"/>
                  <c:y val="-3.411697915192901E-2"/>
                </c:manualLayout>
              </c:layout>
              <c:tx>
                <c:rich>
                  <a:bodyPr/>
                  <a:lstStyle/>
                  <a:p>
                    <a:fld id="{1AD6B31F-E548-40D3-9A67-8B99A86526D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25C-45CF-8BD4-EB75E697CDE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25C-45CF-8BD4-EB75E697CDEC}"/>
                </c:ext>
              </c:extLst>
            </c:dLbl>
            <c:dLbl>
              <c:idx val="7"/>
              <c:layout>
                <c:manualLayout>
                  <c:x val="-2.5510297214723792E-2"/>
                  <c:y val="-3.8696388959323536E-2"/>
                </c:manualLayout>
              </c:layout>
              <c:tx>
                <c:rich>
                  <a:bodyPr/>
                  <a:lstStyle/>
                  <a:p>
                    <a:fld id="{1218C6FA-C559-4D78-A715-2C62D3A1C3B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25C-45CF-8BD4-EB75E697CD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Graphs!$BZ$29:$BZ$36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17.260130579673373</c:v>
                </c:pt>
                <c:pt idx="4" formatCode="General">
                  <c:v>17.260130579673373</c:v>
                </c:pt>
                <c:pt idx="5">
                  <c:v>17.260130579673373</c:v>
                </c:pt>
                <c:pt idx="6">
                  <c:v>17.260130579673373</c:v>
                </c:pt>
                <c:pt idx="7">
                  <c:v>25.006013057517336</c:v>
                </c:pt>
              </c:numCache>
            </c:numRef>
          </c:xVal>
          <c:yVal>
            <c:numRef>
              <c:f>Graphs!$CA$29:$CA$36</c:f>
              <c:numCache>
                <c:formatCode>0.0</c:formatCode>
                <c:ptCount val="8"/>
                <c:pt idx="0">
                  <c:v>1.9999999999999999E-6</c:v>
                </c:pt>
                <c:pt idx="1">
                  <c:v>1.9999999999999999E-6</c:v>
                </c:pt>
                <c:pt idx="2" formatCode="General">
                  <c:v>3.9999999999999998E-6</c:v>
                </c:pt>
                <c:pt idx="3" formatCode="General">
                  <c:v>3.9999999999999998E-6</c:v>
                </c:pt>
                <c:pt idx="4" formatCode="General">
                  <c:v>0.15</c:v>
                </c:pt>
                <c:pt idx="5" formatCode="General">
                  <c:v>0.15</c:v>
                </c:pt>
                <c:pt idx="6" formatCode="0.000000">
                  <c:v>0.33332999999999996</c:v>
                </c:pt>
                <c:pt idx="7" formatCode="0.000000">
                  <c:v>0.33332999999999996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Graphs!$BY$29:$BY$36</c15:f>
                <c15:dlblRangeCache>
                  <c:ptCount val="8"/>
                  <c:pt idx="0">
                    <c:v>PV</c:v>
                  </c:pt>
                  <c:pt idx="1">
                    <c:v>PV</c:v>
                  </c:pt>
                  <c:pt idx="2">
                    <c:v>Bat. Discharge</c:v>
                  </c:pt>
                  <c:pt idx="3">
                    <c:v>Bat. Discharge</c:v>
                  </c:pt>
                  <c:pt idx="4">
                    <c:v>Grid Imp</c:v>
                  </c:pt>
                  <c:pt idx="5">
                    <c:v>Grid Imp</c:v>
                  </c:pt>
                  <c:pt idx="6">
                    <c:v>Genset</c:v>
                  </c:pt>
                  <c:pt idx="7">
                    <c:v>Genset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25C-45CF-8BD4-EB75E697CDEC}"/>
            </c:ext>
          </c:extLst>
        </c:ser>
        <c:ser>
          <c:idx val="2"/>
          <c:order val="2"/>
          <c:tx>
            <c:strRef>
              <c:f>Graphs!$BS$36</c:f>
              <c:strCache>
                <c:ptCount val="1"/>
                <c:pt idx="0">
                  <c:v>Bat. Charge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Graphs!$BT$36:$BT$37</c:f>
              <c:numCache>
                <c:formatCode>0.00000000000000</c:formatCode>
                <c:ptCount val="2"/>
                <c:pt idx="0" formatCode="0.00">
                  <c:v>23.28</c:v>
                </c:pt>
                <c:pt idx="1">
                  <c:v>25.006013057517336</c:v>
                </c:pt>
              </c:numCache>
            </c:numRef>
          </c:xVal>
          <c:yVal>
            <c:numRef>
              <c:f>Graphs!$BU$36:$BU$37</c:f>
              <c:numCache>
                <c:formatCode>0.0000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5C-45CF-8BD4-EB75E697C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341215"/>
        <c:axId val="2035354527"/>
      </c:scatterChart>
      <c:valAx>
        <c:axId val="20353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Energy suuplied [kWh]</a:t>
                </a:r>
              </a:p>
            </c:rich>
          </c:tx>
          <c:layout>
            <c:manualLayout>
              <c:xMode val="edge"/>
              <c:yMode val="edge"/>
              <c:x val="0.43974949896079096"/>
              <c:y val="0.89130209028735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54527"/>
        <c:crosses val="autoZero"/>
        <c:crossBetween val="midCat"/>
      </c:valAx>
      <c:valAx>
        <c:axId val="203535452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Price/Cost [cent/kWh]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4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739717348971551"/>
          <c:y val="0.94367656549023093"/>
          <c:w val="0.40348116303813297"/>
          <c:h val="5.5220017055549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Merit Order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48942513745048E-2"/>
          <c:y val="0.10918816851365587"/>
          <c:w val="0.89207129538593244"/>
          <c:h val="0.737372185010458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'Merit Order'!$B$22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'Merit Order'!$C$23:$C$28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23.28</c:v>
                </c:pt>
                <c:pt idx="2" formatCode="General">
                  <c:v>23.28</c:v>
                </c:pt>
                <c:pt idx="3">
                  <c:v>23.28</c:v>
                </c:pt>
                <c:pt idx="4" formatCode="General">
                  <c:v>23.28</c:v>
                </c:pt>
                <c:pt idx="5">
                  <c:v>23.28</c:v>
                </c:pt>
              </c:numCache>
            </c:numRef>
          </c:xVal>
          <c:yVal>
            <c:numRef>
              <c:f>'Merit Order'!$D$23:$D$28</c:f>
              <c:numCache>
                <c:formatCode>0.0</c:formatCode>
                <c:ptCount val="6"/>
                <c:pt idx="0">
                  <c:v>0.5</c:v>
                </c:pt>
                <c:pt idx="1">
                  <c:v>0.5</c:v>
                </c:pt>
                <c:pt idx="2" formatCode="General">
                  <c:v>0.14000000000000001</c:v>
                </c:pt>
                <c:pt idx="3" formatCode="General">
                  <c:v>0.14000000000000001</c:v>
                </c:pt>
                <c:pt idx="4" formatCode="General">
                  <c:v>0.13</c:v>
                </c:pt>
                <c:pt idx="5" formatCode="General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8B-42CE-8F6F-4089B3C3386A}"/>
            </c:ext>
          </c:extLst>
        </c:ser>
        <c:ser>
          <c:idx val="1"/>
          <c:order val="1"/>
          <c:tx>
            <c:strRef>
              <c:f>Graphs!$BY$28</c:f>
              <c:strCache>
                <c:ptCount val="1"/>
                <c:pt idx="0">
                  <c:v>Supply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942153509503656E-3"/>
                  <c:y val="-2.7010670278172094E-2"/>
                </c:manualLayout>
              </c:layout>
              <c:tx>
                <c:rich>
                  <a:bodyPr/>
                  <a:lstStyle/>
                  <a:p>
                    <a:fld id="{60EFEF09-BF88-4271-94C8-5417490CC3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D8B-42CE-8F6F-4089B3C3386A}"/>
                </c:ext>
              </c:extLst>
            </c:dLbl>
            <c:dLbl>
              <c:idx val="1"/>
              <c:layout>
                <c:manualLayout>
                  <c:x val="-2.8741354962523082E-3"/>
                  <c:y val="2.2744652767952501E-2"/>
                </c:manualLayout>
              </c:layout>
              <c:tx>
                <c:rich>
                  <a:bodyPr/>
                  <a:lstStyle/>
                  <a:p>
                    <a:fld id="{81551446-5605-456B-B3CB-FC3B0A28B8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D8B-42CE-8F6F-4089B3C3386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D8B-42CE-8F6F-4089B3C3386A}"/>
                </c:ext>
              </c:extLst>
            </c:dLbl>
            <c:dLbl>
              <c:idx val="3"/>
              <c:layout>
                <c:manualLayout>
                  <c:x val="-4.3112032443784623E-3"/>
                  <c:y val="2.8430815959940756E-3"/>
                </c:manualLayout>
              </c:layout>
              <c:tx>
                <c:rich>
                  <a:bodyPr/>
                  <a:lstStyle/>
                  <a:p>
                    <a:fld id="{97949B37-8FB7-4E96-87F0-D324881221C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D8B-42CE-8F6F-4089B3C3386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D8B-42CE-8F6F-4089B3C3386A}"/>
                </c:ext>
              </c:extLst>
            </c:dLbl>
            <c:dLbl>
              <c:idx val="5"/>
              <c:layout>
                <c:manualLayout>
                  <c:x val="-6.0356845421298475E-2"/>
                  <c:y val="-3.411697915192901E-2"/>
                </c:manualLayout>
              </c:layout>
              <c:tx>
                <c:rich>
                  <a:bodyPr/>
                  <a:lstStyle/>
                  <a:p>
                    <a:fld id="{1AD6B31F-E548-40D3-9A67-8B99A86526D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D8B-42CE-8F6F-4089B3C3386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D8B-42CE-8F6F-4089B3C3386A}"/>
                </c:ext>
              </c:extLst>
            </c:dLbl>
            <c:dLbl>
              <c:idx val="7"/>
              <c:layout>
                <c:manualLayout>
                  <c:x val="-2.5510297214723792E-2"/>
                  <c:y val="-3.8696388959323536E-2"/>
                </c:manualLayout>
              </c:layout>
              <c:tx>
                <c:rich>
                  <a:bodyPr/>
                  <a:lstStyle/>
                  <a:p>
                    <a:fld id="{1218C6FA-C559-4D78-A715-2C62D3A1C3B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D8B-42CE-8F6F-4089B3C338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Graphs!$BZ$29:$BZ$36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17.260130579673373</c:v>
                </c:pt>
                <c:pt idx="4" formatCode="General">
                  <c:v>17.260130579673373</c:v>
                </c:pt>
                <c:pt idx="5">
                  <c:v>17.260130579673373</c:v>
                </c:pt>
                <c:pt idx="6">
                  <c:v>17.260130579673373</c:v>
                </c:pt>
                <c:pt idx="7">
                  <c:v>25.006013057517336</c:v>
                </c:pt>
              </c:numCache>
            </c:numRef>
          </c:xVal>
          <c:yVal>
            <c:numRef>
              <c:f>Graphs!$CA$29:$CA$36</c:f>
              <c:numCache>
                <c:formatCode>0.0</c:formatCode>
                <c:ptCount val="8"/>
                <c:pt idx="0">
                  <c:v>1.9999999999999999E-6</c:v>
                </c:pt>
                <c:pt idx="1">
                  <c:v>1.9999999999999999E-6</c:v>
                </c:pt>
                <c:pt idx="2" formatCode="General">
                  <c:v>3.9999999999999998E-6</c:v>
                </c:pt>
                <c:pt idx="3" formatCode="General">
                  <c:v>3.9999999999999998E-6</c:v>
                </c:pt>
                <c:pt idx="4" formatCode="General">
                  <c:v>0.15</c:v>
                </c:pt>
                <c:pt idx="5" formatCode="General">
                  <c:v>0.15</c:v>
                </c:pt>
                <c:pt idx="6" formatCode="0.000000">
                  <c:v>0.33332999999999996</c:v>
                </c:pt>
                <c:pt idx="7" formatCode="0.000000">
                  <c:v>0.33332999999999996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Graphs!$BY$29:$BY$36</c15:f>
                <c15:dlblRangeCache>
                  <c:ptCount val="8"/>
                  <c:pt idx="0">
                    <c:v>PV</c:v>
                  </c:pt>
                  <c:pt idx="1">
                    <c:v>PV</c:v>
                  </c:pt>
                  <c:pt idx="2">
                    <c:v>Bat. Discharge</c:v>
                  </c:pt>
                  <c:pt idx="3">
                    <c:v>Bat. Discharge</c:v>
                  </c:pt>
                  <c:pt idx="4">
                    <c:v>Grid Imp</c:v>
                  </c:pt>
                  <c:pt idx="5">
                    <c:v>Grid Imp</c:v>
                  </c:pt>
                  <c:pt idx="6">
                    <c:v>Genset</c:v>
                  </c:pt>
                  <c:pt idx="7">
                    <c:v>Genset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0D8B-42CE-8F6F-4089B3C3386A}"/>
            </c:ext>
          </c:extLst>
        </c:ser>
        <c:ser>
          <c:idx val="2"/>
          <c:order val="2"/>
          <c:tx>
            <c:strRef>
              <c:f>Graphs!$BS$36</c:f>
              <c:strCache>
                <c:ptCount val="1"/>
                <c:pt idx="0">
                  <c:v>Bat. Charge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Graphs!$BT$36:$BT$37</c:f>
              <c:numCache>
                <c:formatCode>0.00000000000000</c:formatCode>
                <c:ptCount val="2"/>
                <c:pt idx="0" formatCode="0.00">
                  <c:v>23.28</c:v>
                </c:pt>
                <c:pt idx="1">
                  <c:v>25.006013057517336</c:v>
                </c:pt>
              </c:numCache>
            </c:numRef>
          </c:xVal>
          <c:yVal>
            <c:numRef>
              <c:f>Graphs!$BU$36:$BU$37</c:f>
              <c:numCache>
                <c:formatCode>0.0000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D8B-42CE-8F6F-4089B3C33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341215"/>
        <c:axId val="2035354527"/>
      </c:scatterChart>
      <c:valAx>
        <c:axId val="20353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Energy suuplied [kWh]</a:t>
                </a:r>
              </a:p>
            </c:rich>
          </c:tx>
          <c:layout>
            <c:manualLayout>
              <c:xMode val="edge"/>
              <c:yMode val="edge"/>
              <c:x val="0.43974949896079096"/>
              <c:y val="0.89130209028735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54527"/>
        <c:crosses val="autoZero"/>
        <c:crossBetween val="midCat"/>
      </c:valAx>
      <c:valAx>
        <c:axId val="203535452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Price/Cost [cent/kWh]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4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739717348971551"/>
          <c:y val="0.94367656549023093"/>
          <c:w val="0.40851491748672986"/>
          <c:h val="5.6097357515169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Battery</a:t>
            </a:r>
            <a:r>
              <a:rPr lang="fr-FR" b="1" baseline="0"/>
              <a:t> </a:t>
            </a:r>
            <a:r>
              <a:rPr lang="fr-FR" b="1"/>
              <a:t>Model</a:t>
            </a:r>
          </a:p>
          <a:p>
            <a:pPr>
              <a:defRPr/>
            </a:pPr>
            <a:r>
              <a:rPr lang="fr-FR" b="0"/>
              <a:t>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218993101423744E-2"/>
          <c:y val="0.17682495507238449"/>
          <c:w val="0.93677481903790738"/>
          <c:h val="0.689307427632184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Battery!$B$1</c:f>
              <c:strCache>
                <c:ptCount val="1"/>
                <c:pt idx="0">
                  <c:v>Bat_charge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Battery!$A$2:$A$169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Battery!$B$2:$B$169</c:f>
              <c:numCache>
                <c:formatCode>0.00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0.75902557278316707</c:v>
                </c:pt>
                <c:pt idx="3">
                  <c:v>15.534985200381755</c:v>
                </c:pt>
                <c:pt idx="4">
                  <c:v>15.506141300381755</c:v>
                </c:pt>
                <c:pt idx="5">
                  <c:v>15.711442000381759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5.2307198190180058E-2</c:v>
                </c:pt>
                <c:pt idx="16">
                  <c:v>0</c:v>
                </c:pt>
                <c:pt idx="17">
                  <c:v>1.063677304092323E-2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1.5959999999969553E-3</c:v>
                </c:pt>
                <c:pt idx="25">
                  <c:v>1.5959999999969553E-3</c:v>
                </c:pt>
                <c:pt idx="26">
                  <c:v>13.270693377556745</c:v>
                </c:pt>
                <c:pt idx="27">
                  <c:v>16.552156850381756</c:v>
                </c:pt>
                <c:pt idx="28">
                  <c:v>18.546627700381759</c:v>
                </c:pt>
                <c:pt idx="29">
                  <c:v>18.137723000381758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10.44403685</c:v>
                </c:pt>
                <c:pt idx="38">
                  <c:v>2.3762283500000039</c:v>
                </c:pt>
                <c:pt idx="39">
                  <c:v>10.129299</c:v>
                </c:pt>
                <c:pt idx="40">
                  <c:v>0.26129179999999941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1.5959999999969553E-3</c:v>
                </c:pt>
                <c:pt idx="48">
                  <c:v>1.5959999999969553E-3</c:v>
                </c:pt>
                <c:pt idx="49">
                  <c:v>7.0746329296555457E-2</c:v>
                </c:pt>
                <c:pt idx="50">
                  <c:v>17.680462350542943</c:v>
                </c:pt>
                <c:pt idx="51">
                  <c:v>16.090654450542942</c:v>
                </c:pt>
                <c:pt idx="52">
                  <c:v>16.686196150542944</c:v>
                </c:pt>
                <c:pt idx="53">
                  <c:v>15.981217300542943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2.8776032000000002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1.5959999999969553E-3</c:v>
                </c:pt>
                <c:pt idx="71">
                  <c:v>1.5959999999969553E-3</c:v>
                </c:pt>
                <c:pt idx="72">
                  <c:v>1.5959999999969553E-3</c:v>
                </c:pt>
                <c:pt idx="73">
                  <c:v>1.5959999999969553E-3</c:v>
                </c:pt>
                <c:pt idx="74">
                  <c:v>12.972963104041833</c:v>
                </c:pt>
                <c:pt idx="75">
                  <c:v>17.872189450542944</c:v>
                </c:pt>
                <c:pt idx="76">
                  <c:v>18.221709650542945</c:v>
                </c:pt>
                <c:pt idx="77">
                  <c:v>17.440379300542943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3.3145034500000001</c:v>
                </c:pt>
                <c:pt idx="83">
                  <c:v>13.524395699999998</c:v>
                </c:pt>
                <c:pt idx="84">
                  <c:v>19.891262449999996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1.5959999999969553E-3</c:v>
                </c:pt>
                <c:pt idx="96">
                  <c:v>1.5959999999969553E-3</c:v>
                </c:pt>
                <c:pt idx="97">
                  <c:v>1.5959999999969553E-3</c:v>
                </c:pt>
                <c:pt idx="98">
                  <c:v>15.759162151996495</c:v>
                </c:pt>
                <c:pt idx="99">
                  <c:v>16.186518000542943</c:v>
                </c:pt>
                <c:pt idx="100">
                  <c:v>18.092760450542944</c:v>
                </c:pt>
                <c:pt idx="101">
                  <c:v>16.469018550542941</c:v>
                </c:pt>
                <c:pt idx="102">
                  <c:v>0</c:v>
                </c:pt>
                <c:pt idx="103">
                  <c:v>0</c:v>
                </c:pt>
                <c:pt idx="104">
                  <c:v>5.5872330999999997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1.3997774999999992</c:v>
                </c:pt>
                <c:pt idx="109">
                  <c:v>1.901152349999998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1.5959999999969553E-3</c:v>
                </c:pt>
                <c:pt idx="119">
                  <c:v>1.5959999999969553E-3</c:v>
                </c:pt>
                <c:pt idx="120">
                  <c:v>1.5959999999969553E-3</c:v>
                </c:pt>
                <c:pt idx="121">
                  <c:v>1.5959999999969553E-3</c:v>
                </c:pt>
                <c:pt idx="122">
                  <c:v>15.478443351006321</c:v>
                </c:pt>
                <c:pt idx="123">
                  <c:v>18.266672200542942</c:v>
                </c:pt>
                <c:pt idx="124">
                  <c:v>16.036360050542942</c:v>
                </c:pt>
                <c:pt idx="125">
                  <c:v>16.726068600542945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1.4455883999999997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1.5959999999969553E-3</c:v>
                </c:pt>
                <c:pt idx="143">
                  <c:v>1.5959999999969553E-3</c:v>
                </c:pt>
                <c:pt idx="144">
                  <c:v>1.5959999999969553E-3</c:v>
                </c:pt>
                <c:pt idx="145">
                  <c:v>1.5959999999969553E-3</c:v>
                </c:pt>
                <c:pt idx="146">
                  <c:v>12.146612430921076</c:v>
                </c:pt>
                <c:pt idx="147">
                  <c:v>18.493181650542944</c:v>
                </c:pt>
                <c:pt idx="148">
                  <c:v>17.990110100542942</c:v>
                </c:pt>
                <c:pt idx="149">
                  <c:v>17.877279550542944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1.5959999999969553E-3</c:v>
                </c:pt>
                <c:pt idx="167">
                  <c:v>1.5959999999969553E-3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9-4210-AFAD-E70F74D286BE}"/>
            </c:ext>
          </c:extLst>
        </c:ser>
        <c:ser>
          <c:idx val="1"/>
          <c:order val="1"/>
          <c:tx>
            <c:strRef>
              <c:f>Battery!$C$1</c:f>
              <c:strCache>
                <c:ptCount val="1"/>
                <c:pt idx="0">
                  <c:v>Bat_discharge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Battery!$A$2:$A$169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Battery!$C$2:$C$169</c:f>
              <c:numCache>
                <c:formatCode>0.00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-8.9600000000000026</c:v>
                </c:pt>
                <c:pt idx="19">
                  <c:v>-5.4199999995499999</c:v>
                </c:pt>
                <c:pt idx="20">
                  <c:v>-21.279999999550004</c:v>
                </c:pt>
                <c:pt idx="21">
                  <c:v>-15.534117521706035</c:v>
                </c:pt>
                <c:pt idx="22">
                  <c:v>-6.3199999995500002</c:v>
                </c:pt>
                <c:pt idx="23">
                  <c:v>-5.4599999995500008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-27</c:v>
                </c:pt>
                <c:pt idx="31">
                  <c:v>-1.035844344518263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-6.6730000000000009</c:v>
                </c:pt>
                <c:pt idx="42">
                  <c:v>-5.9849999999999985</c:v>
                </c:pt>
                <c:pt idx="43">
                  <c:v>-6.4189999993600013</c:v>
                </c:pt>
                <c:pt idx="44">
                  <c:v>-18.83699999936</c:v>
                </c:pt>
                <c:pt idx="45">
                  <c:v>-12.814999999360001</c:v>
                </c:pt>
                <c:pt idx="46">
                  <c:v>-6.15699999936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-4.6669999993599998</c:v>
                </c:pt>
                <c:pt idx="55">
                  <c:v>-3.0509999993200001</c:v>
                </c:pt>
                <c:pt idx="56">
                  <c:v>0</c:v>
                </c:pt>
                <c:pt idx="57">
                  <c:v>-1.4315653151662404</c:v>
                </c:pt>
                <c:pt idx="58">
                  <c:v>-3.6990000000000012</c:v>
                </c:pt>
                <c:pt idx="59">
                  <c:v>-7.6630000000000003</c:v>
                </c:pt>
                <c:pt idx="60">
                  <c:v>0</c:v>
                </c:pt>
                <c:pt idx="61">
                  <c:v>-0.16799999999999909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-16.16899999936</c:v>
                </c:pt>
                <c:pt idx="67">
                  <c:v>-6.0459999993600002</c:v>
                </c:pt>
                <c:pt idx="68">
                  <c:v>-22.763999999360003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-27</c:v>
                </c:pt>
                <c:pt idx="79">
                  <c:v>-7.6777595852513132</c:v>
                </c:pt>
                <c:pt idx="80">
                  <c:v>0</c:v>
                </c:pt>
                <c:pt idx="81">
                  <c:v>-9.399999999999871E-2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-6.3819771634017046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-8.0089999993600003</c:v>
                </c:pt>
                <c:pt idx="92">
                  <c:v>-17.491999999360001</c:v>
                </c:pt>
                <c:pt idx="93">
                  <c:v>-21.140999999360002</c:v>
                </c:pt>
                <c:pt idx="94">
                  <c:v>-9.928999999360002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-3.7049999993600005</c:v>
                </c:pt>
                <c:pt idx="103">
                  <c:v>-2.3359999992500002</c:v>
                </c:pt>
                <c:pt idx="104">
                  <c:v>0</c:v>
                </c:pt>
                <c:pt idx="105">
                  <c:v>-3.5980000000000008</c:v>
                </c:pt>
                <c:pt idx="106">
                  <c:v>-6.766</c:v>
                </c:pt>
                <c:pt idx="107">
                  <c:v>-4.6780000000000008</c:v>
                </c:pt>
                <c:pt idx="108">
                  <c:v>0</c:v>
                </c:pt>
                <c:pt idx="109">
                  <c:v>0</c:v>
                </c:pt>
                <c:pt idx="110">
                  <c:v>-4.9400000000000004</c:v>
                </c:pt>
                <c:pt idx="111">
                  <c:v>-9.751000000000003</c:v>
                </c:pt>
                <c:pt idx="112">
                  <c:v>-2.5969999999999991</c:v>
                </c:pt>
                <c:pt idx="113">
                  <c:v>-12.97599999919</c:v>
                </c:pt>
                <c:pt idx="114">
                  <c:v>-11.072999999360002</c:v>
                </c:pt>
                <c:pt idx="115">
                  <c:v>-6.9449999993600011</c:v>
                </c:pt>
                <c:pt idx="116">
                  <c:v>-1.991008672874196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-5.0169999993600003</c:v>
                </c:pt>
                <c:pt idx="127">
                  <c:v>-3.0949999994499997</c:v>
                </c:pt>
                <c:pt idx="128">
                  <c:v>-2.1967658386136564</c:v>
                </c:pt>
                <c:pt idx="129">
                  <c:v>0</c:v>
                </c:pt>
                <c:pt idx="130">
                  <c:v>-7.57</c:v>
                </c:pt>
                <c:pt idx="131">
                  <c:v>-4.4779999999999998</c:v>
                </c:pt>
                <c:pt idx="132">
                  <c:v>0</c:v>
                </c:pt>
                <c:pt idx="133">
                  <c:v>-1.1840000000000013</c:v>
                </c:pt>
                <c:pt idx="134">
                  <c:v>-9.8640000000000008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-16.142999999360001</c:v>
                </c:pt>
                <c:pt idx="141">
                  <c:v>-14.756999999360001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-2.5479999993600004</c:v>
                </c:pt>
                <c:pt idx="151">
                  <c:v>-2.3529999994799997</c:v>
                </c:pt>
                <c:pt idx="152">
                  <c:v>-2.8079999993200002</c:v>
                </c:pt>
                <c:pt idx="153">
                  <c:v>0</c:v>
                </c:pt>
                <c:pt idx="154">
                  <c:v>-2.1930000000000009</c:v>
                </c:pt>
                <c:pt idx="155">
                  <c:v>-1.019000000000001</c:v>
                </c:pt>
                <c:pt idx="156">
                  <c:v>0</c:v>
                </c:pt>
                <c:pt idx="157">
                  <c:v>-0.71199999999999941</c:v>
                </c:pt>
                <c:pt idx="158">
                  <c:v>-3.9380000000000019</c:v>
                </c:pt>
                <c:pt idx="159">
                  <c:v>0</c:v>
                </c:pt>
                <c:pt idx="160">
                  <c:v>-8.2890000000000015</c:v>
                </c:pt>
                <c:pt idx="161">
                  <c:v>-4.9483395045288292</c:v>
                </c:pt>
                <c:pt idx="162">
                  <c:v>-7.2429999993300003</c:v>
                </c:pt>
                <c:pt idx="163">
                  <c:v>-6.1539999993600007</c:v>
                </c:pt>
                <c:pt idx="164">
                  <c:v>-15.858999999360002</c:v>
                </c:pt>
                <c:pt idx="165">
                  <c:v>-4.8669999993599999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9-4210-AFAD-E70F74D28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086904"/>
        <c:axId val="632096504"/>
      </c:barChart>
      <c:lineChart>
        <c:grouping val="standard"/>
        <c:varyColors val="0"/>
        <c:ser>
          <c:idx val="2"/>
          <c:order val="2"/>
          <c:tx>
            <c:strRef>
              <c:f>Battery!$D$1</c:f>
              <c:strCache>
                <c:ptCount val="1"/>
                <c:pt idx="0">
                  <c:v>SOC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Battery!$A$2:$A$169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Battery!$D$2:$D$169</c:f>
              <c:numCache>
                <c:formatCode>0.00</c:formatCode>
                <c:ptCount val="168"/>
                <c:pt idx="0">
                  <c:v>0.5</c:v>
                </c:pt>
                <c:pt idx="1">
                  <c:v>0.49997199999999997</c:v>
                </c:pt>
                <c:pt idx="2">
                  <c:v>0.50793374443940176</c:v>
                </c:pt>
                <c:pt idx="3">
                  <c:v>0.67143146015373167</c:v>
                </c:pt>
                <c:pt idx="4">
                  <c:v>0.83461639999598147</c:v>
                </c:pt>
                <c:pt idx="5">
                  <c:v>0.99995326148160035</c:v>
                </c:pt>
                <c:pt idx="6">
                  <c:v>0.99989726409895741</c:v>
                </c:pt>
                <c:pt idx="7">
                  <c:v>0.99984126985216792</c:v>
                </c:pt>
                <c:pt idx="8">
                  <c:v>0.99978527874105627</c:v>
                </c:pt>
                <c:pt idx="9">
                  <c:v>0.9997292907654467</c:v>
                </c:pt>
                <c:pt idx="10">
                  <c:v>0.9996733059251639</c:v>
                </c:pt>
                <c:pt idx="11">
                  <c:v>0.99961732422003213</c:v>
                </c:pt>
                <c:pt idx="12">
                  <c:v>0.99956134564987575</c:v>
                </c:pt>
                <c:pt idx="13">
                  <c:v>0.99950537021451946</c:v>
                </c:pt>
                <c:pt idx="14">
                  <c:v>0.99944939791378762</c:v>
                </c:pt>
                <c:pt idx="15">
                  <c:v>0.99994403083371697</c:v>
                </c:pt>
                <c:pt idx="16">
                  <c:v>0.99988803396799031</c:v>
                </c:pt>
                <c:pt idx="17">
                  <c:v>0.99994400627009783</c:v>
                </c:pt>
                <c:pt idx="18">
                  <c:v>0.90033245385019112</c:v>
                </c:pt>
                <c:pt idx="19">
                  <c:v>0.84005981301555332</c:v>
                </c:pt>
                <c:pt idx="20">
                  <c:v>0.6035683252265801</c:v>
                </c:pt>
                <c:pt idx="21">
                  <c:v>0.43093321960363368</c:v>
                </c:pt>
                <c:pt idx="22">
                  <c:v>0.3606868651261137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0.43967470923743945</c:v>
                </c:pt>
                <c:pt idx="27">
                  <c:v>0.61388331745774072</c:v>
                </c:pt>
                <c:pt idx="28">
                  <c:v>0.80907659999598147</c:v>
                </c:pt>
                <c:pt idx="29">
                  <c:v>0.9999546917104003</c:v>
                </c:pt>
                <c:pt idx="30">
                  <c:v>0.69989869424766449</c:v>
                </c:pt>
                <c:pt idx="31">
                  <c:v>0.68835011831502824</c:v>
                </c:pt>
                <c:pt idx="32">
                  <c:v>0.68831157070840265</c:v>
                </c:pt>
                <c:pt idx="33">
                  <c:v>0.68827302526044287</c:v>
                </c:pt>
                <c:pt idx="34">
                  <c:v>0.68823448197102832</c:v>
                </c:pt>
                <c:pt idx="35">
                  <c:v>0.68819594084003799</c:v>
                </c:pt>
                <c:pt idx="36">
                  <c:v>0.68815740186735097</c:v>
                </c:pt>
                <c:pt idx="37">
                  <c:v>0.79805609505284636</c:v>
                </c:pt>
                <c:pt idx="38">
                  <c:v>0.82302433391152352</c:v>
                </c:pt>
                <c:pt idx="39">
                  <c:v>0.92960244454882457</c:v>
                </c:pt>
                <c:pt idx="40">
                  <c:v>0.93230082681192983</c:v>
                </c:pt>
                <c:pt idx="41">
                  <c:v>0.85810417352118395</c:v>
                </c:pt>
                <c:pt idx="42">
                  <c:v>0.79155611968746686</c:v>
                </c:pt>
                <c:pt idx="43">
                  <c:v>0.72018957032965314</c:v>
                </c:pt>
                <c:pt idx="44">
                  <c:v>0.51084923972082596</c:v>
                </c:pt>
                <c:pt idx="45">
                  <c:v>0.36843174328162376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0.30072789820312168</c:v>
                </c:pt>
                <c:pt idx="50">
                  <c:v>0.48682118744653752</c:v>
                </c:pt>
                <c:pt idx="51">
                  <c:v>0.65616923546575578</c:v>
                </c:pt>
                <c:pt idx="52">
                  <c:v>0.83177665999428485</c:v>
                </c:pt>
                <c:pt idx="53">
                  <c:v>0.99995342050704039</c:v>
                </c:pt>
                <c:pt idx="54">
                  <c:v>0.94804186756704767</c:v>
                </c:pt>
                <c:pt idx="55">
                  <c:v>0.91408877723001969</c:v>
                </c:pt>
                <c:pt idx="56">
                  <c:v>0.91403758825849479</c:v>
                </c:pt>
                <c:pt idx="57">
                  <c:v>0.89808012087392752</c:v>
                </c:pt>
                <c:pt idx="58">
                  <c:v>0.85692982838715859</c:v>
                </c:pt>
                <c:pt idx="59">
                  <c:v>0.77173739587232448</c:v>
                </c:pt>
                <c:pt idx="60">
                  <c:v>0.80198473857815566</c:v>
                </c:pt>
                <c:pt idx="61">
                  <c:v>0.80007316076612878</c:v>
                </c:pt>
                <c:pt idx="62">
                  <c:v>0.80002835666912586</c:v>
                </c:pt>
                <c:pt idx="63">
                  <c:v>0.79998355508115238</c:v>
                </c:pt>
                <c:pt idx="64">
                  <c:v>0.79993875600206787</c:v>
                </c:pt>
                <c:pt idx="65">
                  <c:v>0.7998939594317318</c:v>
                </c:pt>
                <c:pt idx="66">
                  <c:v>0.62019360982155924</c:v>
                </c:pt>
                <c:pt idx="67">
                  <c:v>0.55298110120874255</c:v>
                </c:pt>
                <c:pt idx="68">
                  <c:v>0.30001680094085265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0.43654070635833514</c:v>
                </c:pt>
                <c:pt idx="75">
                  <c:v>0.62464457008449426</c:v>
                </c:pt>
                <c:pt idx="76">
                  <c:v>0.81641705999428482</c:v>
                </c:pt>
                <c:pt idx="77">
                  <c:v>0.99995428064464031</c:v>
                </c:pt>
                <c:pt idx="78">
                  <c:v>0.69989828320492431</c:v>
                </c:pt>
                <c:pt idx="79">
                  <c:v>0.61455064906493917</c:v>
                </c:pt>
                <c:pt idx="80">
                  <c:v>0.61451623422859158</c:v>
                </c:pt>
                <c:pt idx="81">
                  <c:v>0.61343737687503042</c:v>
                </c:pt>
                <c:pt idx="82">
                  <c:v>0.64829253438192536</c:v>
                </c:pt>
                <c:pt idx="83">
                  <c:v>0.79061829000000006</c:v>
                </c:pt>
                <c:pt idx="84">
                  <c:v>0.99995572537576005</c:v>
                </c:pt>
                <c:pt idx="85">
                  <c:v>0.99989972785513914</c:v>
                </c:pt>
                <c:pt idx="86">
                  <c:v>0.92893287609924924</c:v>
                </c:pt>
                <c:pt idx="87">
                  <c:v>0.92888085585818769</c:v>
                </c:pt>
                <c:pt idx="88">
                  <c:v>0.92882883853025977</c:v>
                </c:pt>
                <c:pt idx="89">
                  <c:v>0.92877682411530205</c:v>
                </c:pt>
                <c:pt idx="90">
                  <c:v>0.92872481261315154</c:v>
                </c:pt>
                <c:pt idx="91">
                  <c:v>0.83968391514186747</c:v>
                </c:pt>
                <c:pt idx="92">
                  <c:v>0.64528133729417503</c:v>
                </c:pt>
                <c:pt idx="93">
                  <c:v>0.4103452015463977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0.46586911738943682</c:v>
                </c:pt>
                <c:pt idx="99">
                  <c:v>0.63622742872457816</c:v>
                </c:pt>
                <c:pt idx="100">
                  <c:v>0.82664190999428488</c:v>
                </c:pt>
                <c:pt idx="101">
                  <c:v>0.99995370805304029</c:v>
                </c:pt>
                <c:pt idx="102">
                  <c:v>0.95873104398583398</c:v>
                </c:pt>
                <c:pt idx="103">
                  <c:v>0.93272179950014855</c:v>
                </c:pt>
                <c:pt idx="104">
                  <c:v>0.99148254707937666</c:v>
                </c:pt>
                <c:pt idx="105">
                  <c:v>0.95144924627896243</c:v>
                </c:pt>
                <c:pt idx="106">
                  <c:v>0.87621818734339318</c:v>
                </c:pt>
                <c:pt idx="107">
                  <c:v>0.82419134134712424</c:v>
                </c:pt>
                <c:pt idx="108">
                  <c:v>0.83887968663200885</c:v>
                </c:pt>
                <c:pt idx="109">
                  <c:v>0.85884483936955736</c:v>
                </c:pt>
                <c:pt idx="110">
                  <c:v>0.80390785516966379</c:v>
                </c:pt>
                <c:pt idx="111">
                  <c:v>0.69551839188532982</c:v>
                </c:pt>
                <c:pt idx="112">
                  <c:v>0.66662388729982869</c:v>
                </c:pt>
                <c:pt idx="113">
                  <c:v>0.52240877859336221</c:v>
                </c:pt>
                <c:pt idx="114">
                  <c:v>0.3993461903755387</c:v>
                </c:pt>
                <c:pt idx="115">
                  <c:v>0.32215716032932212</c:v>
                </c:pt>
                <c:pt idx="116">
                  <c:v>0.30001680094085265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0.46291418264217188</c:v>
                </c:pt>
                <c:pt idx="123">
                  <c:v>0.65516901945365902</c:v>
                </c:pt>
                <c:pt idx="124">
                  <c:v>0.82393611999428484</c:v>
                </c:pt>
                <c:pt idx="125">
                  <c:v>0.99995385957728045</c:v>
                </c:pt>
                <c:pt idx="126">
                  <c:v>0.94415341772381101</c:v>
                </c:pt>
                <c:pt idx="127">
                  <c:v>0.90971165624964068</c:v>
                </c:pt>
                <c:pt idx="128">
                  <c:v>0.88525220307896135</c:v>
                </c:pt>
                <c:pt idx="129">
                  <c:v>0.88520262895558899</c:v>
                </c:pt>
                <c:pt idx="130">
                  <c:v>0.80104194649725646</c:v>
                </c:pt>
                <c:pt idx="131">
                  <c:v>0.75124153259269699</c:v>
                </c:pt>
                <c:pt idx="132">
                  <c:v>0.76641618306687187</c:v>
                </c:pt>
                <c:pt idx="133">
                  <c:v>0.75321770820506462</c:v>
                </c:pt>
                <c:pt idx="134">
                  <c:v>0.64357552801340501</c:v>
                </c:pt>
                <c:pt idx="135">
                  <c:v>0.64353948778383629</c:v>
                </c:pt>
                <c:pt idx="136">
                  <c:v>0.64350344957252037</c:v>
                </c:pt>
                <c:pt idx="137">
                  <c:v>0.64346741337934432</c:v>
                </c:pt>
                <c:pt idx="138">
                  <c:v>0.64343137920419513</c:v>
                </c:pt>
                <c:pt idx="139">
                  <c:v>0.64339534704695966</c:v>
                </c:pt>
                <c:pt idx="140">
                  <c:v>0.46399265024796948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0.42784227822022186</c:v>
                </c:pt>
                <c:pt idx="147">
                  <c:v>0.62248338905835676</c:v>
                </c:pt>
                <c:pt idx="148">
                  <c:v>0.81181810999428483</c:v>
                </c:pt>
                <c:pt idx="149">
                  <c:v>0.99995453818584035</c:v>
                </c:pt>
                <c:pt idx="150">
                  <c:v>0.97158742962770206</c:v>
                </c:pt>
                <c:pt idx="151">
                  <c:v>0.94538857629297635</c:v>
                </c:pt>
                <c:pt idx="152">
                  <c:v>0.91413563454025959</c:v>
                </c:pt>
                <c:pt idx="153">
                  <c:v>0.91408444294472546</c:v>
                </c:pt>
                <c:pt idx="154">
                  <c:v>0.88966658754925387</c:v>
                </c:pt>
                <c:pt idx="155">
                  <c:v>0.8782945439981289</c:v>
                </c:pt>
                <c:pt idx="156">
                  <c:v>0.87824535950366511</c:v>
                </c:pt>
                <c:pt idx="157">
                  <c:v>0.87028506665242189</c:v>
                </c:pt>
                <c:pt idx="158">
                  <c:v>0.82648077513313378</c:v>
                </c:pt>
                <c:pt idx="159">
                  <c:v>0.82643449220972642</c:v>
                </c:pt>
                <c:pt idx="160">
                  <c:v>0.73428821187816284</c:v>
                </c:pt>
                <c:pt idx="161">
                  <c:v>0.67926554168797737</c:v>
                </c:pt>
                <c:pt idx="162">
                  <c:v>0.5987497250473095</c:v>
                </c:pt>
                <c:pt idx="163">
                  <c:v>0.53033841729204023</c:v>
                </c:pt>
                <c:pt idx="164">
                  <c:v>0.35409760723667189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9-4210-AFAD-E70F74D28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090744"/>
        <c:axId val="632092664"/>
      </c:lineChart>
      <c:catAx>
        <c:axId val="63208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96504"/>
        <c:crosses val="autoZero"/>
        <c:auto val="1"/>
        <c:lblAlgn val="ctr"/>
        <c:lblOffset val="100"/>
        <c:noMultiLvlLbl val="0"/>
      </c:catAx>
      <c:valAx>
        <c:axId val="632096504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86904"/>
        <c:crosses val="autoZero"/>
        <c:crossBetween val="between"/>
      </c:valAx>
      <c:valAx>
        <c:axId val="632092664"/>
        <c:scaling>
          <c:orientation val="minMax"/>
          <c:max val="1"/>
          <c:min val="-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90744"/>
        <c:crosses val="max"/>
        <c:crossBetween val="between"/>
      </c:valAx>
      <c:catAx>
        <c:axId val="632090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2092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Battery</a:t>
            </a:r>
            <a:r>
              <a:rPr lang="fr-FR" b="1" baseline="0"/>
              <a:t> </a:t>
            </a:r>
            <a:r>
              <a:rPr lang="fr-FR" b="1"/>
              <a:t>Model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0"/>
              <a:t>48h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Battery!$B$1</c:f>
              <c:strCache>
                <c:ptCount val="1"/>
                <c:pt idx="0">
                  <c:v>Bat_charge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numRef>
              <c:f>Battery!$A$2:$A$169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Battery!$B$2:$B$49</c:f>
              <c:numCache>
                <c:formatCode>0.00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0.75902557278316707</c:v>
                </c:pt>
                <c:pt idx="3">
                  <c:v>15.534985200381755</c:v>
                </c:pt>
                <c:pt idx="4">
                  <c:v>15.506141300381755</c:v>
                </c:pt>
                <c:pt idx="5">
                  <c:v>15.711442000381759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5.2307198190180058E-2</c:v>
                </c:pt>
                <c:pt idx="16">
                  <c:v>0</c:v>
                </c:pt>
                <c:pt idx="17">
                  <c:v>1.063677304092323E-2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1.5959999999969553E-3</c:v>
                </c:pt>
                <c:pt idx="25">
                  <c:v>1.5959999999969553E-3</c:v>
                </c:pt>
                <c:pt idx="26">
                  <c:v>13.270693377556745</c:v>
                </c:pt>
                <c:pt idx="27">
                  <c:v>16.552156850381756</c:v>
                </c:pt>
                <c:pt idx="28">
                  <c:v>18.546627700381759</c:v>
                </c:pt>
                <c:pt idx="29">
                  <c:v>18.137723000381758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10.44403685</c:v>
                </c:pt>
                <c:pt idx="38">
                  <c:v>2.3762283500000039</c:v>
                </c:pt>
                <c:pt idx="39">
                  <c:v>10.129299</c:v>
                </c:pt>
                <c:pt idx="40">
                  <c:v>0.26129179999999941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1.5959999999969553E-3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01-438D-871D-E6E85419FCDD}"/>
            </c:ext>
          </c:extLst>
        </c:ser>
        <c:ser>
          <c:idx val="4"/>
          <c:order val="1"/>
          <c:tx>
            <c:strRef>
              <c:f>Battery!$C$1</c:f>
              <c:strCache>
                <c:ptCount val="1"/>
                <c:pt idx="0">
                  <c:v>Bat_discharge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numRef>
              <c:f>Battery!$A$2:$A$169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Battery!$C$2:$C$49</c:f>
              <c:numCache>
                <c:formatCode>0.00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-8.9600000000000026</c:v>
                </c:pt>
                <c:pt idx="19">
                  <c:v>-5.4199999995499999</c:v>
                </c:pt>
                <c:pt idx="20">
                  <c:v>-21.279999999550004</c:v>
                </c:pt>
                <c:pt idx="21">
                  <c:v>-15.534117521706035</c:v>
                </c:pt>
                <c:pt idx="22">
                  <c:v>-6.3199999995500002</c:v>
                </c:pt>
                <c:pt idx="23">
                  <c:v>-5.4599999995500008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-27</c:v>
                </c:pt>
                <c:pt idx="31">
                  <c:v>-1.035844344518263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-6.6730000000000009</c:v>
                </c:pt>
                <c:pt idx="42">
                  <c:v>-5.9849999999999985</c:v>
                </c:pt>
                <c:pt idx="43">
                  <c:v>-6.4189999993600013</c:v>
                </c:pt>
                <c:pt idx="44">
                  <c:v>-18.83699999936</c:v>
                </c:pt>
                <c:pt idx="45">
                  <c:v>-12.814999999360001</c:v>
                </c:pt>
                <c:pt idx="46">
                  <c:v>-6.15699999936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01-438D-871D-E6E85419FCDD}"/>
            </c:ext>
          </c:extLst>
        </c:ser>
        <c:ser>
          <c:idx val="5"/>
          <c:order val="2"/>
          <c:tx>
            <c:strRef>
              <c:f>Battery!$D$1</c:f>
              <c:strCache>
                <c:ptCount val="1"/>
                <c:pt idx="0">
                  <c:v>SOC</c:v>
                </c:pt>
              </c:strCache>
            </c:strRef>
          </c:tx>
          <c:invertIfNegative val="0"/>
          <c:cat>
            <c:numRef>
              <c:f>Battery!$A$2:$A$169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Battery!$D$2:$D$49</c:f>
              <c:numCache>
                <c:formatCode>0.00</c:formatCode>
                <c:ptCount val="48"/>
                <c:pt idx="0">
                  <c:v>0.5</c:v>
                </c:pt>
                <c:pt idx="1">
                  <c:v>0.49997199999999997</c:v>
                </c:pt>
                <c:pt idx="2">
                  <c:v>0.50793374443940176</c:v>
                </c:pt>
                <c:pt idx="3">
                  <c:v>0.67143146015373167</c:v>
                </c:pt>
                <c:pt idx="4">
                  <c:v>0.83461639999598147</c:v>
                </c:pt>
                <c:pt idx="5">
                  <c:v>0.99995326148160035</c:v>
                </c:pt>
                <c:pt idx="6">
                  <c:v>0.99989726409895741</c:v>
                </c:pt>
                <c:pt idx="7">
                  <c:v>0.99984126985216792</c:v>
                </c:pt>
                <c:pt idx="8">
                  <c:v>0.99978527874105627</c:v>
                </c:pt>
                <c:pt idx="9">
                  <c:v>0.9997292907654467</c:v>
                </c:pt>
                <c:pt idx="10">
                  <c:v>0.9996733059251639</c:v>
                </c:pt>
                <c:pt idx="11">
                  <c:v>0.99961732422003213</c:v>
                </c:pt>
                <c:pt idx="12">
                  <c:v>0.99956134564987575</c:v>
                </c:pt>
                <c:pt idx="13">
                  <c:v>0.99950537021451946</c:v>
                </c:pt>
                <c:pt idx="14">
                  <c:v>0.99944939791378762</c:v>
                </c:pt>
                <c:pt idx="15">
                  <c:v>0.99994403083371697</c:v>
                </c:pt>
                <c:pt idx="16">
                  <c:v>0.99988803396799031</c:v>
                </c:pt>
                <c:pt idx="17">
                  <c:v>0.99994400627009783</c:v>
                </c:pt>
                <c:pt idx="18">
                  <c:v>0.90033245385019112</c:v>
                </c:pt>
                <c:pt idx="19">
                  <c:v>0.84005981301555332</c:v>
                </c:pt>
                <c:pt idx="20">
                  <c:v>0.6035683252265801</c:v>
                </c:pt>
                <c:pt idx="21">
                  <c:v>0.43093321960363368</c:v>
                </c:pt>
                <c:pt idx="22">
                  <c:v>0.3606868651261137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0.43967470923743945</c:v>
                </c:pt>
                <c:pt idx="27">
                  <c:v>0.61388331745774072</c:v>
                </c:pt>
                <c:pt idx="28">
                  <c:v>0.80907659999598147</c:v>
                </c:pt>
                <c:pt idx="29">
                  <c:v>0.9999546917104003</c:v>
                </c:pt>
                <c:pt idx="30">
                  <c:v>0.69989869424766449</c:v>
                </c:pt>
                <c:pt idx="31">
                  <c:v>0.68835011831502824</c:v>
                </c:pt>
                <c:pt idx="32">
                  <c:v>0.68831157070840265</c:v>
                </c:pt>
                <c:pt idx="33">
                  <c:v>0.68827302526044287</c:v>
                </c:pt>
                <c:pt idx="34">
                  <c:v>0.68823448197102832</c:v>
                </c:pt>
                <c:pt idx="35">
                  <c:v>0.68819594084003799</c:v>
                </c:pt>
                <c:pt idx="36">
                  <c:v>0.68815740186735097</c:v>
                </c:pt>
                <c:pt idx="37">
                  <c:v>0.79805609505284636</c:v>
                </c:pt>
                <c:pt idx="38">
                  <c:v>0.82302433391152352</c:v>
                </c:pt>
                <c:pt idx="39">
                  <c:v>0.92960244454882457</c:v>
                </c:pt>
                <c:pt idx="40">
                  <c:v>0.93230082681192983</c:v>
                </c:pt>
                <c:pt idx="41">
                  <c:v>0.85810417352118395</c:v>
                </c:pt>
                <c:pt idx="42">
                  <c:v>0.79155611968746686</c:v>
                </c:pt>
                <c:pt idx="43">
                  <c:v>0.72018957032965314</c:v>
                </c:pt>
                <c:pt idx="44">
                  <c:v>0.51084923972082596</c:v>
                </c:pt>
                <c:pt idx="45">
                  <c:v>0.36843174328162376</c:v>
                </c:pt>
                <c:pt idx="46">
                  <c:v>0.3</c:v>
                </c:pt>
                <c:pt idx="4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01-438D-871D-E6E85419FCDD}"/>
            </c:ext>
          </c:extLst>
        </c:ser>
        <c:ser>
          <c:idx val="0"/>
          <c:order val="3"/>
          <c:tx>
            <c:strRef>
              <c:f>Battery!$B$1</c:f>
              <c:strCache>
                <c:ptCount val="1"/>
                <c:pt idx="0">
                  <c:v>Bat_charge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Battery!$A$2:$A$169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Battery!$B$2:$B$49</c:f>
              <c:numCache>
                <c:formatCode>0.00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0.75902557278316707</c:v>
                </c:pt>
                <c:pt idx="3">
                  <c:v>15.534985200381755</c:v>
                </c:pt>
                <c:pt idx="4">
                  <c:v>15.506141300381755</c:v>
                </c:pt>
                <c:pt idx="5">
                  <c:v>15.711442000381759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5.2307198190180058E-2</c:v>
                </c:pt>
                <c:pt idx="16">
                  <c:v>0</c:v>
                </c:pt>
                <c:pt idx="17">
                  <c:v>1.063677304092323E-2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1.5959999999969553E-3</c:v>
                </c:pt>
                <c:pt idx="25">
                  <c:v>1.5959999999969553E-3</c:v>
                </c:pt>
                <c:pt idx="26">
                  <c:v>13.270693377556745</c:v>
                </c:pt>
                <c:pt idx="27">
                  <c:v>16.552156850381756</c:v>
                </c:pt>
                <c:pt idx="28">
                  <c:v>18.546627700381759</c:v>
                </c:pt>
                <c:pt idx="29">
                  <c:v>18.137723000381758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10.44403685</c:v>
                </c:pt>
                <c:pt idx="38">
                  <c:v>2.3762283500000039</c:v>
                </c:pt>
                <c:pt idx="39">
                  <c:v>10.129299</c:v>
                </c:pt>
                <c:pt idx="40">
                  <c:v>0.26129179999999941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1.5959999999969553E-3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01-438D-871D-E6E85419FCDD}"/>
            </c:ext>
          </c:extLst>
        </c:ser>
        <c:ser>
          <c:idx val="1"/>
          <c:order val="4"/>
          <c:tx>
            <c:strRef>
              <c:f>Battery!$C$1</c:f>
              <c:strCache>
                <c:ptCount val="1"/>
                <c:pt idx="0">
                  <c:v>Bat_discharge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Battery!$A$2:$A$169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Battery!$C$2:$C$49</c:f>
              <c:numCache>
                <c:formatCode>0.00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-8.9600000000000026</c:v>
                </c:pt>
                <c:pt idx="19">
                  <c:v>-5.4199999995499999</c:v>
                </c:pt>
                <c:pt idx="20">
                  <c:v>-21.279999999550004</c:v>
                </c:pt>
                <c:pt idx="21">
                  <c:v>-15.534117521706035</c:v>
                </c:pt>
                <c:pt idx="22">
                  <c:v>-6.3199999995500002</c:v>
                </c:pt>
                <c:pt idx="23">
                  <c:v>-5.4599999995500008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-27</c:v>
                </c:pt>
                <c:pt idx="31">
                  <c:v>-1.035844344518263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-6.6730000000000009</c:v>
                </c:pt>
                <c:pt idx="42">
                  <c:v>-5.9849999999999985</c:v>
                </c:pt>
                <c:pt idx="43">
                  <c:v>-6.4189999993600013</c:v>
                </c:pt>
                <c:pt idx="44">
                  <c:v>-18.83699999936</c:v>
                </c:pt>
                <c:pt idx="45">
                  <c:v>-12.814999999360001</c:v>
                </c:pt>
                <c:pt idx="46">
                  <c:v>-6.15699999936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01-438D-871D-E6E85419F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086904"/>
        <c:axId val="632096504"/>
      </c:barChart>
      <c:lineChart>
        <c:grouping val="standard"/>
        <c:varyColors val="0"/>
        <c:ser>
          <c:idx val="2"/>
          <c:order val="5"/>
          <c:tx>
            <c:strRef>
              <c:f>Battery!$D$1</c:f>
              <c:strCache>
                <c:ptCount val="1"/>
                <c:pt idx="0">
                  <c:v>SOC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Battery!$A$2:$A$169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Battery!$D$2:$D$49</c:f>
              <c:numCache>
                <c:formatCode>0.00</c:formatCode>
                <c:ptCount val="48"/>
                <c:pt idx="0">
                  <c:v>0.5</c:v>
                </c:pt>
                <c:pt idx="1">
                  <c:v>0.49997199999999997</c:v>
                </c:pt>
                <c:pt idx="2">
                  <c:v>0.50793374443940176</c:v>
                </c:pt>
                <c:pt idx="3">
                  <c:v>0.67143146015373167</c:v>
                </c:pt>
                <c:pt idx="4">
                  <c:v>0.83461639999598147</c:v>
                </c:pt>
                <c:pt idx="5">
                  <c:v>0.99995326148160035</c:v>
                </c:pt>
                <c:pt idx="6">
                  <c:v>0.99989726409895741</c:v>
                </c:pt>
                <c:pt idx="7">
                  <c:v>0.99984126985216792</c:v>
                </c:pt>
                <c:pt idx="8">
                  <c:v>0.99978527874105627</c:v>
                </c:pt>
                <c:pt idx="9">
                  <c:v>0.9997292907654467</c:v>
                </c:pt>
                <c:pt idx="10">
                  <c:v>0.9996733059251639</c:v>
                </c:pt>
                <c:pt idx="11">
                  <c:v>0.99961732422003213</c:v>
                </c:pt>
                <c:pt idx="12">
                  <c:v>0.99956134564987575</c:v>
                </c:pt>
                <c:pt idx="13">
                  <c:v>0.99950537021451946</c:v>
                </c:pt>
                <c:pt idx="14">
                  <c:v>0.99944939791378762</c:v>
                </c:pt>
                <c:pt idx="15">
                  <c:v>0.99994403083371697</c:v>
                </c:pt>
                <c:pt idx="16">
                  <c:v>0.99988803396799031</c:v>
                </c:pt>
                <c:pt idx="17">
                  <c:v>0.99994400627009783</c:v>
                </c:pt>
                <c:pt idx="18">
                  <c:v>0.90033245385019112</c:v>
                </c:pt>
                <c:pt idx="19">
                  <c:v>0.84005981301555332</c:v>
                </c:pt>
                <c:pt idx="20">
                  <c:v>0.6035683252265801</c:v>
                </c:pt>
                <c:pt idx="21">
                  <c:v>0.43093321960363368</c:v>
                </c:pt>
                <c:pt idx="22">
                  <c:v>0.3606868651261137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0.43967470923743945</c:v>
                </c:pt>
                <c:pt idx="27">
                  <c:v>0.61388331745774072</c:v>
                </c:pt>
                <c:pt idx="28">
                  <c:v>0.80907659999598147</c:v>
                </c:pt>
                <c:pt idx="29">
                  <c:v>0.9999546917104003</c:v>
                </c:pt>
                <c:pt idx="30">
                  <c:v>0.69989869424766449</c:v>
                </c:pt>
                <c:pt idx="31">
                  <c:v>0.68835011831502824</c:v>
                </c:pt>
                <c:pt idx="32">
                  <c:v>0.68831157070840265</c:v>
                </c:pt>
                <c:pt idx="33">
                  <c:v>0.68827302526044287</c:v>
                </c:pt>
                <c:pt idx="34">
                  <c:v>0.68823448197102832</c:v>
                </c:pt>
                <c:pt idx="35">
                  <c:v>0.68819594084003799</c:v>
                </c:pt>
                <c:pt idx="36">
                  <c:v>0.68815740186735097</c:v>
                </c:pt>
                <c:pt idx="37">
                  <c:v>0.79805609505284636</c:v>
                </c:pt>
                <c:pt idx="38">
                  <c:v>0.82302433391152352</c:v>
                </c:pt>
                <c:pt idx="39">
                  <c:v>0.92960244454882457</c:v>
                </c:pt>
                <c:pt idx="40">
                  <c:v>0.93230082681192983</c:v>
                </c:pt>
                <c:pt idx="41">
                  <c:v>0.85810417352118395</c:v>
                </c:pt>
                <c:pt idx="42">
                  <c:v>0.79155611968746686</c:v>
                </c:pt>
                <c:pt idx="43">
                  <c:v>0.72018957032965314</c:v>
                </c:pt>
                <c:pt idx="44">
                  <c:v>0.51084923972082596</c:v>
                </c:pt>
                <c:pt idx="45">
                  <c:v>0.36843174328162376</c:v>
                </c:pt>
                <c:pt idx="46">
                  <c:v>0.3</c:v>
                </c:pt>
                <c:pt idx="47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01-438D-871D-E6E85419F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090744"/>
        <c:axId val="632092664"/>
      </c:lineChart>
      <c:catAx>
        <c:axId val="63208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96504"/>
        <c:crosses val="autoZero"/>
        <c:auto val="1"/>
        <c:lblAlgn val="ctr"/>
        <c:lblOffset val="100"/>
        <c:noMultiLvlLbl val="0"/>
      </c:catAx>
      <c:valAx>
        <c:axId val="632096504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86904"/>
        <c:crosses val="autoZero"/>
        <c:crossBetween val="between"/>
      </c:valAx>
      <c:valAx>
        <c:axId val="632092664"/>
        <c:scaling>
          <c:orientation val="minMax"/>
          <c:max val="1"/>
          <c:min val="-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90744"/>
        <c:crosses val="max"/>
        <c:crossBetween val="between"/>
      </c:valAx>
      <c:catAx>
        <c:axId val="632090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209266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'Welfare Calc'!$C$5:$K$6</c:f>
              <c:multiLvlStrCache>
                <c:ptCount val="9"/>
                <c:lvl>
                  <c:pt idx="0">
                    <c:v>$</c:v>
                  </c:pt>
                  <c:pt idx="1">
                    <c:v>$</c:v>
                  </c:pt>
                  <c:pt idx="2">
                    <c:v>$</c:v>
                  </c:pt>
                  <c:pt idx="3">
                    <c:v>kWh</c:v>
                  </c:pt>
                  <c:pt idx="4">
                    <c:v>kWh</c:v>
                  </c:pt>
                  <c:pt idx="5">
                    <c:v>kWh</c:v>
                  </c:pt>
                  <c:pt idx="6">
                    <c:v>kWh</c:v>
                  </c:pt>
                  <c:pt idx="7">
                    <c:v>kWh</c:v>
                  </c:pt>
                  <c:pt idx="8">
                    <c:v>kWh</c:v>
                  </c:pt>
                </c:lvl>
                <c:lvl>
                  <c:pt idx="0">
                    <c:v>Net Revenues</c:v>
                  </c:pt>
                  <c:pt idx="1">
                    <c:v>OPEX</c:v>
                  </c:pt>
                  <c:pt idx="2">
                    <c:v>Net Benefit</c:v>
                  </c:pt>
                  <c:pt idx="3">
                    <c:v>Total served Demand 
(incl. Grid export)</c:v>
                  </c:pt>
                  <c:pt idx="4">
                    <c:v>Total Supply</c:v>
                  </c:pt>
                  <c:pt idx="5">
                    <c:v>MG Generation</c:v>
                  </c:pt>
                  <c:pt idx="6">
                    <c:v>Grid Import</c:v>
                  </c:pt>
                  <c:pt idx="7">
                    <c:v>Total losses</c:v>
                  </c:pt>
                  <c:pt idx="8">
                    <c:v>Total shortage</c:v>
                  </c:pt>
                </c:lvl>
              </c:multiLvlStrCache>
            </c:multiLvlStrRef>
          </c:cat>
          <c:val>
            <c:numRef>
              <c:f>'Welfare Calc'!$C$7:$K$7</c:f>
              <c:numCache>
                <c:formatCode>0.0</c:formatCode>
                <c:ptCount val="9"/>
                <c:pt idx="0">
                  <c:v>181.143124280948</c:v>
                </c:pt>
                <c:pt idx="1">
                  <c:v>-29.279413127979563</c:v>
                </c:pt>
                <c:pt idx="2">
                  <c:v>151.86371115296848</c:v>
                </c:pt>
                <c:pt idx="3">
                  <c:v>694.77674780164102</c:v>
                </c:pt>
                <c:pt idx="4">
                  <c:v>728.52656528520424</c:v>
                </c:pt>
                <c:pt idx="5">
                  <c:v>484.96472899102645</c:v>
                </c:pt>
                <c:pt idx="6">
                  <c:v>243.56183629417762</c:v>
                </c:pt>
                <c:pt idx="7">
                  <c:v>33.749817495313302</c:v>
                </c:pt>
                <c:pt idx="8">
                  <c:v>18.759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6-4BB5-80A3-84F023EED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460544"/>
        <c:axId val="1654463040"/>
      </c:barChart>
      <c:catAx>
        <c:axId val="165446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463040"/>
        <c:crosses val="autoZero"/>
        <c:auto val="1"/>
        <c:lblAlgn val="ctr"/>
        <c:lblOffset val="100"/>
        <c:noMultiLvlLbl val="0"/>
      </c:catAx>
      <c:valAx>
        <c:axId val="16544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46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'Welfare Calc'!$C$9</c:f>
              <c:strCache>
                <c:ptCount val="1"/>
                <c:pt idx="0">
                  <c:v>Net Revenues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'Welfare Calc'!$C$10:$C$177</c:f>
              <c:numCache>
                <c:formatCode>0.00</c:formatCode>
                <c:ptCount val="168"/>
                <c:pt idx="0">
                  <c:v>2.0076000000000001</c:v>
                </c:pt>
                <c:pt idx="1">
                  <c:v>1.20878</c:v>
                </c:pt>
                <c:pt idx="2">
                  <c:v>1.7763800000000001</c:v>
                </c:pt>
                <c:pt idx="3">
                  <c:v>2.1819199999999999</c:v>
                </c:pt>
                <c:pt idx="4">
                  <c:v>2.1938800000000001</c:v>
                </c:pt>
                <c:pt idx="5">
                  <c:v>2.1168</c:v>
                </c:pt>
                <c:pt idx="6">
                  <c:v>1.5631200000000001</c:v>
                </c:pt>
                <c:pt idx="7">
                  <c:v>1.2309400000000001</c:v>
                </c:pt>
                <c:pt idx="8">
                  <c:v>1.2217800000000001</c:v>
                </c:pt>
                <c:pt idx="9">
                  <c:v>3.1652200000000001</c:v>
                </c:pt>
                <c:pt idx="10">
                  <c:v>4.0897600000000001</c:v>
                </c:pt>
                <c:pt idx="11">
                  <c:v>5.3015800000000004</c:v>
                </c:pt>
                <c:pt idx="12">
                  <c:v>4.5177700000000005</c:v>
                </c:pt>
                <c:pt idx="13">
                  <c:v>6.7112799999999995</c:v>
                </c:pt>
                <c:pt idx="14">
                  <c:v>6.7367400000000002</c:v>
                </c:pt>
                <c:pt idx="15">
                  <c:v>2.7962445161021705</c:v>
                </c:pt>
                <c:pt idx="16">
                  <c:v>4.5571400000000004</c:v>
                </c:pt>
                <c:pt idx="17">
                  <c:v>4.0823</c:v>
                </c:pt>
                <c:pt idx="18">
                  <c:v>5.51</c:v>
                </c:pt>
                <c:pt idx="19">
                  <c:v>2.71</c:v>
                </c:pt>
                <c:pt idx="20">
                  <c:v>10.64</c:v>
                </c:pt>
                <c:pt idx="21">
                  <c:v>11.64</c:v>
                </c:pt>
                <c:pt idx="22">
                  <c:v>3.16</c:v>
                </c:pt>
                <c:pt idx="23">
                  <c:v>2.73</c:v>
                </c:pt>
                <c:pt idx="24">
                  <c:v>2.5128399999999997</c:v>
                </c:pt>
                <c:pt idx="25">
                  <c:v>1.2718</c:v>
                </c:pt>
                <c:pt idx="26">
                  <c:v>0.54046000000000005</c:v>
                </c:pt>
                <c:pt idx="27">
                  <c:v>1.7908599999999999</c:v>
                </c:pt>
                <c:pt idx="28">
                  <c:v>1.0225200000000001</c:v>
                </c:pt>
                <c:pt idx="29">
                  <c:v>1.1836</c:v>
                </c:pt>
                <c:pt idx="30">
                  <c:v>4.1091900000584998</c:v>
                </c:pt>
                <c:pt idx="31">
                  <c:v>1.3448297647873741</c:v>
                </c:pt>
                <c:pt idx="32">
                  <c:v>1.9128699999999998</c:v>
                </c:pt>
                <c:pt idx="33">
                  <c:v>3.1416599999999999</c:v>
                </c:pt>
                <c:pt idx="34">
                  <c:v>5.4459300000000006</c:v>
                </c:pt>
                <c:pt idx="35">
                  <c:v>5.6745800000000006</c:v>
                </c:pt>
                <c:pt idx="36">
                  <c:v>6.1389100000000001</c:v>
                </c:pt>
                <c:pt idx="37">
                  <c:v>6.04026</c:v>
                </c:pt>
                <c:pt idx="38">
                  <c:v>7.1010600000000004</c:v>
                </c:pt>
                <c:pt idx="39">
                  <c:v>3.4508000000000001</c:v>
                </c:pt>
                <c:pt idx="40">
                  <c:v>3.9856800000000003</c:v>
                </c:pt>
                <c:pt idx="41">
                  <c:v>4.9740200000000003</c:v>
                </c:pt>
                <c:pt idx="42">
                  <c:v>3.3992999999999998</c:v>
                </c:pt>
                <c:pt idx="43">
                  <c:v>2.2882600000000002</c:v>
                </c:pt>
                <c:pt idx="44">
                  <c:v>8.3755799999999994</c:v>
                </c:pt>
                <c:pt idx="45">
                  <c:v>5.9268999999999998</c:v>
                </c:pt>
                <c:pt idx="46">
                  <c:v>2.5539800000000001</c:v>
                </c:pt>
                <c:pt idx="47">
                  <c:v>3.1079999999999997</c:v>
                </c:pt>
                <c:pt idx="48">
                  <c:v>2.7891000000000004</c:v>
                </c:pt>
                <c:pt idx="49">
                  <c:v>1.27278</c:v>
                </c:pt>
                <c:pt idx="50">
                  <c:v>1.3598600000000001</c:v>
                </c:pt>
                <c:pt idx="51">
                  <c:v>1.9678200000000001</c:v>
                </c:pt>
                <c:pt idx="52">
                  <c:v>1.7399399999999998</c:v>
                </c:pt>
                <c:pt idx="53">
                  <c:v>2.0146800000000002</c:v>
                </c:pt>
                <c:pt idx="54">
                  <c:v>1.52458</c:v>
                </c:pt>
                <c:pt idx="55">
                  <c:v>0.92393999999999998</c:v>
                </c:pt>
                <c:pt idx="56">
                  <c:v>1.68994</c:v>
                </c:pt>
                <c:pt idx="57">
                  <c:v>2.9308000000000001</c:v>
                </c:pt>
                <c:pt idx="58">
                  <c:v>4.2724599999999997</c:v>
                </c:pt>
                <c:pt idx="59">
                  <c:v>5.7290200000000002</c:v>
                </c:pt>
                <c:pt idx="60">
                  <c:v>3.2135199999999999</c:v>
                </c:pt>
                <c:pt idx="61">
                  <c:v>5.5861200000000002</c:v>
                </c:pt>
                <c:pt idx="62">
                  <c:v>6.1962399999999995</c:v>
                </c:pt>
                <c:pt idx="63">
                  <c:v>4.8700799999999997</c:v>
                </c:pt>
                <c:pt idx="64">
                  <c:v>4.6612200000000001</c:v>
                </c:pt>
                <c:pt idx="65">
                  <c:v>7.1482400000000004</c:v>
                </c:pt>
                <c:pt idx="66">
                  <c:v>6.3964600000000003</c:v>
                </c:pt>
                <c:pt idx="67">
                  <c:v>2.1568399999999999</c:v>
                </c:pt>
                <c:pt idx="68">
                  <c:v>10.120560000000001</c:v>
                </c:pt>
                <c:pt idx="69">
                  <c:v>10.624739999999999</c:v>
                </c:pt>
                <c:pt idx="70">
                  <c:v>5.3358800000000004</c:v>
                </c:pt>
                <c:pt idx="71">
                  <c:v>3.6954000000000002</c:v>
                </c:pt>
                <c:pt idx="72">
                  <c:v>2.1686000000000001</c:v>
                </c:pt>
                <c:pt idx="73">
                  <c:v>1.9029800000000001</c:v>
                </c:pt>
                <c:pt idx="74">
                  <c:v>1.8018399999999999</c:v>
                </c:pt>
                <c:pt idx="75">
                  <c:v>1.2850200000000001</c:v>
                </c:pt>
                <c:pt idx="76">
                  <c:v>1.1481400000000002</c:v>
                </c:pt>
                <c:pt idx="77">
                  <c:v>1.4498799999999998</c:v>
                </c:pt>
                <c:pt idx="78">
                  <c:v>4.5113700000832004</c:v>
                </c:pt>
                <c:pt idx="79">
                  <c:v>2.2333187460826709</c:v>
                </c:pt>
                <c:pt idx="80">
                  <c:v>1.7583199999999999</c:v>
                </c:pt>
                <c:pt idx="81">
                  <c:v>1.9303599999999999</c:v>
                </c:pt>
                <c:pt idx="82">
                  <c:v>5.8726199999999995</c:v>
                </c:pt>
                <c:pt idx="83">
                  <c:v>4.4017200000000001</c:v>
                </c:pt>
                <c:pt idx="84">
                  <c:v>2.8974199999999999</c:v>
                </c:pt>
                <c:pt idx="85">
                  <c:v>6.6258500000000007</c:v>
                </c:pt>
                <c:pt idx="86">
                  <c:v>7.03</c:v>
                </c:pt>
                <c:pt idx="87">
                  <c:v>3.7180599999999999</c:v>
                </c:pt>
                <c:pt idx="88">
                  <c:v>3.0151300000000001</c:v>
                </c:pt>
                <c:pt idx="89">
                  <c:v>4.1334999999999997</c:v>
                </c:pt>
                <c:pt idx="90">
                  <c:v>6.5296200000000004</c:v>
                </c:pt>
                <c:pt idx="91">
                  <c:v>2.8564600000000002</c:v>
                </c:pt>
                <c:pt idx="92">
                  <c:v>7.7768800000000002</c:v>
                </c:pt>
                <c:pt idx="93">
                  <c:v>9.7781400000000005</c:v>
                </c:pt>
                <c:pt idx="94">
                  <c:v>4.1188599999999997</c:v>
                </c:pt>
                <c:pt idx="95">
                  <c:v>3.3292799999999998</c:v>
                </c:pt>
                <c:pt idx="96">
                  <c:v>1.77918</c:v>
                </c:pt>
                <c:pt idx="97">
                  <c:v>1.3989600000000002</c:v>
                </c:pt>
                <c:pt idx="98">
                  <c:v>1.2854399999999999</c:v>
                </c:pt>
                <c:pt idx="99">
                  <c:v>1.9304000000000001</c:v>
                </c:pt>
                <c:pt idx="100">
                  <c:v>1.1982200000000001</c:v>
                </c:pt>
                <c:pt idx="101">
                  <c:v>1.8261799999999999</c:v>
                </c:pt>
                <c:pt idx="102">
                  <c:v>1.2099</c:v>
                </c:pt>
                <c:pt idx="103">
                  <c:v>0.70864000000000005</c:v>
                </c:pt>
                <c:pt idx="104">
                  <c:v>1.0991599999999999</c:v>
                </c:pt>
                <c:pt idx="105">
                  <c:v>2.4059200000000001</c:v>
                </c:pt>
                <c:pt idx="106">
                  <c:v>3.5824400000000001</c:v>
                </c:pt>
                <c:pt idx="107">
                  <c:v>3.1775199999999999</c:v>
                </c:pt>
                <c:pt idx="108">
                  <c:v>1.9280000000000002</c:v>
                </c:pt>
                <c:pt idx="109">
                  <c:v>6.35006</c:v>
                </c:pt>
                <c:pt idx="110">
                  <c:v>4.633</c:v>
                </c:pt>
                <c:pt idx="111">
                  <c:v>5.4173400000000003</c:v>
                </c:pt>
                <c:pt idx="112">
                  <c:v>2.59158</c:v>
                </c:pt>
                <c:pt idx="113">
                  <c:v>4.2574399999999999</c:v>
                </c:pt>
                <c:pt idx="114">
                  <c:v>4.3798200000000005</c:v>
                </c:pt>
                <c:pt idx="115">
                  <c:v>2.4771000000000001</c:v>
                </c:pt>
                <c:pt idx="116">
                  <c:v>7.7874400000000001</c:v>
                </c:pt>
                <c:pt idx="117">
                  <c:v>5.7720000000000002</c:v>
                </c:pt>
                <c:pt idx="118">
                  <c:v>3.4997200000000004</c:v>
                </c:pt>
                <c:pt idx="119">
                  <c:v>3.0300199999999999</c:v>
                </c:pt>
                <c:pt idx="120">
                  <c:v>2.6504799999999999</c:v>
                </c:pt>
                <c:pt idx="121">
                  <c:v>1.3856000000000002</c:v>
                </c:pt>
                <c:pt idx="122">
                  <c:v>1.52332</c:v>
                </c:pt>
                <c:pt idx="123">
                  <c:v>1.1335200000000001</c:v>
                </c:pt>
                <c:pt idx="124">
                  <c:v>1.9911799999999999</c:v>
                </c:pt>
                <c:pt idx="125">
                  <c:v>1.7261600000000001</c:v>
                </c:pt>
                <c:pt idx="126">
                  <c:v>1.6383800000000002</c:v>
                </c:pt>
                <c:pt idx="127">
                  <c:v>0.93730000000000002</c:v>
                </c:pt>
                <c:pt idx="128">
                  <c:v>0.79159999999999997</c:v>
                </c:pt>
                <c:pt idx="129">
                  <c:v>1.8832800000000001</c:v>
                </c:pt>
                <c:pt idx="130">
                  <c:v>3.9314</c:v>
                </c:pt>
                <c:pt idx="131">
                  <c:v>2.9415199999999997</c:v>
                </c:pt>
                <c:pt idx="132">
                  <c:v>2.10724</c:v>
                </c:pt>
                <c:pt idx="133">
                  <c:v>5.5755600000000003</c:v>
                </c:pt>
                <c:pt idx="134">
                  <c:v>5.1961599999999999</c:v>
                </c:pt>
                <c:pt idx="135">
                  <c:v>4.7804799999999998</c:v>
                </c:pt>
                <c:pt idx="136">
                  <c:v>3.6344799999999999</c:v>
                </c:pt>
                <c:pt idx="137">
                  <c:v>4.6089799999999999</c:v>
                </c:pt>
                <c:pt idx="138">
                  <c:v>3.6546399999999997</c:v>
                </c:pt>
                <c:pt idx="139">
                  <c:v>2.64412</c:v>
                </c:pt>
                <c:pt idx="140">
                  <c:v>7.1776200000000001</c:v>
                </c:pt>
                <c:pt idx="141">
                  <c:v>6.8251800000000005</c:v>
                </c:pt>
                <c:pt idx="142">
                  <c:v>4.0314399999999999</c:v>
                </c:pt>
                <c:pt idx="143">
                  <c:v>2.6078800000000002</c:v>
                </c:pt>
                <c:pt idx="144">
                  <c:v>1.6633599999999999</c:v>
                </c:pt>
                <c:pt idx="145">
                  <c:v>1.19696</c:v>
                </c:pt>
                <c:pt idx="146">
                  <c:v>1.6752400000000001</c:v>
                </c:pt>
                <c:pt idx="147">
                  <c:v>1.0457399999999999</c:v>
                </c:pt>
                <c:pt idx="148">
                  <c:v>1.2367600000000001</c:v>
                </c:pt>
                <c:pt idx="149">
                  <c:v>1.2841800000000001</c:v>
                </c:pt>
                <c:pt idx="150">
                  <c:v>0.83191999999999999</c:v>
                </c:pt>
                <c:pt idx="151">
                  <c:v>0.71101999999999999</c:v>
                </c:pt>
                <c:pt idx="152">
                  <c:v>0.84672000000000003</c:v>
                </c:pt>
                <c:pt idx="153">
                  <c:v>2.1211899999999999</c:v>
                </c:pt>
                <c:pt idx="154">
                  <c:v>4.4024200000000002</c:v>
                </c:pt>
                <c:pt idx="155">
                  <c:v>2.7084600000000001</c:v>
                </c:pt>
                <c:pt idx="156">
                  <c:v>1.9836500000000001</c:v>
                </c:pt>
                <c:pt idx="157">
                  <c:v>3.2524799999999998</c:v>
                </c:pt>
                <c:pt idx="158">
                  <c:v>4.4447200000000002</c:v>
                </c:pt>
                <c:pt idx="159">
                  <c:v>2.8672399999999998</c:v>
                </c:pt>
                <c:pt idx="160">
                  <c:v>4.3506599999999995</c:v>
                </c:pt>
                <c:pt idx="161">
                  <c:v>3.2274399999999996</c:v>
                </c:pt>
                <c:pt idx="162">
                  <c:v>2.86442</c:v>
                </c:pt>
                <c:pt idx="163">
                  <c:v>2.1935600000000002</c:v>
                </c:pt>
                <c:pt idx="164">
                  <c:v>7.0514599999999996</c:v>
                </c:pt>
                <c:pt idx="165">
                  <c:v>2.2509800000000002</c:v>
                </c:pt>
                <c:pt idx="166">
                  <c:v>2.8037200000000002</c:v>
                </c:pt>
                <c:pt idx="167">
                  <c:v>2.00908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8-4654-B3E9-441AE4A566C6}"/>
            </c:ext>
          </c:extLst>
        </c:ser>
        <c:ser>
          <c:idx val="2"/>
          <c:order val="2"/>
          <c:tx>
            <c:strRef>
              <c:f>'Welfare Calc'!$D$9</c:f>
              <c:strCache>
                <c:ptCount val="1"/>
                <c:pt idx="0">
                  <c:v>OPEX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'Welfare Calc'!$D$10:$D$177</c:f>
              <c:numCache>
                <c:formatCode>0.00</c:formatCode>
                <c:ptCount val="168"/>
                <c:pt idx="0">
                  <c:v>-0.53399999995500003</c:v>
                </c:pt>
                <c:pt idx="1">
                  <c:v>-0.36969999995500002</c:v>
                </c:pt>
                <c:pt idx="2">
                  <c:v>-0.63317400068307539</c:v>
                </c:pt>
                <c:pt idx="3">
                  <c:v>-2.5000654104640017</c:v>
                </c:pt>
                <c:pt idx="4">
                  <c:v>-2.5000652890160016</c:v>
                </c:pt>
                <c:pt idx="5">
                  <c:v>-2.5000661534400015</c:v>
                </c:pt>
                <c:pt idx="6">
                  <c:v>-0.71819999993250005</c:v>
                </c:pt>
                <c:pt idx="7">
                  <c:v>-0.32865373999999992</c:v>
                </c:pt>
                <c:pt idx="8">
                  <c:v>-5.8057319999999933E-2</c:v>
                </c:pt>
                <c:pt idx="9">
                  <c:v>-1.2484580000000001</c:v>
                </c:pt>
                <c:pt idx="10">
                  <c:v>-1.14511086</c:v>
                </c:pt>
                <c:pt idx="11">
                  <c:v>-0.46907762000000008</c:v>
                </c:pt>
                <c:pt idx="12">
                  <c:v>-2.476E-5</c:v>
                </c:pt>
                <c:pt idx="13">
                  <c:v>-3.4499999999999998E-5</c:v>
                </c:pt>
                <c:pt idx="14">
                  <c:v>-0.44268140000000006</c:v>
                </c:pt>
                <c:pt idx="15">
                  <c:v>-1.9460240834484967E-5</c:v>
                </c:pt>
                <c:pt idx="16">
                  <c:v>-0.69466983999999998</c:v>
                </c:pt>
                <c:pt idx="17">
                  <c:v>-1.2731387132076286</c:v>
                </c:pt>
                <c:pt idx="18">
                  <c:v>-4.3942222222222232E-5</c:v>
                </c:pt>
                <c:pt idx="19">
                  <c:v>-2.4088888886888886E-5</c:v>
                </c:pt>
                <c:pt idx="20">
                  <c:v>-9.4577777775777783E-5</c:v>
                </c:pt>
                <c:pt idx="21">
                  <c:v>-2.7954488200027274</c:v>
                </c:pt>
                <c:pt idx="22">
                  <c:v>-2.8088888886888888E-5</c:v>
                </c:pt>
                <c:pt idx="23">
                  <c:v>-2.4266666664666669E-5</c:v>
                </c:pt>
                <c:pt idx="24">
                  <c:v>-0.66878813657421576</c:v>
                </c:pt>
                <c:pt idx="25">
                  <c:v>-0.3891881365742158</c:v>
                </c:pt>
                <c:pt idx="26">
                  <c:v>-1.7292504928794057</c:v>
                </c:pt>
                <c:pt idx="27">
                  <c:v>-2.5000696932920015</c:v>
                </c:pt>
                <c:pt idx="28">
                  <c:v>-2.5000780910640015</c:v>
                </c:pt>
                <c:pt idx="29">
                  <c:v>-2.5000763693600017</c:v>
                </c:pt>
                <c:pt idx="30">
                  <c:v>-1.1999999999999999E-4</c:v>
                </c:pt>
                <c:pt idx="31">
                  <c:v>-1.452375264230339E-5</c:v>
                </c:pt>
                <c:pt idx="32">
                  <c:v>-1.4439999999999999E-5</c:v>
                </c:pt>
                <c:pt idx="33">
                  <c:v>-3.222E-5</c:v>
                </c:pt>
                <c:pt idx="34">
                  <c:v>-6.0039999999999994E-5</c:v>
                </c:pt>
                <c:pt idx="35">
                  <c:v>-6.9679999999999997E-5</c:v>
                </c:pt>
                <c:pt idx="36">
                  <c:v>-6.19E-5</c:v>
                </c:pt>
                <c:pt idx="37">
                  <c:v>-9.4714892000000002E-5</c:v>
                </c:pt>
                <c:pt idx="38">
                  <c:v>-5.4925172000000011E-5</c:v>
                </c:pt>
                <c:pt idx="39">
                  <c:v>-8.8569680000000005E-5</c:v>
                </c:pt>
                <c:pt idx="40">
                  <c:v>-2.7180175999999995E-5</c:v>
                </c:pt>
                <c:pt idx="41">
                  <c:v>-4.6637777777777778E-5</c:v>
                </c:pt>
                <c:pt idx="42">
                  <c:v>-3.181999999999999E-5</c:v>
                </c:pt>
                <c:pt idx="43">
                  <c:v>-2.8528888886044447E-5</c:v>
                </c:pt>
                <c:pt idx="44">
                  <c:v>-8.3719999997155546E-5</c:v>
                </c:pt>
                <c:pt idx="45">
                  <c:v>-5.6955555552711113E-5</c:v>
                </c:pt>
                <c:pt idx="46">
                  <c:v>-2.7364444441599999E-5</c:v>
                </c:pt>
                <c:pt idx="47">
                  <c:v>-0.78018813655521579</c:v>
                </c:pt>
                <c:pt idx="48">
                  <c:v>-0.74268813655521582</c:v>
                </c:pt>
                <c:pt idx="49">
                  <c:v>-0.39803958340454937</c:v>
                </c:pt>
                <c:pt idx="50">
                  <c:v>-2.5000744440520024</c:v>
                </c:pt>
                <c:pt idx="51">
                  <c:v>-2.5000677501240025</c:v>
                </c:pt>
                <c:pt idx="52">
                  <c:v>-2.5000702576680025</c:v>
                </c:pt>
                <c:pt idx="53">
                  <c:v>-2.5000672893360023</c:v>
                </c:pt>
                <c:pt idx="54">
                  <c:v>-2.0742222219377775E-5</c:v>
                </c:pt>
                <c:pt idx="55">
                  <c:v>-1.3559999996977777E-5</c:v>
                </c:pt>
                <c:pt idx="56">
                  <c:v>-1.5179999999999999E-5</c:v>
                </c:pt>
                <c:pt idx="57">
                  <c:v>-0.42578586523757572</c:v>
                </c:pt>
                <c:pt idx="58">
                  <c:v>-3.6340000000000008E-5</c:v>
                </c:pt>
                <c:pt idx="59">
                  <c:v>-5.5317777777777783E-5</c:v>
                </c:pt>
                <c:pt idx="60">
                  <c:v>-3.3436224000000003E-5</c:v>
                </c:pt>
                <c:pt idx="61">
                  <c:v>-2.4566666666666663E-5</c:v>
                </c:pt>
                <c:pt idx="62">
                  <c:v>-0.83792313999999979</c:v>
                </c:pt>
                <c:pt idx="63">
                  <c:v>-1.5453104999999998</c:v>
                </c:pt>
                <c:pt idx="64">
                  <c:v>-1.4599602999999999</c:v>
                </c:pt>
                <c:pt idx="65">
                  <c:v>-2.46241076</c:v>
                </c:pt>
                <c:pt idx="66">
                  <c:v>-7.1862222219377784E-5</c:v>
                </c:pt>
                <c:pt idx="67">
                  <c:v>-2.6871111108266665E-5</c:v>
                </c:pt>
                <c:pt idx="68">
                  <c:v>-1.0117333333048889E-4</c:v>
                </c:pt>
                <c:pt idx="69">
                  <c:v>-3.4456499999039996</c:v>
                </c:pt>
                <c:pt idx="70">
                  <c:v>-1.2863881365552159</c:v>
                </c:pt>
                <c:pt idx="71">
                  <c:v>-0.92718813655521581</c:v>
                </c:pt>
                <c:pt idx="72">
                  <c:v>-0.57718813655521573</c:v>
                </c:pt>
                <c:pt idx="73">
                  <c:v>-0.58288813655521576</c:v>
                </c:pt>
                <c:pt idx="74">
                  <c:v>-2.080854022248007</c:v>
                </c:pt>
                <c:pt idx="75">
                  <c:v>-2.5000752513240023</c:v>
                </c:pt>
                <c:pt idx="76">
                  <c:v>-2.5000767229880023</c:v>
                </c:pt>
                <c:pt idx="77">
                  <c:v>-2.5000734331760022</c:v>
                </c:pt>
                <c:pt idx="78">
                  <c:v>-1.1999999999999999E-4</c:v>
                </c:pt>
                <c:pt idx="79">
                  <c:v>-4.5603375934450274E-5</c:v>
                </c:pt>
                <c:pt idx="80">
                  <c:v>-1.8819999999999999E-5</c:v>
                </c:pt>
                <c:pt idx="81">
                  <c:v>-1.525777777777777E-5</c:v>
                </c:pt>
                <c:pt idx="82">
                  <c:v>-5.9275804000000004E-5</c:v>
                </c:pt>
                <c:pt idx="83">
                  <c:v>-1.22744824E-4</c:v>
                </c:pt>
                <c:pt idx="84">
                  <c:v>-1.4637268399999998E-4</c:v>
                </c:pt>
                <c:pt idx="85">
                  <c:v>-4.1179999999999995E-5</c:v>
                </c:pt>
                <c:pt idx="86">
                  <c:v>-0.64474934983269316</c:v>
                </c:pt>
                <c:pt idx="87">
                  <c:v>-2.4159999999999999E-5</c:v>
                </c:pt>
                <c:pt idx="88">
                  <c:v>-2.26E-5</c:v>
                </c:pt>
                <c:pt idx="89">
                  <c:v>-0.70726578000000007</c:v>
                </c:pt>
                <c:pt idx="90">
                  <c:v>-2.4754499999039998</c:v>
                </c:pt>
                <c:pt idx="91">
                  <c:v>-3.5595555552711108E-5</c:v>
                </c:pt>
                <c:pt idx="92">
                  <c:v>-7.7742222219377775E-5</c:v>
                </c:pt>
                <c:pt idx="93">
                  <c:v>-9.3959999997155557E-5</c:v>
                </c:pt>
                <c:pt idx="94">
                  <c:v>-4.412888888604445E-5</c:v>
                </c:pt>
                <c:pt idx="95">
                  <c:v>-0.83538813655521593</c:v>
                </c:pt>
                <c:pt idx="96">
                  <c:v>-0.47388813655521578</c:v>
                </c:pt>
                <c:pt idx="97">
                  <c:v>-0.42858813655521583</c:v>
                </c:pt>
                <c:pt idx="98">
                  <c:v>-2.2512914090558875</c:v>
                </c:pt>
                <c:pt idx="99">
                  <c:v>-2.5000681537600022</c:v>
                </c:pt>
                <c:pt idx="100">
                  <c:v>-2.5000761800440023</c:v>
                </c:pt>
                <c:pt idx="101">
                  <c:v>-2.5000693432360022</c:v>
                </c:pt>
                <c:pt idx="102">
                  <c:v>-1.6466666663822224E-5</c:v>
                </c:pt>
                <c:pt idx="103">
                  <c:v>-1.0382222218888889E-5</c:v>
                </c:pt>
                <c:pt idx="104">
                  <c:v>-4.3965192000000002E-5</c:v>
                </c:pt>
                <c:pt idx="105">
                  <c:v>-2.753111111111111E-5</c:v>
                </c:pt>
                <c:pt idx="106">
                  <c:v>-3.9431111111111112E-5</c:v>
                </c:pt>
                <c:pt idx="107">
                  <c:v>-3.1731111111111114E-5</c:v>
                </c:pt>
                <c:pt idx="108">
                  <c:v>-1.7913799999999994E-5</c:v>
                </c:pt>
                <c:pt idx="109">
                  <c:v>-3.9944851999999993E-5</c:v>
                </c:pt>
                <c:pt idx="110">
                  <c:v>-3.7735555555555556E-5</c:v>
                </c:pt>
                <c:pt idx="111">
                  <c:v>-5.8437777777777787E-5</c:v>
                </c:pt>
                <c:pt idx="112">
                  <c:v>-2.2902222222222217E-5</c:v>
                </c:pt>
                <c:pt idx="113">
                  <c:v>-5.7671111107511108E-5</c:v>
                </c:pt>
                <c:pt idx="114">
                  <c:v>-4.9213333330488894E-5</c:v>
                </c:pt>
                <c:pt idx="115">
                  <c:v>-3.0866666663822222E-5</c:v>
                </c:pt>
                <c:pt idx="116">
                  <c:v>-2.3287575479003055</c:v>
                </c:pt>
                <c:pt idx="117">
                  <c:v>-1.871999999904</c:v>
                </c:pt>
                <c:pt idx="118">
                  <c:v>-0.84398813655521587</c:v>
                </c:pt>
                <c:pt idx="119">
                  <c:v>-0.76048813655521574</c:v>
                </c:pt>
                <c:pt idx="120">
                  <c:v>-0.70538813655521571</c:v>
                </c:pt>
                <c:pt idx="121">
                  <c:v>-0.42418813655521576</c:v>
                </c:pt>
                <c:pt idx="122">
                  <c:v>-2.2904002523085847</c:v>
                </c:pt>
                <c:pt idx="123">
                  <c:v>-2.5000769123040021</c:v>
                </c:pt>
                <c:pt idx="124">
                  <c:v>-2.5000675215160024</c:v>
                </c:pt>
                <c:pt idx="125">
                  <c:v>-2.5000704255520021</c:v>
                </c:pt>
                <c:pt idx="126">
                  <c:v>-2.2297777774933332E-5</c:v>
                </c:pt>
                <c:pt idx="127">
                  <c:v>-1.375555555311111E-5</c:v>
                </c:pt>
                <c:pt idx="128">
                  <c:v>-6.3494887484178725E-2</c:v>
                </c:pt>
                <c:pt idx="129">
                  <c:v>-1.0997999998919998</c:v>
                </c:pt>
                <c:pt idx="130">
                  <c:v>-4.3604444444444441E-5</c:v>
                </c:pt>
                <c:pt idx="131">
                  <c:v>-2.9722222222222223E-5</c:v>
                </c:pt>
                <c:pt idx="132">
                  <c:v>-1.9026687999999996E-5</c:v>
                </c:pt>
                <c:pt idx="133">
                  <c:v>-2.7002222222222225E-5</c:v>
                </c:pt>
                <c:pt idx="134">
                  <c:v>-5.2879999999999995E-5</c:v>
                </c:pt>
                <c:pt idx="135">
                  <c:v>-1.15231518</c:v>
                </c:pt>
                <c:pt idx="136">
                  <c:v>-1.741799999907</c:v>
                </c:pt>
                <c:pt idx="137">
                  <c:v>-2.1070499998860002</c:v>
                </c:pt>
                <c:pt idx="138">
                  <c:v>-1.3853999999040001</c:v>
                </c:pt>
                <c:pt idx="139">
                  <c:v>-1.1126999999039999</c:v>
                </c:pt>
                <c:pt idx="140">
                  <c:v>-7.1746666663822224E-5</c:v>
                </c:pt>
                <c:pt idx="141">
                  <c:v>-6.5586666663822228E-5</c:v>
                </c:pt>
                <c:pt idx="142">
                  <c:v>-0.97178813655521579</c:v>
                </c:pt>
                <c:pt idx="143">
                  <c:v>-0.65438813655521577</c:v>
                </c:pt>
                <c:pt idx="144">
                  <c:v>-0.44258813655521567</c:v>
                </c:pt>
                <c:pt idx="145">
                  <c:v>-0.36658813655521577</c:v>
                </c:pt>
                <c:pt idx="146">
                  <c:v>-1.9444437328194926</c:v>
                </c:pt>
                <c:pt idx="147">
                  <c:v>-2.5000778660280023</c:v>
                </c:pt>
                <c:pt idx="148">
                  <c:v>-2.5000757478320024</c:v>
                </c:pt>
                <c:pt idx="149">
                  <c:v>-2.5000752727560025</c:v>
                </c:pt>
                <c:pt idx="150">
                  <c:v>-1.13244444416E-5</c:v>
                </c:pt>
                <c:pt idx="151">
                  <c:v>-1.0457777775466665E-5</c:v>
                </c:pt>
                <c:pt idx="152">
                  <c:v>-1.2479999996977777E-5</c:v>
                </c:pt>
                <c:pt idx="153">
                  <c:v>-1.8559999999999998E-5</c:v>
                </c:pt>
                <c:pt idx="154">
                  <c:v>-3.3486666666666666E-5</c:v>
                </c:pt>
                <c:pt idx="155">
                  <c:v>-1.9788888888888894E-5</c:v>
                </c:pt>
                <c:pt idx="156">
                  <c:v>-1.8960000000000001E-5</c:v>
                </c:pt>
                <c:pt idx="157">
                  <c:v>-1.580444444444444E-5</c:v>
                </c:pt>
                <c:pt idx="158">
                  <c:v>-3.4242222222222227E-5</c:v>
                </c:pt>
                <c:pt idx="159">
                  <c:v>-2.0559999999999996E-5</c:v>
                </c:pt>
                <c:pt idx="160">
                  <c:v>-4.8059999999999997E-5</c:v>
                </c:pt>
                <c:pt idx="161">
                  <c:v>-0.73317106684619548</c:v>
                </c:pt>
                <c:pt idx="162">
                  <c:v>-3.2191111108133332E-5</c:v>
                </c:pt>
                <c:pt idx="163">
                  <c:v>-2.7351111108266667E-5</c:v>
                </c:pt>
                <c:pt idx="164">
                  <c:v>-7.0484444441600003E-5</c:v>
                </c:pt>
                <c:pt idx="165">
                  <c:v>-2.1631111108266664E-5</c:v>
                </c:pt>
                <c:pt idx="166">
                  <c:v>-0.67598813655521572</c:v>
                </c:pt>
                <c:pt idx="167">
                  <c:v>-0.50438813655521575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8-4654-B3E9-441AE4A566C6}"/>
            </c:ext>
          </c:extLst>
        </c:ser>
        <c:ser>
          <c:idx val="3"/>
          <c:order val="3"/>
          <c:tx>
            <c:strRef>
              <c:f>'Welfare Calc'!$E$9</c:f>
              <c:strCache>
                <c:ptCount val="1"/>
                <c:pt idx="0">
                  <c:v>Net Benefit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'Welfare Calc'!$E$10:$E$177</c:f>
              <c:numCache>
                <c:formatCode>0.00</c:formatCode>
                <c:ptCount val="168"/>
                <c:pt idx="0">
                  <c:v>1.473600000045</c:v>
                </c:pt>
                <c:pt idx="1">
                  <c:v>0.83908000004499994</c:v>
                </c:pt>
                <c:pt idx="2">
                  <c:v>1.1432059993169248</c:v>
                </c:pt>
                <c:pt idx="3">
                  <c:v>-0.3181454104640018</c:v>
                </c:pt>
                <c:pt idx="4">
                  <c:v>-0.30618528901600151</c:v>
                </c:pt>
                <c:pt idx="5">
                  <c:v>-0.38326615344000148</c:v>
                </c:pt>
                <c:pt idx="6">
                  <c:v>0.84492000006750001</c:v>
                </c:pt>
                <c:pt idx="7">
                  <c:v>0.90228626000000023</c:v>
                </c:pt>
                <c:pt idx="8">
                  <c:v>1.1637226800000002</c:v>
                </c:pt>
                <c:pt idx="9">
                  <c:v>1.9167620000000001</c:v>
                </c:pt>
                <c:pt idx="10">
                  <c:v>2.9446491400000001</c:v>
                </c:pt>
                <c:pt idx="11">
                  <c:v>4.8325023800000002</c:v>
                </c:pt>
                <c:pt idx="12">
                  <c:v>4.5177452400000009</c:v>
                </c:pt>
                <c:pt idx="13">
                  <c:v>6.7112454999999995</c:v>
                </c:pt>
                <c:pt idx="14">
                  <c:v>6.2940586000000005</c:v>
                </c:pt>
                <c:pt idx="15">
                  <c:v>2.7962250558613362</c:v>
                </c:pt>
                <c:pt idx="16">
                  <c:v>3.8624701600000004</c:v>
                </c:pt>
                <c:pt idx="17">
                  <c:v>2.8091612867923716</c:v>
                </c:pt>
                <c:pt idx="18">
                  <c:v>5.509956057777778</c:v>
                </c:pt>
                <c:pt idx="19">
                  <c:v>2.7099759111111132</c:v>
                </c:pt>
                <c:pt idx="20">
                  <c:v>10.639905422222224</c:v>
                </c:pt>
                <c:pt idx="21">
                  <c:v>8.8445511799972731</c:v>
                </c:pt>
                <c:pt idx="22">
                  <c:v>3.1599719111111133</c:v>
                </c:pt>
                <c:pt idx="23">
                  <c:v>2.7299757333333354</c:v>
                </c:pt>
                <c:pt idx="24">
                  <c:v>1.8440518634257841</c:v>
                </c:pt>
                <c:pt idx="25">
                  <c:v>0.88261186342578424</c:v>
                </c:pt>
                <c:pt idx="26">
                  <c:v>-1.1887904928794057</c:v>
                </c:pt>
                <c:pt idx="27">
                  <c:v>-0.70920969329200156</c:v>
                </c:pt>
                <c:pt idx="28">
                  <c:v>-1.4775580910640014</c:v>
                </c:pt>
                <c:pt idx="29">
                  <c:v>-1.3164763693600017</c:v>
                </c:pt>
                <c:pt idx="30">
                  <c:v>4.1090700000584999</c:v>
                </c:pt>
                <c:pt idx="31">
                  <c:v>1.3448152410347318</c:v>
                </c:pt>
                <c:pt idx="32">
                  <c:v>1.9128555599999999</c:v>
                </c:pt>
                <c:pt idx="33">
                  <c:v>3.1416277799999999</c:v>
                </c:pt>
                <c:pt idx="34">
                  <c:v>5.4458699600000005</c:v>
                </c:pt>
                <c:pt idx="35">
                  <c:v>5.6745103200000004</c:v>
                </c:pt>
                <c:pt idx="36">
                  <c:v>6.1388480999999997</c:v>
                </c:pt>
                <c:pt idx="37">
                  <c:v>6.0401652851080003</c:v>
                </c:pt>
                <c:pt idx="38">
                  <c:v>7.1010050748280005</c:v>
                </c:pt>
                <c:pt idx="39">
                  <c:v>3.4507114303200002</c:v>
                </c:pt>
                <c:pt idx="40">
                  <c:v>3.9856528198240002</c:v>
                </c:pt>
                <c:pt idx="41">
                  <c:v>4.9739733622222229</c:v>
                </c:pt>
                <c:pt idx="42">
                  <c:v>3.39926818</c:v>
                </c:pt>
                <c:pt idx="43">
                  <c:v>2.2882314711111142</c:v>
                </c:pt>
                <c:pt idx="44">
                  <c:v>8.3754962800000019</c:v>
                </c:pt>
                <c:pt idx="45">
                  <c:v>5.9268430444444471</c:v>
                </c:pt>
                <c:pt idx="46">
                  <c:v>2.5539526355555586</c:v>
                </c:pt>
                <c:pt idx="47">
                  <c:v>2.3278118634447837</c:v>
                </c:pt>
                <c:pt idx="48">
                  <c:v>2.0464118634447845</c:v>
                </c:pt>
                <c:pt idx="49">
                  <c:v>0.87474041659545065</c:v>
                </c:pt>
                <c:pt idx="50">
                  <c:v>-1.1402144440520023</c:v>
                </c:pt>
                <c:pt idx="51">
                  <c:v>-0.53224775012400238</c:v>
                </c:pt>
                <c:pt idx="52">
                  <c:v>-0.76013025766800268</c:v>
                </c:pt>
                <c:pt idx="53">
                  <c:v>-0.48538728933600206</c:v>
                </c:pt>
                <c:pt idx="54">
                  <c:v>1.5245592577777807</c:v>
                </c:pt>
                <c:pt idx="55">
                  <c:v>0.92392644000000301</c:v>
                </c:pt>
                <c:pt idx="56">
                  <c:v>1.6899248200000001</c:v>
                </c:pt>
                <c:pt idx="57">
                  <c:v>2.5050141347624244</c:v>
                </c:pt>
                <c:pt idx="58">
                  <c:v>4.2724236599999994</c:v>
                </c:pt>
                <c:pt idx="59">
                  <c:v>5.7289646822222222</c:v>
                </c:pt>
                <c:pt idx="60">
                  <c:v>3.2134865637759997</c:v>
                </c:pt>
                <c:pt idx="61">
                  <c:v>5.5860954333333339</c:v>
                </c:pt>
                <c:pt idx="62">
                  <c:v>5.3583168599999995</c:v>
                </c:pt>
                <c:pt idx="63">
                  <c:v>3.3247694999999999</c:v>
                </c:pt>
                <c:pt idx="64">
                  <c:v>3.2012597000000005</c:v>
                </c:pt>
                <c:pt idx="65">
                  <c:v>4.6858292400000003</c:v>
                </c:pt>
                <c:pt idx="66">
                  <c:v>6.3963881377777811</c:v>
                </c:pt>
                <c:pt idx="67">
                  <c:v>2.1568131288888917</c:v>
                </c:pt>
                <c:pt idx="68">
                  <c:v>10.12045882666667</c:v>
                </c:pt>
                <c:pt idx="69">
                  <c:v>7.1790900000960001</c:v>
                </c:pt>
                <c:pt idx="70">
                  <c:v>4.0494918634447847</c:v>
                </c:pt>
                <c:pt idx="71">
                  <c:v>2.7682118634447845</c:v>
                </c:pt>
                <c:pt idx="72">
                  <c:v>1.5914118634447845</c:v>
                </c:pt>
                <c:pt idx="73">
                  <c:v>1.3200918634447842</c:v>
                </c:pt>
                <c:pt idx="74">
                  <c:v>-0.27901402224800709</c:v>
                </c:pt>
                <c:pt idx="75">
                  <c:v>-1.2150552513240023</c:v>
                </c:pt>
                <c:pt idx="76">
                  <c:v>-1.3519367229880022</c:v>
                </c:pt>
                <c:pt idx="77">
                  <c:v>-1.0501934331760023</c:v>
                </c:pt>
                <c:pt idx="78">
                  <c:v>4.5112500000832005</c:v>
                </c:pt>
                <c:pt idx="79">
                  <c:v>2.2332731427067363</c:v>
                </c:pt>
                <c:pt idx="80">
                  <c:v>1.7583011799999999</c:v>
                </c:pt>
                <c:pt idx="81">
                  <c:v>1.930344742222222</c:v>
                </c:pt>
                <c:pt idx="82">
                  <c:v>5.8725607241959992</c:v>
                </c:pt>
                <c:pt idx="83">
                  <c:v>4.4015972551760001</c:v>
                </c:pt>
                <c:pt idx="84">
                  <c:v>2.8972736273159998</c:v>
                </c:pt>
                <c:pt idx="85">
                  <c:v>6.6258088200000005</c:v>
                </c:pt>
                <c:pt idx="86">
                  <c:v>6.3852506501673068</c:v>
                </c:pt>
                <c:pt idx="87">
                  <c:v>3.7180358399999998</c:v>
                </c:pt>
                <c:pt idx="88">
                  <c:v>3.0151074000000002</c:v>
                </c:pt>
                <c:pt idx="89">
                  <c:v>3.4262342199999996</c:v>
                </c:pt>
                <c:pt idx="90">
                  <c:v>4.0541700000960006</c:v>
                </c:pt>
                <c:pt idx="91">
                  <c:v>2.8564244044444473</c:v>
                </c:pt>
                <c:pt idx="92">
                  <c:v>7.7768022577777804</c:v>
                </c:pt>
                <c:pt idx="93">
                  <c:v>9.7780460400000031</c:v>
                </c:pt>
                <c:pt idx="94">
                  <c:v>4.1188158711111136</c:v>
                </c:pt>
                <c:pt idx="95">
                  <c:v>2.4938918634447838</c:v>
                </c:pt>
                <c:pt idx="96">
                  <c:v>1.3052918634447841</c:v>
                </c:pt>
                <c:pt idx="97">
                  <c:v>0.97037186344478443</c:v>
                </c:pt>
                <c:pt idx="98">
                  <c:v>-0.96585140905588762</c:v>
                </c:pt>
                <c:pt idx="99">
                  <c:v>-0.56966815376000213</c:v>
                </c:pt>
                <c:pt idx="100">
                  <c:v>-1.3018561800440023</c:v>
                </c:pt>
                <c:pt idx="101">
                  <c:v>-0.67388934323600225</c:v>
                </c:pt>
                <c:pt idx="102">
                  <c:v>1.2098835333333362</c:v>
                </c:pt>
                <c:pt idx="103">
                  <c:v>0.70862961777778111</c:v>
                </c:pt>
                <c:pt idx="104">
                  <c:v>1.099116034808</c:v>
                </c:pt>
                <c:pt idx="105">
                  <c:v>2.4058924688888887</c:v>
                </c:pt>
                <c:pt idx="106">
                  <c:v>3.5824005688888891</c:v>
                </c:pt>
                <c:pt idx="107">
                  <c:v>3.1774882688888888</c:v>
                </c:pt>
                <c:pt idx="108">
                  <c:v>1.9279820862000001</c:v>
                </c:pt>
                <c:pt idx="109">
                  <c:v>6.3500200551479997</c:v>
                </c:pt>
                <c:pt idx="110">
                  <c:v>4.6329622644444441</c:v>
                </c:pt>
                <c:pt idx="111">
                  <c:v>5.4172815622222226</c:v>
                </c:pt>
                <c:pt idx="112">
                  <c:v>2.5915570977777778</c:v>
                </c:pt>
                <c:pt idx="113">
                  <c:v>4.2573823288888928</c:v>
                </c:pt>
                <c:pt idx="114">
                  <c:v>4.3797707866666702</c:v>
                </c:pt>
                <c:pt idx="115">
                  <c:v>2.4770691333333361</c:v>
                </c:pt>
                <c:pt idx="116">
                  <c:v>5.4586824520996942</c:v>
                </c:pt>
                <c:pt idx="117">
                  <c:v>3.900000000096</c:v>
                </c:pt>
                <c:pt idx="118">
                  <c:v>2.6557318634447844</c:v>
                </c:pt>
                <c:pt idx="119">
                  <c:v>2.2695318634447843</c:v>
                </c:pt>
                <c:pt idx="120">
                  <c:v>1.9450918634447842</c:v>
                </c:pt>
                <c:pt idx="121">
                  <c:v>0.96141186344478435</c:v>
                </c:pt>
                <c:pt idx="122">
                  <c:v>-0.76708025230858468</c:v>
                </c:pt>
                <c:pt idx="123">
                  <c:v>-1.366556912304002</c:v>
                </c:pt>
                <c:pt idx="124">
                  <c:v>-0.50888752151600247</c:v>
                </c:pt>
                <c:pt idx="125">
                  <c:v>-0.77391042555200196</c:v>
                </c:pt>
                <c:pt idx="126">
                  <c:v>1.6383577022222253</c:v>
                </c:pt>
                <c:pt idx="127">
                  <c:v>0.93728624444444686</c:v>
                </c:pt>
                <c:pt idx="128">
                  <c:v>0.72810511251582122</c:v>
                </c:pt>
                <c:pt idx="129">
                  <c:v>0.78348000010800023</c:v>
                </c:pt>
                <c:pt idx="130">
                  <c:v>3.9313563955555555</c:v>
                </c:pt>
                <c:pt idx="131">
                  <c:v>2.9414902777777776</c:v>
                </c:pt>
                <c:pt idx="132">
                  <c:v>2.1072209733120002</c:v>
                </c:pt>
                <c:pt idx="133">
                  <c:v>5.5755329977777777</c:v>
                </c:pt>
                <c:pt idx="134">
                  <c:v>5.1961071199999997</c:v>
                </c:pt>
                <c:pt idx="135">
                  <c:v>3.6281648199999998</c:v>
                </c:pt>
                <c:pt idx="136">
                  <c:v>1.892680000093</c:v>
                </c:pt>
                <c:pt idx="137">
                  <c:v>2.5019300001139997</c:v>
                </c:pt>
                <c:pt idx="138">
                  <c:v>2.2692400000959996</c:v>
                </c:pt>
                <c:pt idx="139">
                  <c:v>1.5314200000960001</c:v>
                </c:pt>
                <c:pt idx="140">
                  <c:v>7.1775482533333363</c:v>
                </c:pt>
                <c:pt idx="141">
                  <c:v>6.8251144133333366</c:v>
                </c:pt>
                <c:pt idx="142">
                  <c:v>3.0596518634447842</c:v>
                </c:pt>
                <c:pt idx="143">
                  <c:v>1.9534918634447844</c:v>
                </c:pt>
                <c:pt idx="144">
                  <c:v>1.2207718634447842</c:v>
                </c:pt>
                <c:pt idx="145">
                  <c:v>0.83037186344478431</c:v>
                </c:pt>
                <c:pt idx="146">
                  <c:v>-0.2692037328194925</c:v>
                </c:pt>
                <c:pt idx="147">
                  <c:v>-1.4543378660280024</c:v>
                </c:pt>
                <c:pt idx="148">
                  <c:v>-1.2633157478320023</c:v>
                </c:pt>
                <c:pt idx="149">
                  <c:v>-1.2158952727560024</c:v>
                </c:pt>
                <c:pt idx="150">
                  <c:v>0.83190867555555836</c:v>
                </c:pt>
                <c:pt idx="151">
                  <c:v>0.71100954222222457</c:v>
                </c:pt>
                <c:pt idx="152">
                  <c:v>0.84670752000000304</c:v>
                </c:pt>
                <c:pt idx="153">
                  <c:v>2.1211714399999999</c:v>
                </c:pt>
                <c:pt idx="154">
                  <c:v>4.402386513333334</c:v>
                </c:pt>
                <c:pt idx="155">
                  <c:v>2.7084402111111112</c:v>
                </c:pt>
                <c:pt idx="156">
                  <c:v>1.9836310400000001</c:v>
                </c:pt>
                <c:pt idx="157">
                  <c:v>3.2524641955555555</c:v>
                </c:pt>
                <c:pt idx="158">
                  <c:v>4.4446857577777781</c:v>
                </c:pt>
                <c:pt idx="159">
                  <c:v>2.86721944</c:v>
                </c:pt>
                <c:pt idx="160">
                  <c:v>4.3506119399999994</c:v>
                </c:pt>
                <c:pt idx="161">
                  <c:v>2.4942689331538039</c:v>
                </c:pt>
                <c:pt idx="162">
                  <c:v>2.8643878088888917</c:v>
                </c:pt>
                <c:pt idx="163">
                  <c:v>2.1935326488888918</c:v>
                </c:pt>
                <c:pt idx="164">
                  <c:v>7.0513895155555577</c:v>
                </c:pt>
                <c:pt idx="165">
                  <c:v>2.2509583688888921</c:v>
                </c:pt>
                <c:pt idx="166">
                  <c:v>2.1277318634447844</c:v>
                </c:pt>
                <c:pt idx="167">
                  <c:v>1.5046918634447843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98-4654-B3E9-441AE4A56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445984"/>
        <c:axId val="16544476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'Welfare Calc'!$B$9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'Welfare Calc'!$B$10:$B$177</c15:sqref>
                        </c15:formulaRef>
                      </c:ext>
                    </c:extLst>
                    <c:numCache>
                      <c:formatCode>General</c:formatCode>
                      <c:ptCount val="16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B98-4654-B3E9-441AE4A566C6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4"/>
          <c:order val="4"/>
          <c:tx>
            <c:strRef>
              <c:f>'Welfare Calc'!$F$9</c:f>
              <c:strCache>
                <c:ptCount val="1"/>
                <c:pt idx="0">
                  <c:v>Total served Demand 
(incl. Grid export)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'Welfare Calc'!$F$10:$F$177</c:f>
              <c:numCache>
                <c:formatCode>0.00</c:formatCode>
                <c:ptCount val="168"/>
                <c:pt idx="0">
                  <c:v>5.34</c:v>
                </c:pt>
                <c:pt idx="1">
                  <c:v>3.6970000000000001</c:v>
                </c:pt>
                <c:pt idx="2">
                  <c:v>6.2359742871401753</c:v>
                </c:pt>
                <c:pt idx="3">
                  <c:v>23.040616000401847</c:v>
                </c:pt>
                <c:pt idx="4">
                  <c:v>23.04425400040185</c:v>
                </c:pt>
                <c:pt idx="5">
                  <c:v>23.018360000401852</c:v>
                </c:pt>
                <c:pt idx="6">
                  <c:v>4.7880000000000003</c:v>
                </c:pt>
                <c:pt idx="7">
                  <c:v>4.0609999999999999</c:v>
                </c:pt>
                <c:pt idx="8">
                  <c:v>4.0469999999999997</c:v>
                </c:pt>
                <c:pt idx="9">
                  <c:v>12.323</c:v>
                </c:pt>
                <c:pt idx="10">
                  <c:v>13.064</c:v>
                </c:pt>
                <c:pt idx="11">
                  <c:v>16.937000000000001</c:v>
                </c:pt>
                <c:pt idx="12">
                  <c:v>12.38</c:v>
                </c:pt>
                <c:pt idx="13">
                  <c:v>17.25</c:v>
                </c:pt>
                <c:pt idx="14">
                  <c:v>18.651</c:v>
                </c:pt>
                <c:pt idx="15">
                  <c:v>9.6134026401764014</c:v>
                </c:pt>
                <c:pt idx="16">
                  <c:v>14.551</c:v>
                </c:pt>
                <c:pt idx="17">
                  <c:v>12.456196603200972</c:v>
                </c:pt>
                <c:pt idx="18">
                  <c:v>11.02</c:v>
                </c:pt>
                <c:pt idx="19">
                  <c:v>5.42</c:v>
                </c:pt>
                <c:pt idx="20">
                  <c:v>21.28</c:v>
                </c:pt>
                <c:pt idx="21">
                  <c:v>23.28</c:v>
                </c:pt>
                <c:pt idx="22">
                  <c:v>6.32</c:v>
                </c:pt>
                <c:pt idx="23">
                  <c:v>5.46</c:v>
                </c:pt>
                <c:pt idx="24">
                  <c:v>6.6876799999999967</c:v>
                </c:pt>
                <c:pt idx="25">
                  <c:v>3.8916799999999969</c:v>
                </c:pt>
                <c:pt idx="26">
                  <c:v>15.618150923743944</c:v>
                </c:pt>
                <c:pt idx="27">
                  <c:v>22.912323000401852</c:v>
                </c:pt>
                <c:pt idx="28">
                  <c:v>22.66076600040185</c:v>
                </c:pt>
                <c:pt idx="29">
                  <c:v>22.712340000401852</c:v>
                </c:pt>
                <c:pt idx="30">
                  <c:v>27.000000000450001</c:v>
                </c:pt>
                <c:pt idx="31">
                  <c:v>5.9958443445182628</c:v>
                </c:pt>
                <c:pt idx="32">
                  <c:v>7.22</c:v>
                </c:pt>
                <c:pt idx="33">
                  <c:v>16.11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24.052723</c:v>
                </c:pt>
                <c:pt idx="38">
                  <c:v>22.160293000000003</c:v>
                </c:pt>
                <c:pt idx="39">
                  <c:v>21.68242</c:v>
                </c:pt>
                <c:pt idx="40">
                  <c:v>13.007043999999999</c:v>
                </c:pt>
                <c:pt idx="41">
                  <c:v>15.163</c:v>
                </c:pt>
                <c:pt idx="42">
                  <c:v>8.5949999999999989</c:v>
                </c:pt>
                <c:pt idx="43">
                  <c:v>6.4190000000000005</c:v>
                </c:pt>
                <c:pt idx="44">
                  <c:v>18.837</c:v>
                </c:pt>
                <c:pt idx="45">
                  <c:v>12.815000000000001</c:v>
                </c:pt>
                <c:pt idx="46">
                  <c:v>6.157</c:v>
                </c:pt>
                <c:pt idx="47">
                  <c:v>7.8016799999999966</c:v>
                </c:pt>
                <c:pt idx="48">
                  <c:v>7.4266799999999975</c:v>
                </c:pt>
                <c:pt idx="49">
                  <c:v>3.9714698203121639</c:v>
                </c:pt>
                <c:pt idx="50">
                  <c:v>22.770013000571517</c:v>
                </c:pt>
                <c:pt idx="51">
                  <c:v>22.970531000571519</c:v>
                </c:pt>
                <c:pt idx="52">
                  <c:v>22.89541700057152</c:v>
                </c:pt>
                <c:pt idx="53">
                  <c:v>22.984334000571522</c:v>
                </c:pt>
                <c:pt idx="54">
                  <c:v>4.6669999999999998</c:v>
                </c:pt>
                <c:pt idx="55">
                  <c:v>3.0510000000000002</c:v>
                </c:pt>
                <c:pt idx="56">
                  <c:v>7.59</c:v>
                </c:pt>
                <c:pt idx="57">
                  <c:v>11.42</c:v>
                </c:pt>
                <c:pt idx="58">
                  <c:v>13.649000000000001</c:v>
                </c:pt>
                <c:pt idx="59">
                  <c:v>18.292999999999999</c:v>
                </c:pt>
                <c:pt idx="60">
                  <c:v>10.297056000000001</c:v>
                </c:pt>
                <c:pt idx="61">
                  <c:v>12.077999999999999</c:v>
                </c:pt>
                <c:pt idx="62">
                  <c:v>17.155999999999999</c:v>
                </c:pt>
                <c:pt idx="63">
                  <c:v>15.552</c:v>
                </c:pt>
                <c:pt idx="64">
                  <c:v>14.882999999999999</c:v>
                </c:pt>
                <c:pt idx="65">
                  <c:v>21.795999999999999</c:v>
                </c:pt>
                <c:pt idx="66">
                  <c:v>16.169</c:v>
                </c:pt>
                <c:pt idx="67">
                  <c:v>6.0460000000000003</c:v>
                </c:pt>
                <c:pt idx="68">
                  <c:v>22.764000000000003</c:v>
                </c:pt>
                <c:pt idx="69">
                  <c:v>22.970999999999997</c:v>
                </c:pt>
                <c:pt idx="70">
                  <c:v>12.863679999999997</c:v>
                </c:pt>
                <c:pt idx="71">
                  <c:v>9.2716799999999964</c:v>
                </c:pt>
                <c:pt idx="72">
                  <c:v>5.7716799999999964</c:v>
                </c:pt>
                <c:pt idx="73">
                  <c:v>5.8286799999999968</c:v>
                </c:pt>
                <c:pt idx="74">
                  <c:v>19.171750635833511</c:v>
                </c:pt>
                <c:pt idx="75">
                  <c:v>22.745831000571521</c:v>
                </c:pt>
                <c:pt idx="76">
                  <c:v>22.701747000571523</c:v>
                </c:pt>
                <c:pt idx="77">
                  <c:v>22.800294000571519</c:v>
                </c:pt>
                <c:pt idx="78">
                  <c:v>27.00000000064</c:v>
                </c:pt>
                <c:pt idx="79">
                  <c:v>13.417759585251313</c:v>
                </c:pt>
                <c:pt idx="80">
                  <c:v>9.41</c:v>
                </c:pt>
                <c:pt idx="81">
                  <c:v>7.5139999999999993</c:v>
                </c:pt>
                <c:pt idx="82">
                  <c:v>22.241951</c:v>
                </c:pt>
                <c:pt idx="83">
                  <c:v>28.294205999999996</c:v>
                </c:pt>
                <c:pt idx="84">
                  <c:v>27.491170999999998</c:v>
                </c:pt>
                <c:pt idx="85">
                  <c:v>20.59</c:v>
                </c:pt>
                <c:pt idx="86">
                  <c:v>19.46</c:v>
                </c:pt>
                <c:pt idx="87">
                  <c:v>12.08</c:v>
                </c:pt>
                <c:pt idx="88">
                  <c:v>11.3</c:v>
                </c:pt>
                <c:pt idx="89">
                  <c:v>12.605</c:v>
                </c:pt>
                <c:pt idx="90">
                  <c:v>16.503</c:v>
                </c:pt>
                <c:pt idx="91">
                  <c:v>8.0090000000000003</c:v>
                </c:pt>
                <c:pt idx="92">
                  <c:v>17.492000000000001</c:v>
                </c:pt>
                <c:pt idx="93">
                  <c:v>21.141000000000002</c:v>
                </c:pt>
                <c:pt idx="94">
                  <c:v>9.9290000000000003</c:v>
                </c:pt>
                <c:pt idx="95">
                  <c:v>8.3536799999999971</c:v>
                </c:pt>
                <c:pt idx="96">
                  <c:v>4.7386799999999969</c:v>
                </c:pt>
                <c:pt idx="97">
                  <c:v>4.2856799999999975</c:v>
                </c:pt>
                <c:pt idx="98">
                  <c:v>20.52459173894368</c:v>
                </c:pt>
                <c:pt idx="99">
                  <c:v>22.958440000571521</c:v>
                </c:pt>
                <c:pt idx="100">
                  <c:v>22.718011000571522</c:v>
                </c:pt>
                <c:pt idx="101">
                  <c:v>22.922809000571519</c:v>
                </c:pt>
                <c:pt idx="102">
                  <c:v>3.7050000000000001</c:v>
                </c:pt>
                <c:pt idx="103">
                  <c:v>2.3360000000000003</c:v>
                </c:pt>
                <c:pt idx="104">
                  <c:v>9.5152979999999996</c:v>
                </c:pt>
                <c:pt idx="105">
                  <c:v>9.3680000000000003</c:v>
                </c:pt>
                <c:pt idx="106">
                  <c:v>11.446</c:v>
                </c:pt>
                <c:pt idx="107">
                  <c:v>10.148</c:v>
                </c:pt>
                <c:pt idx="108">
                  <c:v>5.8334499999999991</c:v>
                </c:pt>
                <c:pt idx="109">
                  <c:v>15.730212999999999</c:v>
                </c:pt>
                <c:pt idx="110">
                  <c:v>12.83</c:v>
                </c:pt>
                <c:pt idx="111">
                  <c:v>17.301000000000002</c:v>
                </c:pt>
                <c:pt idx="112">
                  <c:v>8.2769999999999992</c:v>
                </c:pt>
                <c:pt idx="113">
                  <c:v>12.975999999999999</c:v>
                </c:pt>
                <c:pt idx="114">
                  <c:v>11.073</c:v>
                </c:pt>
                <c:pt idx="115">
                  <c:v>6.9450000000000003</c:v>
                </c:pt>
                <c:pt idx="116">
                  <c:v>17.516000000000002</c:v>
                </c:pt>
                <c:pt idx="117">
                  <c:v>12.48</c:v>
                </c:pt>
                <c:pt idx="118">
                  <c:v>8.4396799999999974</c:v>
                </c:pt>
                <c:pt idx="119">
                  <c:v>7.6046799999999966</c:v>
                </c:pt>
                <c:pt idx="120">
                  <c:v>7.0536799999999964</c:v>
                </c:pt>
                <c:pt idx="121">
                  <c:v>4.241679999999997</c:v>
                </c:pt>
                <c:pt idx="122">
                  <c:v>20.95109826421718</c:v>
                </c:pt>
                <c:pt idx="123">
                  <c:v>22.696076000571519</c:v>
                </c:pt>
                <c:pt idx="124">
                  <c:v>22.977379000571517</c:v>
                </c:pt>
                <c:pt idx="125">
                  <c:v>22.890388000571519</c:v>
                </c:pt>
                <c:pt idx="126">
                  <c:v>5.0169999999999995</c:v>
                </c:pt>
                <c:pt idx="127">
                  <c:v>3.0949999999999998</c:v>
                </c:pt>
                <c:pt idx="128">
                  <c:v>2.62</c:v>
                </c:pt>
                <c:pt idx="129">
                  <c:v>7.3319999999999999</c:v>
                </c:pt>
                <c:pt idx="130">
                  <c:v>12.55</c:v>
                </c:pt>
                <c:pt idx="131">
                  <c:v>9.3879999999999999</c:v>
                </c:pt>
                <c:pt idx="132">
                  <c:v>6.2876719999999997</c:v>
                </c:pt>
                <c:pt idx="133">
                  <c:v>12.054</c:v>
                </c:pt>
                <c:pt idx="134">
                  <c:v>14.384</c:v>
                </c:pt>
                <c:pt idx="135">
                  <c:v>15.272</c:v>
                </c:pt>
                <c:pt idx="136">
                  <c:v>11.612</c:v>
                </c:pt>
                <c:pt idx="137">
                  <c:v>14.047000000000001</c:v>
                </c:pt>
                <c:pt idx="138">
                  <c:v>9.2360000000000007</c:v>
                </c:pt>
                <c:pt idx="139">
                  <c:v>7.4180000000000001</c:v>
                </c:pt>
                <c:pt idx="140">
                  <c:v>16.143000000000001</c:v>
                </c:pt>
                <c:pt idx="141">
                  <c:v>14.757000000000001</c:v>
                </c:pt>
                <c:pt idx="142">
                  <c:v>9.7176799999999961</c:v>
                </c:pt>
                <c:pt idx="143">
                  <c:v>6.5436799999999966</c:v>
                </c:pt>
                <c:pt idx="144">
                  <c:v>4.4256799999999963</c:v>
                </c:pt>
                <c:pt idx="145">
                  <c:v>3.6656799999999965</c:v>
                </c:pt>
                <c:pt idx="146">
                  <c:v>17.911907822022187</c:v>
                </c:pt>
                <c:pt idx="147">
                  <c:v>22.667507000571522</c:v>
                </c:pt>
                <c:pt idx="148">
                  <c:v>22.730958000571519</c:v>
                </c:pt>
                <c:pt idx="149">
                  <c:v>22.745189000571521</c:v>
                </c:pt>
                <c:pt idx="150">
                  <c:v>2.548</c:v>
                </c:pt>
                <c:pt idx="151">
                  <c:v>2.3529999999999998</c:v>
                </c:pt>
                <c:pt idx="152">
                  <c:v>2.8079999999999998</c:v>
                </c:pt>
                <c:pt idx="153">
                  <c:v>9.2799999999999994</c:v>
                </c:pt>
                <c:pt idx="154">
                  <c:v>14.062999999999999</c:v>
                </c:pt>
                <c:pt idx="155">
                  <c:v>8.6490000000000009</c:v>
                </c:pt>
                <c:pt idx="156">
                  <c:v>9.48</c:v>
                </c:pt>
                <c:pt idx="157">
                  <c:v>7.032</c:v>
                </c:pt>
                <c:pt idx="158">
                  <c:v>12.308</c:v>
                </c:pt>
                <c:pt idx="159">
                  <c:v>10.28</c:v>
                </c:pt>
                <c:pt idx="160">
                  <c:v>13.899000000000001</c:v>
                </c:pt>
                <c:pt idx="161">
                  <c:v>9.8359999999999985</c:v>
                </c:pt>
                <c:pt idx="162">
                  <c:v>7.2430000000000003</c:v>
                </c:pt>
                <c:pt idx="163">
                  <c:v>6.1539999999999999</c:v>
                </c:pt>
                <c:pt idx="164">
                  <c:v>15.859</c:v>
                </c:pt>
                <c:pt idx="165">
                  <c:v>4.867</c:v>
                </c:pt>
                <c:pt idx="166">
                  <c:v>6.7596799999999968</c:v>
                </c:pt>
                <c:pt idx="167">
                  <c:v>5.0436799999999966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98-4654-B3E9-441AE4A566C6}"/>
            </c:ext>
          </c:extLst>
        </c:ser>
        <c:ser>
          <c:idx val="5"/>
          <c:order val="5"/>
          <c:tx>
            <c:strRef>
              <c:f>'Welfare Calc'!$G$9</c:f>
              <c:strCache>
                <c:ptCount val="1"/>
                <c:pt idx="0">
                  <c:v>Total Supply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'Welfare Calc'!$G$10:$G$177</c:f>
              <c:numCache>
                <c:formatCode>0.00</c:formatCode>
                <c:ptCount val="168"/>
                <c:pt idx="0">
                  <c:v>5.3399999995499998</c:v>
                </c:pt>
                <c:pt idx="1">
                  <c:v>3.69699999955</c:v>
                </c:pt>
                <c:pt idx="2">
                  <c:v>6.3317080478592676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4.7879999995500002</c:v>
                </c:pt>
                <c:pt idx="7">
                  <c:v>4.0609999999999999</c:v>
                </c:pt>
                <c:pt idx="8">
                  <c:v>4.0469999999999997</c:v>
                </c:pt>
                <c:pt idx="9">
                  <c:v>12.323</c:v>
                </c:pt>
                <c:pt idx="10">
                  <c:v>13.064</c:v>
                </c:pt>
                <c:pt idx="11">
                  <c:v>16.937000000000001</c:v>
                </c:pt>
                <c:pt idx="12">
                  <c:v>12.38</c:v>
                </c:pt>
                <c:pt idx="13">
                  <c:v>17.25</c:v>
                </c:pt>
                <c:pt idx="14">
                  <c:v>18.651</c:v>
                </c:pt>
                <c:pt idx="15">
                  <c:v>9.6199999999999992</c:v>
                </c:pt>
                <c:pt idx="16">
                  <c:v>14.551</c:v>
                </c:pt>
                <c:pt idx="17">
                  <c:v>12.457538189474773</c:v>
                </c:pt>
                <c:pt idx="18">
                  <c:v>12.015555555555558</c:v>
                </c:pt>
                <c:pt idx="19">
                  <c:v>6.0222222217222221</c:v>
                </c:pt>
                <c:pt idx="20">
                  <c:v>23.644444443944447</c:v>
                </c:pt>
                <c:pt idx="21">
                  <c:v>25.006013057517336</c:v>
                </c:pt>
                <c:pt idx="22">
                  <c:v>7.0222222217222221</c:v>
                </c:pt>
                <c:pt idx="23">
                  <c:v>6.0666666661666673</c:v>
                </c:pt>
                <c:pt idx="24">
                  <c:v>6.6878812985421572</c:v>
                </c:pt>
                <c:pt idx="25">
                  <c:v>3.8918812985421578</c:v>
                </c:pt>
                <c:pt idx="26">
                  <c:v>17.291946162757107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30</c:v>
                </c:pt>
                <c:pt idx="31">
                  <c:v>6.1109381605758477</c:v>
                </c:pt>
                <c:pt idx="32">
                  <c:v>7.22</c:v>
                </c:pt>
                <c:pt idx="33">
                  <c:v>16.11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25.37</c:v>
                </c:pt>
                <c:pt idx="38">
                  <c:v>22.46</c:v>
                </c:pt>
                <c:pt idx="39">
                  <c:v>22.96</c:v>
                </c:pt>
                <c:pt idx="40">
                  <c:v>13.04</c:v>
                </c:pt>
                <c:pt idx="41">
                  <c:v>15.904444444444445</c:v>
                </c:pt>
                <c:pt idx="42">
                  <c:v>9.259999999999998</c:v>
                </c:pt>
                <c:pt idx="43">
                  <c:v>7.1322222215111122</c:v>
                </c:pt>
                <c:pt idx="44">
                  <c:v>20.929999999288889</c:v>
                </c:pt>
                <c:pt idx="45">
                  <c:v>14.23888888817778</c:v>
                </c:pt>
                <c:pt idx="46">
                  <c:v>6.8411111104</c:v>
                </c:pt>
                <c:pt idx="47">
                  <c:v>7.801881298352157</c:v>
                </c:pt>
                <c:pt idx="48">
                  <c:v>7.4268812983521579</c:v>
                </c:pt>
                <c:pt idx="49">
                  <c:v>3.9803928552526808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5.1855555548444441</c:v>
                </c:pt>
                <c:pt idx="55">
                  <c:v>3.3899999992444445</c:v>
                </c:pt>
                <c:pt idx="56">
                  <c:v>7.59</c:v>
                </c:pt>
                <c:pt idx="57">
                  <c:v>11.579062812796248</c:v>
                </c:pt>
                <c:pt idx="58">
                  <c:v>14.06</c:v>
                </c:pt>
                <c:pt idx="59">
                  <c:v>19.144444444444446</c:v>
                </c:pt>
                <c:pt idx="60">
                  <c:v>10.66</c:v>
                </c:pt>
                <c:pt idx="61">
                  <c:v>12.096666666666666</c:v>
                </c:pt>
                <c:pt idx="62">
                  <c:v>17.155999999999999</c:v>
                </c:pt>
                <c:pt idx="63">
                  <c:v>15.552</c:v>
                </c:pt>
                <c:pt idx="64">
                  <c:v>14.882999999999999</c:v>
                </c:pt>
                <c:pt idx="65">
                  <c:v>21.795999999999999</c:v>
                </c:pt>
                <c:pt idx="66">
                  <c:v>17.965555554844446</c:v>
                </c:pt>
                <c:pt idx="67">
                  <c:v>6.7177777770666669</c:v>
                </c:pt>
                <c:pt idx="68">
                  <c:v>25.293333332622225</c:v>
                </c:pt>
                <c:pt idx="69">
                  <c:v>22.970999999359996</c:v>
                </c:pt>
                <c:pt idx="70">
                  <c:v>12.863881298352158</c:v>
                </c:pt>
                <c:pt idx="71">
                  <c:v>9.2718812983521577</c:v>
                </c:pt>
                <c:pt idx="72">
                  <c:v>5.7718812983521568</c:v>
                </c:pt>
                <c:pt idx="73">
                  <c:v>5.8288812983521572</c:v>
                </c:pt>
                <c:pt idx="74">
                  <c:v>20.807993992454637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30</c:v>
                </c:pt>
                <c:pt idx="79">
                  <c:v>14.27084398361257</c:v>
                </c:pt>
                <c:pt idx="80">
                  <c:v>9.41</c:v>
                </c:pt>
                <c:pt idx="81">
                  <c:v>7.5244444444444429</c:v>
                </c:pt>
                <c:pt idx="82">
                  <c:v>22.66</c:v>
                </c:pt>
                <c:pt idx="83">
                  <c:v>30</c:v>
                </c:pt>
                <c:pt idx="84">
                  <c:v>30</c:v>
                </c:pt>
                <c:pt idx="85">
                  <c:v>20.59</c:v>
                </c:pt>
                <c:pt idx="86">
                  <c:v>20.169108573711302</c:v>
                </c:pt>
                <c:pt idx="87">
                  <c:v>12.08</c:v>
                </c:pt>
                <c:pt idx="88">
                  <c:v>11.3</c:v>
                </c:pt>
                <c:pt idx="89">
                  <c:v>12.605</c:v>
                </c:pt>
                <c:pt idx="90">
                  <c:v>16.50299999936</c:v>
                </c:pt>
                <c:pt idx="91">
                  <c:v>8.8988888881777779</c:v>
                </c:pt>
                <c:pt idx="92">
                  <c:v>19.435555554844445</c:v>
                </c:pt>
                <c:pt idx="93">
                  <c:v>23.489999999288891</c:v>
                </c:pt>
                <c:pt idx="94">
                  <c:v>11.032222221511113</c:v>
                </c:pt>
                <c:pt idx="95">
                  <c:v>8.3538812983521584</c:v>
                </c:pt>
                <c:pt idx="96">
                  <c:v>4.7388812983521573</c:v>
                </c:pt>
                <c:pt idx="97">
                  <c:v>4.2858812983521579</c:v>
                </c:pt>
                <c:pt idx="98">
                  <c:v>22.512250546889319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4.116666665955556</c:v>
                </c:pt>
                <c:pt idx="103">
                  <c:v>2.5955555547222224</c:v>
                </c:pt>
                <c:pt idx="104">
                  <c:v>10.220000000000001</c:v>
                </c:pt>
                <c:pt idx="105">
                  <c:v>9.767777777777777</c:v>
                </c:pt>
                <c:pt idx="106">
                  <c:v>12.197777777777777</c:v>
                </c:pt>
                <c:pt idx="107">
                  <c:v>10.667777777777779</c:v>
                </c:pt>
                <c:pt idx="108">
                  <c:v>6.01</c:v>
                </c:pt>
                <c:pt idx="109">
                  <c:v>15.97</c:v>
                </c:pt>
                <c:pt idx="110">
                  <c:v>13.378888888888888</c:v>
                </c:pt>
                <c:pt idx="111">
                  <c:v>18.384444444444448</c:v>
                </c:pt>
                <c:pt idx="112">
                  <c:v>8.5655555555555551</c:v>
                </c:pt>
                <c:pt idx="113">
                  <c:v>14.417777776877777</c:v>
                </c:pt>
                <c:pt idx="114">
                  <c:v>12.303333332622223</c:v>
                </c:pt>
                <c:pt idx="115">
                  <c:v>7.7166666659555565</c:v>
                </c:pt>
                <c:pt idx="116">
                  <c:v>17.73722318523491</c:v>
                </c:pt>
                <c:pt idx="117">
                  <c:v>12.47999999936</c:v>
                </c:pt>
                <c:pt idx="118">
                  <c:v>8.4398812983521587</c:v>
                </c:pt>
                <c:pt idx="119">
                  <c:v>7.604881298352157</c:v>
                </c:pt>
                <c:pt idx="120">
                  <c:v>7.0538812983521568</c:v>
                </c:pt>
                <c:pt idx="121">
                  <c:v>4.2418812983521574</c:v>
                </c:pt>
                <c:pt idx="122">
                  <c:v>22.903350799155277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5.5744444437333334</c:v>
                </c:pt>
                <c:pt idx="127">
                  <c:v>3.4388888882777775</c:v>
                </c:pt>
                <c:pt idx="128">
                  <c:v>2.8640850923292951</c:v>
                </c:pt>
                <c:pt idx="129">
                  <c:v>7.3319999992799998</c:v>
                </c:pt>
                <c:pt idx="130">
                  <c:v>13.391111111111112</c:v>
                </c:pt>
                <c:pt idx="131">
                  <c:v>9.8855555555555554</c:v>
                </c:pt>
                <c:pt idx="132">
                  <c:v>6.47</c:v>
                </c:pt>
                <c:pt idx="133">
                  <c:v>12.185555555555556</c:v>
                </c:pt>
                <c:pt idx="134">
                  <c:v>15.48</c:v>
                </c:pt>
                <c:pt idx="135">
                  <c:v>15.272</c:v>
                </c:pt>
                <c:pt idx="136">
                  <c:v>11.61199999938</c:v>
                </c:pt>
                <c:pt idx="137">
                  <c:v>14.046999999240001</c:v>
                </c:pt>
                <c:pt idx="138">
                  <c:v>9.2359999993600006</c:v>
                </c:pt>
                <c:pt idx="139">
                  <c:v>7.4179999993600001</c:v>
                </c:pt>
                <c:pt idx="140">
                  <c:v>17.936666665955556</c:v>
                </c:pt>
                <c:pt idx="141">
                  <c:v>16.396666665955557</c:v>
                </c:pt>
                <c:pt idx="142">
                  <c:v>9.7178812983521574</c:v>
                </c:pt>
                <c:pt idx="143">
                  <c:v>6.543881298352157</c:v>
                </c:pt>
                <c:pt idx="144">
                  <c:v>4.4258812983521567</c:v>
                </c:pt>
                <c:pt idx="145">
                  <c:v>3.6658812983521574</c:v>
                </c:pt>
                <c:pt idx="146">
                  <c:v>19.443925891882046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2.8311111104000002</c:v>
                </c:pt>
                <c:pt idx="151">
                  <c:v>2.6144444438666663</c:v>
                </c:pt>
                <c:pt idx="152">
                  <c:v>3.1199999992444445</c:v>
                </c:pt>
                <c:pt idx="153">
                  <c:v>9.2799999999999994</c:v>
                </c:pt>
                <c:pt idx="154">
                  <c:v>14.306666666666667</c:v>
                </c:pt>
                <c:pt idx="155">
                  <c:v>8.7622222222222241</c:v>
                </c:pt>
                <c:pt idx="156">
                  <c:v>9.48</c:v>
                </c:pt>
                <c:pt idx="157">
                  <c:v>7.1111111111111107</c:v>
                </c:pt>
                <c:pt idx="158">
                  <c:v>12.745555555555557</c:v>
                </c:pt>
                <c:pt idx="159">
                  <c:v>10.28</c:v>
                </c:pt>
                <c:pt idx="160">
                  <c:v>14.82</c:v>
                </c:pt>
                <c:pt idx="161">
                  <c:v>10.385815499873202</c:v>
                </c:pt>
                <c:pt idx="162">
                  <c:v>8.0477777770333336</c:v>
                </c:pt>
                <c:pt idx="163">
                  <c:v>6.837777777066667</c:v>
                </c:pt>
                <c:pt idx="164">
                  <c:v>17.621111110400001</c:v>
                </c:pt>
                <c:pt idx="165">
                  <c:v>5.4077777770666664</c:v>
                </c:pt>
                <c:pt idx="166">
                  <c:v>6.7598812983521572</c:v>
                </c:pt>
                <c:pt idx="167">
                  <c:v>5.043881298352157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98-4654-B3E9-441AE4A566C6}"/>
            </c:ext>
          </c:extLst>
        </c:ser>
        <c:ser>
          <c:idx val="6"/>
          <c:order val="6"/>
          <c:tx>
            <c:strRef>
              <c:f>'Welfare Calc'!$J$9</c:f>
              <c:strCache>
                <c:ptCount val="1"/>
                <c:pt idx="0">
                  <c:v>Total losses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'Welfare Calc'!$J$10:$J$177</c:f>
              <c:numCache>
                <c:formatCode>0.00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9.5733761169091769E-2</c:v>
                </c:pt>
                <c:pt idx="3">
                  <c:v>1.9593840000481528</c:v>
                </c:pt>
                <c:pt idx="4">
                  <c:v>1.9557460000481528</c:v>
                </c:pt>
                <c:pt idx="5">
                  <c:v>1.9816400000481531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6.5973598235978953E-3</c:v>
                </c:pt>
                <c:pt idx="16">
                  <c:v>0</c:v>
                </c:pt>
                <c:pt idx="17">
                  <c:v>1.3415862738006571E-3</c:v>
                </c:pt>
                <c:pt idx="18">
                  <c:v>0.99555555555555553</c:v>
                </c:pt>
                <c:pt idx="19">
                  <c:v>0.6022222221722221</c:v>
                </c:pt>
                <c:pt idx="20">
                  <c:v>2.3644444443944441</c:v>
                </c:pt>
                <c:pt idx="21">
                  <c:v>1.7260130579673369</c:v>
                </c:pt>
                <c:pt idx="22">
                  <c:v>0.70222222217222208</c:v>
                </c:pt>
                <c:pt idx="23">
                  <c:v>0.60666666661666657</c:v>
                </c:pt>
                <c:pt idx="24">
                  <c:v>2.0129899216087051E-4</c:v>
                </c:pt>
                <c:pt idx="25">
                  <c:v>2.0129899216087051E-4</c:v>
                </c:pt>
                <c:pt idx="26">
                  <c:v>1.6737952394631626</c:v>
                </c:pt>
                <c:pt idx="27">
                  <c:v>2.0876770000481533</c:v>
                </c:pt>
                <c:pt idx="28">
                  <c:v>2.3392340000481537</c:v>
                </c:pt>
                <c:pt idx="29">
                  <c:v>2.2876600000481537</c:v>
                </c:pt>
                <c:pt idx="30">
                  <c:v>2.9999999999999991</c:v>
                </c:pt>
                <c:pt idx="31">
                  <c:v>0.11509381605758474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1.317277000000002</c:v>
                </c:pt>
                <c:pt idx="38">
                  <c:v>0.29970700000000094</c:v>
                </c:pt>
                <c:pt idx="39">
                  <c:v>1.2775800000000019</c:v>
                </c:pt>
                <c:pt idx="40">
                  <c:v>3.2955999999999978E-2</c:v>
                </c:pt>
                <c:pt idx="41">
                  <c:v>0.74144444444444435</c:v>
                </c:pt>
                <c:pt idx="42">
                  <c:v>0.6649999999999997</c:v>
                </c:pt>
                <c:pt idx="43">
                  <c:v>0.71322222215111108</c:v>
                </c:pt>
                <c:pt idx="44">
                  <c:v>2.0929999999288884</c:v>
                </c:pt>
                <c:pt idx="45">
                  <c:v>1.4238888888177776</c:v>
                </c:pt>
                <c:pt idx="46">
                  <c:v>0.68411111103999989</c:v>
                </c:pt>
                <c:pt idx="47">
                  <c:v>2.0129899216087051E-4</c:v>
                </c:pt>
                <c:pt idx="48">
                  <c:v>2.0129899216087051E-4</c:v>
                </c:pt>
                <c:pt idx="49">
                  <c:v>8.9230355805168214E-3</c:v>
                </c:pt>
                <c:pt idx="50">
                  <c:v>2.2299870000684829</c:v>
                </c:pt>
                <c:pt idx="51">
                  <c:v>2.0294690000684827</c:v>
                </c:pt>
                <c:pt idx="52">
                  <c:v>2.1045830000684833</c:v>
                </c:pt>
                <c:pt idx="53">
                  <c:v>2.015666000068483</c:v>
                </c:pt>
                <c:pt idx="54">
                  <c:v>0.51855555548444432</c:v>
                </c:pt>
                <c:pt idx="55">
                  <c:v>0.33899999992444435</c:v>
                </c:pt>
                <c:pt idx="56">
                  <c:v>0</c:v>
                </c:pt>
                <c:pt idx="57">
                  <c:v>0.1590628127962489</c:v>
                </c:pt>
                <c:pt idx="58">
                  <c:v>0.41100000000000003</c:v>
                </c:pt>
                <c:pt idx="59">
                  <c:v>0.85144444444444434</c:v>
                </c:pt>
                <c:pt idx="60">
                  <c:v>0.3629440000000006</c:v>
                </c:pt>
                <c:pt idx="61">
                  <c:v>1.8666666666666561E-2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1.7965555554844441</c:v>
                </c:pt>
                <c:pt idx="67">
                  <c:v>0.67177777770666658</c:v>
                </c:pt>
                <c:pt idx="68">
                  <c:v>2.5293333332622221</c:v>
                </c:pt>
                <c:pt idx="69">
                  <c:v>0</c:v>
                </c:pt>
                <c:pt idx="70">
                  <c:v>2.0129899216087051E-4</c:v>
                </c:pt>
                <c:pt idx="71">
                  <c:v>2.0129899216087051E-4</c:v>
                </c:pt>
                <c:pt idx="72">
                  <c:v>2.0129899216087051E-4</c:v>
                </c:pt>
                <c:pt idx="73">
                  <c:v>2.0129899216087051E-4</c:v>
                </c:pt>
                <c:pt idx="74">
                  <c:v>1.6362433572611284</c:v>
                </c:pt>
                <c:pt idx="75">
                  <c:v>2.2541690000684835</c:v>
                </c:pt>
                <c:pt idx="76">
                  <c:v>2.2982530000684838</c:v>
                </c:pt>
                <c:pt idx="77">
                  <c:v>2.1997060000684829</c:v>
                </c:pt>
                <c:pt idx="78">
                  <c:v>2.9999999999999991</c:v>
                </c:pt>
                <c:pt idx="79">
                  <c:v>0.85308439836125682</c:v>
                </c:pt>
                <c:pt idx="80">
                  <c:v>0</c:v>
                </c:pt>
                <c:pt idx="81">
                  <c:v>1.0444444444444298E-2</c:v>
                </c:pt>
                <c:pt idx="82">
                  <c:v>0.41804900000000061</c:v>
                </c:pt>
                <c:pt idx="83">
                  <c:v>1.7057940000000023</c:v>
                </c:pt>
                <c:pt idx="84">
                  <c:v>2.5088290000000035</c:v>
                </c:pt>
                <c:pt idx="85">
                  <c:v>0</c:v>
                </c:pt>
                <c:pt idx="86">
                  <c:v>0.70910857371130032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0.88988888881777761</c:v>
                </c:pt>
                <c:pt idx="92">
                  <c:v>1.9435555554844441</c:v>
                </c:pt>
                <c:pt idx="93">
                  <c:v>2.3489999999288886</c:v>
                </c:pt>
                <c:pt idx="94">
                  <c:v>1.103222222151111</c:v>
                </c:pt>
                <c:pt idx="95">
                  <c:v>2.0129899216087051E-4</c:v>
                </c:pt>
                <c:pt idx="96">
                  <c:v>2.0129899216087051E-4</c:v>
                </c:pt>
                <c:pt idx="97">
                  <c:v>2.0129899216087051E-4</c:v>
                </c:pt>
                <c:pt idx="98">
                  <c:v>1.9876588085856399</c:v>
                </c:pt>
                <c:pt idx="99">
                  <c:v>2.041560000068483</c:v>
                </c:pt>
                <c:pt idx="100">
                  <c:v>2.2819890000684833</c:v>
                </c:pt>
                <c:pt idx="101">
                  <c:v>2.077191000068483</c:v>
                </c:pt>
                <c:pt idx="102">
                  <c:v>0.41166666659555551</c:v>
                </c:pt>
                <c:pt idx="103">
                  <c:v>0.2595555554722222</c:v>
                </c:pt>
                <c:pt idx="104">
                  <c:v>0.70470200000000105</c:v>
                </c:pt>
                <c:pt idx="105">
                  <c:v>0.39977777777777773</c:v>
                </c:pt>
                <c:pt idx="106">
                  <c:v>0.75177777777777766</c:v>
                </c:pt>
                <c:pt idx="107">
                  <c:v>0.51977777777777778</c:v>
                </c:pt>
                <c:pt idx="108">
                  <c:v>0.17655000000000018</c:v>
                </c:pt>
                <c:pt idx="109">
                  <c:v>0.23978700000000014</c:v>
                </c:pt>
                <c:pt idx="110">
                  <c:v>0.54888888888888876</c:v>
                </c:pt>
                <c:pt idx="111">
                  <c:v>1.0834444444444444</c:v>
                </c:pt>
                <c:pt idx="112">
                  <c:v>0.2885555555555554</c:v>
                </c:pt>
                <c:pt idx="113">
                  <c:v>1.4417777776877774</c:v>
                </c:pt>
                <c:pt idx="114">
                  <c:v>1.2303333332622222</c:v>
                </c:pt>
                <c:pt idx="115">
                  <c:v>0.77166666659555549</c:v>
                </c:pt>
                <c:pt idx="116">
                  <c:v>0.22122318587491061</c:v>
                </c:pt>
                <c:pt idx="117">
                  <c:v>0</c:v>
                </c:pt>
                <c:pt idx="118">
                  <c:v>2.0129899216087051E-4</c:v>
                </c:pt>
                <c:pt idx="119">
                  <c:v>2.0129899216087051E-4</c:v>
                </c:pt>
                <c:pt idx="120">
                  <c:v>2.0129899216087051E-4</c:v>
                </c:pt>
                <c:pt idx="121">
                  <c:v>2.0129899216087051E-4</c:v>
                </c:pt>
                <c:pt idx="122">
                  <c:v>1.9522525355780975</c:v>
                </c:pt>
                <c:pt idx="123">
                  <c:v>2.3039240000684833</c:v>
                </c:pt>
                <c:pt idx="124">
                  <c:v>2.022621000068483</c:v>
                </c:pt>
                <c:pt idx="125">
                  <c:v>2.1096120000684833</c:v>
                </c:pt>
                <c:pt idx="126">
                  <c:v>0.55744444437333318</c:v>
                </c:pt>
                <c:pt idx="127">
                  <c:v>0.34388888882777768</c:v>
                </c:pt>
                <c:pt idx="128">
                  <c:v>0.24408509317929508</c:v>
                </c:pt>
                <c:pt idx="129">
                  <c:v>0</c:v>
                </c:pt>
                <c:pt idx="130">
                  <c:v>0.84111111111111092</c:v>
                </c:pt>
                <c:pt idx="131">
                  <c:v>0.49755555555555542</c:v>
                </c:pt>
                <c:pt idx="132">
                  <c:v>0.18232800000000024</c:v>
                </c:pt>
                <c:pt idx="133">
                  <c:v>0.13155555555555568</c:v>
                </c:pt>
                <c:pt idx="134">
                  <c:v>1.0959999999999999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1.7936666665955552</c:v>
                </c:pt>
                <c:pt idx="141">
                  <c:v>1.6396666665955553</c:v>
                </c:pt>
                <c:pt idx="142">
                  <c:v>2.0129899216087051E-4</c:v>
                </c:pt>
                <c:pt idx="143">
                  <c:v>2.0129899216087051E-4</c:v>
                </c:pt>
                <c:pt idx="144">
                  <c:v>2.0129899216087051E-4</c:v>
                </c:pt>
                <c:pt idx="145">
                  <c:v>2.0129899216087051E-4</c:v>
                </c:pt>
                <c:pt idx="146">
                  <c:v>1.5320180704998609</c:v>
                </c:pt>
                <c:pt idx="147">
                  <c:v>2.3324930000684838</c:v>
                </c:pt>
                <c:pt idx="148">
                  <c:v>2.2690420000684832</c:v>
                </c:pt>
                <c:pt idx="149">
                  <c:v>2.2548110000684836</c:v>
                </c:pt>
                <c:pt idx="150">
                  <c:v>0.28311111103999997</c:v>
                </c:pt>
                <c:pt idx="151">
                  <c:v>0.26144444438666659</c:v>
                </c:pt>
                <c:pt idx="152">
                  <c:v>0.31199999992444438</c:v>
                </c:pt>
                <c:pt idx="153">
                  <c:v>0</c:v>
                </c:pt>
                <c:pt idx="154">
                  <c:v>0.2436666666666667</c:v>
                </c:pt>
                <c:pt idx="155">
                  <c:v>0.11322222222222231</c:v>
                </c:pt>
                <c:pt idx="156">
                  <c:v>0</c:v>
                </c:pt>
                <c:pt idx="157">
                  <c:v>7.9111111111111021E-2</c:v>
                </c:pt>
                <c:pt idx="158">
                  <c:v>0.43755555555555564</c:v>
                </c:pt>
                <c:pt idx="159">
                  <c:v>0</c:v>
                </c:pt>
                <c:pt idx="160">
                  <c:v>0.92099999999999993</c:v>
                </c:pt>
                <c:pt idx="161">
                  <c:v>0.54981550050320316</c:v>
                </c:pt>
                <c:pt idx="162">
                  <c:v>0.80477777770333314</c:v>
                </c:pt>
                <c:pt idx="163">
                  <c:v>0.68377777770666659</c:v>
                </c:pt>
                <c:pt idx="164">
                  <c:v>1.7621111110399996</c:v>
                </c:pt>
                <c:pt idx="165">
                  <c:v>0.54077777770666657</c:v>
                </c:pt>
                <c:pt idx="166">
                  <c:v>2.0129899216087051E-4</c:v>
                </c:pt>
                <c:pt idx="167">
                  <c:v>2.0129899216087051E-4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98-4654-B3E9-441AE4A566C6}"/>
            </c:ext>
          </c:extLst>
        </c:ser>
        <c:ser>
          <c:idx val="7"/>
          <c:order val="7"/>
          <c:tx>
            <c:strRef>
              <c:f>'Welfare Calc'!$K$9</c:f>
              <c:strCache>
                <c:ptCount val="1"/>
                <c:pt idx="0">
                  <c:v>Total shortage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'Welfare Calc'!$K$10:$K$177</c:f>
              <c:numCache>
                <c:formatCode>0.00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4.5010000000000003</c:v>
                </c:pt>
                <c:pt idx="19">
                  <c:v>3.5840000000000001</c:v>
                </c:pt>
                <c:pt idx="20">
                  <c:v>3.871</c:v>
                </c:pt>
                <c:pt idx="21">
                  <c:v>2.7050000000000001</c:v>
                </c:pt>
                <c:pt idx="22">
                  <c:v>1.956</c:v>
                </c:pt>
                <c:pt idx="23">
                  <c:v>2.1419999999999999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98-4654-B3E9-441AE4A56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372768"/>
        <c:axId val="1654377344"/>
      </c:barChart>
      <c:catAx>
        <c:axId val="165444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447648"/>
        <c:crosses val="autoZero"/>
        <c:auto val="1"/>
        <c:lblAlgn val="ctr"/>
        <c:lblOffset val="100"/>
        <c:noMultiLvlLbl val="0"/>
      </c:catAx>
      <c:valAx>
        <c:axId val="16544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445984"/>
        <c:crosses val="autoZero"/>
        <c:crossBetween val="between"/>
      </c:valAx>
      <c:valAx>
        <c:axId val="165437734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72768"/>
        <c:crosses val="max"/>
        <c:crossBetween val="between"/>
      </c:valAx>
      <c:catAx>
        <c:axId val="1654372768"/>
        <c:scaling>
          <c:orientation val="minMax"/>
        </c:scaling>
        <c:delete val="1"/>
        <c:axPos val="b"/>
        <c:majorTickMark val="out"/>
        <c:minorTickMark val="none"/>
        <c:tickLblPos val="nextTo"/>
        <c:crossAx val="165437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>
                <a:solidFill>
                  <a:schemeClr val="tx1">
                    <a:lumMod val="50000"/>
                    <a:lumOff val="50000"/>
                  </a:schemeClr>
                </a:solidFill>
              </a:rPr>
              <a:t>Loads</a:t>
            </a:r>
            <a:r>
              <a:rPr lang="fr-FR" sz="1600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and  Generations</a:t>
            </a:r>
            <a:br>
              <a:rPr lang="fr-FR" sz="1600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</a:br>
            <a:r>
              <a:rPr lang="fr-FR" sz="1400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week</a:t>
            </a:r>
            <a:endParaRPr lang="fr-FR" sz="1600" b="1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2"/>
          <c:tx>
            <c:strRef>
              <c:f>Graphs!$H$5</c:f>
              <c:strCache>
                <c:ptCount val="1"/>
                <c:pt idx="0">
                  <c:v>PV_output_load_A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Graphs!$H$6:$H$173</c:f>
              <c:numCache>
                <c:formatCode>0.00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1.84</c:v>
                </c:pt>
                <c:pt idx="8">
                  <c:v>1.82</c:v>
                </c:pt>
                <c:pt idx="9">
                  <c:v>4</c:v>
                </c:pt>
                <c:pt idx="10">
                  <c:v>5.43</c:v>
                </c:pt>
                <c:pt idx="11">
                  <c:v>8.14</c:v>
                </c:pt>
                <c:pt idx="12">
                  <c:v>7.82</c:v>
                </c:pt>
                <c:pt idx="13">
                  <c:v>12.04</c:v>
                </c:pt>
                <c:pt idx="14">
                  <c:v>11.46</c:v>
                </c:pt>
                <c:pt idx="15">
                  <c:v>4.08</c:v>
                </c:pt>
                <c:pt idx="16">
                  <c:v>7</c:v>
                </c:pt>
                <c:pt idx="17">
                  <c:v>3.97</c:v>
                </c:pt>
                <c:pt idx="18">
                  <c:v>2.06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1.48</c:v>
                </c:pt>
                <c:pt idx="32">
                  <c:v>2.62</c:v>
                </c:pt>
                <c:pt idx="33">
                  <c:v>2.68</c:v>
                </c:pt>
                <c:pt idx="34">
                  <c:v>4.0599999999999996</c:v>
                </c:pt>
                <c:pt idx="35">
                  <c:v>4.66</c:v>
                </c:pt>
                <c:pt idx="36">
                  <c:v>6.02</c:v>
                </c:pt>
                <c:pt idx="37">
                  <c:v>11.7</c:v>
                </c:pt>
                <c:pt idx="38">
                  <c:v>12.08</c:v>
                </c:pt>
                <c:pt idx="39">
                  <c:v>5.3</c:v>
                </c:pt>
                <c:pt idx="40">
                  <c:v>6.12</c:v>
                </c:pt>
                <c:pt idx="41">
                  <c:v>7.92</c:v>
                </c:pt>
                <c:pt idx="42">
                  <c:v>2.61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1.84</c:v>
                </c:pt>
                <c:pt idx="57">
                  <c:v>3.7</c:v>
                </c:pt>
                <c:pt idx="58">
                  <c:v>6.56</c:v>
                </c:pt>
                <c:pt idx="59">
                  <c:v>8.8000000000000007</c:v>
                </c:pt>
                <c:pt idx="60">
                  <c:v>6.1</c:v>
                </c:pt>
                <c:pt idx="61">
                  <c:v>10.82</c:v>
                </c:pt>
                <c:pt idx="62">
                  <c:v>10.54</c:v>
                </c:pt>
                <c:pt idx="63">
                  <c:v>5.25</c:v>
                </c:pt>
                <c:pt idx="64">
                  <c:v>5.15</c:v>
                </c:pt>
                <c:pt idx="65">
                  <c:v>5.38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1.28</c:v>
                </c:pt>
                <c:pt idx="80">
                  <c:v>1.4</c:v>
                </c:pt>
                <c:pt idx="81">
                  <c:v>2.44</c:v>
                </c:pt>
                <c:pt idx="82">
                  <c:v>9.02</c:v>
                </c:pt>
                <c:pt idx="83">
                  <c:v>6.76</c:v>
                </c:pt>
                <c:pt idx="84">
                  <c:v>5.5</c:v>
                </c:pt>
                <c:pt idx="85">
                  <c:v>10.64</c:v>
                </c:pt>
                <c:pt idx="86">
                  <c:v>8.7799999999999994</c:v>
                </c:pt>
                <c:pt idx="87">
                  <c:v>5.64</c:v>
                </c:pt>
                <c:pt idx="88">
                  <c:v>4.0599999999999996</c:v>
                </c:pt>
                <c:pt idx="89">
                  <c:v>6.58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1.64</c:v>
                </c:pt>
                <c:pt idx="105">
                  <c:v>3.04</c:v>
                </c:pt>
                <c:pt idx="106">
                  <c:v>4.68</c:v>
                </c:pt>
                <c:pt idx="107">
                  <c:v>4.88</c:v>
                </c:pt>
                <c:pt idx="108">
                  <c:v>3.66</c:v>
                </c:pt>
                <c:pt idx="109">
                  <c:v>12.3</c:v>
                </c:pt>
                <c:pt idx="110">
                  <c:v>7.88</c:v>
                </c:pt>
                <c:pt idx="111">
                  <c:v>7.55</c:v>
                </c:pt>
                <c:pt idx="112">
                  <c:v>3.98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4.9800000000000004</c:v>
                </c:pt>
                <c:pt idx="131">
                  <c:v>4.5199999999999996</c:v>
                </c:pt>
                <c:pt idx="132">
                  <c:v>4</c:v>
                </c:pt>
                <c:pt idx="133">
                  <c:v>10.8</c:v>
                </c:pt>
                <c:pt idx="134">
                  <c:v>4.5199999999999996</c:v>
                </c:pt>
                <c:pt idx="135">
                  <c:v>7.34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2.34</c:v>
                </c:pt>
                <c:pt idx="154">
                  <c:v>6.76</c:v>
                </c:pt>
                <c:pt idx="155">
                  <c:v>4.16</c:v>
                </c:pt>
                <c:pt idx="156">
                  <c:v>2.02</c:v>
                </c:pt>
                <c:pt idx="157">
                  <c:v>6.3</c:v>
                </c:pt>
                <c:pt idx="158">
                  <c:v>7.56</c:v>
                </c:pt>
                <c:pt idx="159">
                  <c:v>4.0199999999999996</c:v>
                </c:pt>
                <c:pt idx="160">
                  <c:v>5.61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F-4DB3-822F-2DC9C9A0F2E5}"/>
            </c:ext>
          </c:extLst>
        </c:ser>
        <c:ser>
          <c:idx val="4"/>
          <c:order val="3"/>
          <c:tx>
            <c:strRef>
              <c:f>Graphs!$U$5</c:f>
              <c:strCache>
                <c:ptCount val="1"/>
                <c:pt idx="0">
                  <c:v>Bat_discharge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Graphs!$A$6:$A$173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Graphs!$U$6:$U$173</c:f>
              <c:numCache>
                <c:formatCode>0.00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8.9600000000000026</c:v>
                </c:pt>
                <c:pt idx="19">
                  <c:v>5.4199999995499999</c:v>
                </c:pt>
                <c:pt idx="20">
                  <c:v>21.279999999550004</c:v>
                </c:pt>
                <c:pt idx="21">
                  <c:v>15.534117521706035</c:v>
                </c:pt>
                <c:pt idx="22">
                  <c:v>6.3199999995500002</c:v>
                </c:pt>
                <c:pt idx="23">
                  <c:v>5.4599999995500008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27</c:v>
                </c:pt>
                <c:pt idx="31">
                  <c:v>1.035844344518263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6.6730000000000009</c:v>
                </c:pt>
                <c:pt idx="42">
                  <c:v>5.9849999999999985</c:v>
                </c:pt>
                <c:pt idx="43">
                  <c:v>6.4189999993600013</c:v>
                </c:pt>
                <c:pt idx="44">
                  <c:v>18.83699999936</c:v>
                </c:pt>
                <c:pt idx="45">
                  <c:v>12.814999999360001</c:v>
                </c:pt>
                <c:pt idx="46">
                  <c:v>6.15699999936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4.6669999993599998</c:v>
                </c:pt>
                <c:pt idx="55">
                  <c:v>3.0509999993200001</c:v>
                </c:pt>
                <c:pt idx="56">
                  <c:v>0</c:v>
                </c:pt>
                <c:pt idx="57">
                  <c:v>1.4315653151662404</c:v>
                </c:pt>
                <c:pt idx="58">
                  <c:v>3.6990000000000012</c:v>
                </c:pt>
                <c:pt idx="59">
                  <c:v>7.6630000000000003</c:v>
                </c:pt>
                <c:pt idx="60">
                  <c:v>0</c:v>
                </c:pt>
                <c:pt idx="61">
                  <c:v>0.16799999999999909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16.16899999936</c:v>
                </c:pt>
                <c:pt idx="67">
                  <c:v>6.0459999993600002</c:v>
                </c:pt>
                <c:pt idx="68">
                  <c:v>22.763999999360003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27</c:v>
                </c:pt>
                <c:pt idx="79">
                  <c:v>7.6777595852513132</c:v>
                </c:pt>
                <c:pt idx="80">
                  <c:v>0</c:v>
                </c:pt>
                <c:pt idx="81">
                  <c:v>9.399999999999871E-2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6.3819771634017046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8.0089999993600003</c:v>
                </c:pt>
                <c:pt idx="92">
                  <c:v>17.491999999360001</c:v>
                </c:pt>
                <c:pt idx="93">
                  <c:v>21.140999999360002</c:v>
                </c:pt>
                <c:pt idx="94">
                  <c:v>9.928999999360002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3.7049999993600005</c:v>
                </c:pt>
                <c:pt idx="103">
                  <c:v>2.3359999992500002</c:v>
                </c:pt>
                <c:pt idx="104">
                  <c:v>0</c:v>
                </c:pt>
                <c:pt idx="105">
                  <c:v>3.5980000000000008</c:v>
                </c:pt>
                <c:pt idx="106">
                  <c:v>6.766</c:v>
                </c:pt>
                <c:pt idx="107">
                  <c:v>4.6780000000000008</c:v>
                </c:pt>
                <c:pt idx="108">
                  <c:v>0</c:v>
                </c:pt>
                <c:pt idx="109">
                  <c:v>0</c:v>
                </c:pt>
                <c:pt idx="110">
                  <c:v>4.9400000000000004</c:v>
                </c:pt>
                <c:pt idx="111">
                  <c:v>9.751000000000003</c:v>
                </c:pt>
                <c:pt idx="112">
                  <c:v>2.5969999999999991</c:v>
                </c:pt>
                <c:pt idx="113">
                  <c:v>12.97599999919</c:v>
                </c:pt>
                <c:pt idx="114">
                  <c:v>11.072999999360002</c:v>
                </c:pt>
                <c:pt idx="115">
                  <c:v>6.9449999993600011</c:v>
                </c:pt>
                <c:pt idx="116">
                  <c:v>1.991008672874196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5.0169999993600003</c:v>
                </c:pt>
                <c:pt idx="127">
                  <c:v>3.0949999994499997</c:v>
                </c:pt>
                <c:pt idx="128">
                  <c:v>2.1967658386136564</c:v>
                </c:pt>
                <c:pt idx="129">
                  <c:v>0</c:v>
                </c:pt>
                <c:pt idx="130">
                  <c:v>7.57</c:v>
                </c:pt>
                <c:pt idx="131">
                  <c:v>4.4779999999999998</c:v>
                </c:pt>
                <c:pt idx="132">
                  <c:v>0</c:v>
                </c:pt>
                <c:pt idx="133">
                  <c:v>1.1840000000000013</c:v>
                </c:pt>
                <c:pt idx="134">
                  <c:v>9.8640000000000008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16.142999999360001</c:v>
                </c:pt>
                <c:pt idx="141">
                  <c:v>14.756999999360001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2.5479999993600004</c:v>
                </c:pt>
                <c:pt idx="151">
                  <c:v>2.3529999994799997</c:v>
                </c:pt>
                <c:pt idx="152">
                  <c:v>2.8079999993200002</c:v>
                </c:pt>
                <c:pt idx="153">
                  <c:v>0</c:v>
                </c:pt>
                <c:pt idx="154">
                  <c:v>2.1930000000000009</c:v>
                </c:pt>
                <c:pt idx="155">
                  <c:v>1.019000000000001</c:v>
                </c:pt>
                <c:pt idx="156">
                  <c:v>0</c:v>
                </c:pt>
                <c:pt idx="157">
                  <c:v>0.71199999999999941</c:v>
                </c:pt>
                <c:pt idx="158">
                  <c:v>3.9380000000000019</c:v>
                </c:pt>
                <c:pt idx="159">
                  <c:v>0</c:v>
                </c:pt>
                <c:pt idx="160">
                  <c:v>8.2890000000000015</c:v>
                </c:pt>
                <c:pt idx="161">
                  <c:v>4.9483395045288292</c:v>
                </c:pt>
                <c:pt idx="162">
                  <c:v>7.2429999993300003</c:v>
                </c:pt>
                <c:pt idx="163">
                  <c:v>6.1539999993600007</c:v>
                </c:pt>
                <c:pt idx="164">
                  <c:v>15.858999999360002</c:v>
                </c:pt>
                <c:pt idx="165">
                  <c:v>4.8669999993599999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66-48D5-AA6D-76AD418CA90D}"/>
            </c:ext>
          </c:extLst>
        </c:ser>
        <c:ser>
          <c:idx val="5"/>
          <c:order val="4"/>
          <c:tx>
            <c:strRef>
              <c:f>Graphs!$R$5</c:f>
              <c:strCache>
                <c:ptCount val="1"/>
                <c:pt idx="0">
                  <c:v>Grid_imp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Graphs!$A$6:$A$173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  <c:extLst xmlns:c15="http://schemas.microsoft.com/office/drawing/2012/chart"/>
            </c:numRef>
          </c:cat>
          <c:val>
            <c:numRef>
              <c:f>Graphs!$R$6:$R$173</c:f>
              <c:numCache>
                <c:formatCode>0.00</c:formatCode>
                <c:ptCount val="168"/>
                <c:pt idx="0">
                  <c:v>5.3399999995499998</c:v>
                </c:pt>
                <c:pt idx="1">
                  <c:v>3.69699999955</c:v>
                </c:pt>
                <c:pt idx="2">
                  <c:v>6.3317080478592676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4.7879999995500002</c:v>
                </c:pt>
                <c:pt idx="7">
                  <c:v>2.1909999999999998</c:v>
                </c:pt>
                <c:pt idx="8">
                  <c:v>0.38699999999999957</c:v>
                </c:pt>
                <c:pt idx="9">
                  <c:v>8.3230000000000004</c:v>
                </c:pt>
                <c:pt idx="10">
                  <c:v>7.6340000000000003</c:v>
                </c:pt>
                <c:pt idx="11">
                  <c:v>3.1270000000000007</c:v>
                </c:pt>
                <c:pt idx="12">
                  <c:v>0</c:v>
                </c:pt>
                <c:pt idx="13">
                  <c:v>0</c:v>
                </c:pt>
                <c:pt idx="14">
                  <c:v>2.9510000000000005</c:v>
                </c:pt>
                <c:pt idx="15">
                  <c:v>0</c:v>
                </c:pt>
                <c:pt idx="16">
                  <c:v>4.6310000000000002</c:v>
                </c:pt>
                <c:pt idx="17">
                  <c:v>8.4875381894747726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6.6878812985421572</c:v>
                </c:pt>
                <c:pt idx="25">
                  <c:v>3.8918812985421578</c:v>
                </c:pt>
                <c:pt idx="26">
                  <c:v>17.291946162757107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7.801881298352157</c:v>
                </c:pt>
                <c:pt idx="48">
                  <c:v>7.4268812983521579</c:v>
                </c:pt>
                <c:pt idx="49">
                  <c:v>3.9803928552526808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2.8384346848337589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5.5859999999999985</c:v>
                </c:pt>
                <c:pt idx="63">
                  <c:v>10.302</c:v>
                </c:pt>
                <c:pt idx="64">
                  <c:v>9.7329999999999988</c:v>
                </c:pt>
                <c:pt idx="65">
                  <c:v>16.416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22.970999999359996</c:v>
                </c:pt>
                <c:pt idx="70">
                  <c:v>12.863881298352158</c:v>
                </c:pt>
                <c:pt idx="71">
                  <c:v>9.2718812983521577</c:v>
                </c:pt>
                <c:pt idx="72">
                  <c:v>5.7718812983521568</c:v>
                </c:pt>
                <c:pt idx="73">
                  <c:v>5.8288812983521572</c:v>
                </c:pt>
                <c:pt idx="74">
                  <c:v>20.807993992454637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4.2980228365982978</c:v>
                </c:pt>
                <c:pt idx="87">
                  <c:v>0</c:v>
                </c:pt>
                <c:pt idx="88">
                  <c:v>0</c:v>
                </c:pt>
                <c:pt idx="89">
                  <c:v>4.7150000000000007</c:v>
                </c:pt>
                <c:pt idx="90">
                  <c:v>16.50299999936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8.3538812983521584</c:v>
                </c:pt>
                <c:pt idx="96">
                  <c:v>4.7388812983521573</c:v>
                </c:pt>
                <c:pt idx="97">
                  <c:v>4.2858812983521579</c:v>
                </c:pt>
                <c:pt idx="98">
                  <c:v>22.512250546889319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15.524991326485805</c:v>
                </c:pt>
                <c:pt idx="117">
                  <c:v>12.47999999936</c:v>
                </c:pt>
                <c:pt idx="118">
                  <c:v>8.4398812983521587</c:v>
                </c:pt>
                <c:pt idx="119">
                  <c:v>7.604881298352157</c:v>
                </c:pt>
                <c:pt idx="120">
                  <c:v>7.0538812983521568</c:v>
                </c:pt>
                <c:pt idx="121">
                  <c:v>4.2418812983521574</c:v>
                </c:pt>
                <c:pt idx="122">
                  <c:v>22.903350799155277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0</c:v>
                </c:pt>
                <c:pt idx="127">
                  <c:v>0</c:v>
                </c:pt>
                <c:pt idx="128">
                  <c:v>0.42323416053634372</c:v>
                </c:pt>
                <c:pt idx="129">
                  <c:v>7.3319999992799998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7.6820000000000004</c:v>
                </c:pt>
                <c:pt idx="136">
                  <c:v>11.61199999938</c:v>
                </c:pt>
                <c:pt idx="137">
                  <c:v>14.046999999240001</c:v>
                </c:pt>
                <c:pt idx="138">
                  <c:v>9.2359999993600006</c:v>
                </c:pt>
                <c:pt idx="139">
                  <c:v>7.4179999993600001</c:v>
                </c:pt>
                <c:pt idx="140">
                  <c:v>0</c:v>
                </c:pt>
                <c:pt idx="141">
                  <c:v>0</c:v>
                </c:pt>
                <c:pt idx="142">
                  <c:v>9.7178812983521574</c:v>
                </c:pt>
                <c:pt idx="143">
                  <c:v>6.543881298352157</c:v>
                </c:pt>
                <c:pt idx="144">
                  <c:v>4.4258812983521567</c:v>
                </c:pt>
                <c:pt idx="145">
                  <c:v>3.6658812983521574</c:v>
                </c:pt>
                <c:pt idx="146">
                  <c:v>19.443925891882046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4.8876604948411693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6.7598812983521572</c:v>
                </c:pt>
                <c:pt idx="167">
                  <c:v>5.043881298352157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2366-48D5-AA6D-76AD418CA90D}"/>
            </c:ext>
          </c:extLst>
        </c:ser>
        <c:ser>
          <c:idx val="2"/>
          <c:order val="5"/>
          <c:tx>
            <c:strRef>
              <c:f>Graphs!$O$5</c:f>
              <c:strCache>
                <c:ptCount val="1"/>
                <c:pt idx="0">
                  <c:v>Diesel_output_Load 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Graphs!$A$6:$A$173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Graphs!$O$6:$O$173</c:f>
              <c:numCache>
                <c:formatCode>0.00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7.7458824778439643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66-48D5-AA6D-76AD418CA90D}"/>
            </c:ext>
          </c:extLst>
        </c:ser>
        <c:ser>
          <c:idx val="10"/>
          <c:order val="6"/>
          <c:tx>
            <c:strRef>
              <c:f>Graphs!$L$5</c:f>
              <c:strCache>
                <c:ptCount val="1"/>
                <c:pt idx="0">
                  <c:v>Shortage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Graphs!$L$6:$L$173</c:f>
              <c:numCache>
                <c:formatCode>0.00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4.5010000000000003</c:v>
                </c:pt>
                <c:pt idx="19">
                  <c:v>3.5840000000000001</c:v>
                </c:pt>
                <c:pt idx="20">
                  <c:v>3.871</c:v>
                </c:pt>
                <c:pt idx="21">
                  <c:v>2.7050000000000001</c:v>
                </c:pt>
                <c:pt idx="22">
                  <c:v>1.956</c:v>
                </c:pt>
                <c:pt idx="23">
                  <c:v>2.1419999999999999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13-49E8-A1CB-4B3DDA71E0AC}"/>
            </c:ext>
          </c:extLst>
        </c:ser>
        <c:ser>
          <c:idx val="1"/>
          <c:order val="7"/>
          <c:tx>
            <c:strRef>
              <c:f>Graphs!$I$5</c:f>
              <c:strCache>
                <c:ptCount val="1"/>
                <c:pt idx="0">
                  <c:v>PV_output_other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Graphs!$A$6:$A$173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Graphs!$I$6:$I$173</c:f>
              <c:numCache>
                <c:formatCode>0.00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3.0000000000000027E-2</c:v>
                </c:pt>
                <c:pt idx="8">
                  <c:v>1.84</c:v>
                </c:pt>
                <c:pt idx="9">
                  <c:v>0</c:v>
                </c:pt>
                <c:pt idx="10">
                  <c:v>0</c:v>
                </c:pt>
                <c:pt idx="11">
                  <c:v>5.67</c:v>
                </c:pt>
                <c:pt idx="12">
                  <c:v>4.5600000000000005</c:v>
                </c:pt>
                <c:pt idx="13">
                  <c:v>5.2100000000000009</c:v>
                </c:pt>
                <c:pt idx="14">
                  <c:v>4.2399999999999984</c:v>
                </c:pt>
                <c:pt idx="15">
                  <c:v>5.5399999999999991</c:v>
                </c:pt>
                <c:pt idx="16">
                  <c:v>2.92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3.48</c:v>
                </c:pt>
                <c:pt idx="32">
                  <c:v>4.5999999999999996</c:v>
                </c:pt>
                <c:pt idx="33">
                  <c:v>13.43</c:v>
                </c:pt>
                <c:pt idx="34">
                  <c:v>25.94</c:v>
                </c:pt>
                <c:pt idx="35">
                  <c:v>25.34</c:v>
                </c:pt>
                <c:pt idx="36">
                  <c:v>23.98</c:v>
                </c:pt>
                <c:pt idx="37">
                  <c:v>13.670000000000002</c:v>
                </c:pt>
                <c:pt idx="38">
                  <c:v>10.38</c:v>
                </c:pt>
                <c:pt idx="39">
                  <c:v>17.66</c:v>
                </c:pt>
                <c:pt idx="40">
                  <c:v>6.919999999999999</c:v>
                </c:pt>
                <c:pt idx="41">
                  <c:v>0.57000000000000028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5.75</c:v>
                </c:pt>
                <c:pt idx="57">
                  <c:v>3.45</c:v>
                </c:pt>
                <c:pt idx="58">
                  <c:v>3.3899999999999997</c:v>
                </c:pt>
                <c:pt idx="59">
                  <c:v>1.83</c:v>
                </c:pt>
                <c:pt idx="60">
                  <c:v>4.5600000000000005</c:v>
                </c:pt>
                <c:pt idx="61">
                  <c:v>1.0899999999999999</c:v>
                </c:pt>
                <c:pt idx="62">
                  <c:v>1.0300000000000011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4.46</c:v>
                </c:pt>
                <c:pt idx="80">
                  <c:v>8.01</c:v>
                </c:pt>
                <c:pt idx="81">
                  <c:v>4.9800000000000004</c:v>
                </c:pt>
                <c:pt idx="82">
                  <c:v>13.64</c:v>
                </c:pt>
                <c:pt idx="83">
                  <c:v>23.240000000000002</c:v>
                </c:pt>
                <c:pt idx="84">
                  <c:v>24.5</c:v>
                </c:pt>
                <c:pt idx="85">
                  <c:v>9.9499999999999993</c:v>
                </c:pt>
                <c:pt idx="86">
                  <c:v>0</c:v>
                </c:pt>
                <c:pt idx="87">
                  <c:v>6.44</c:v>
                </c:pt>
                <c:pt idx="88">
                  <c:v>7.2400000000000011</c:v>
                </c:pt>
                <c:pt idx="89">
                  <c:v>1.3099999999999996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8.58</c:v>
                </c:pt>
                <c:pt idx="105">
                  <c:v>2.7299999999999995</c:v>
                </c:pt>
                <c:pt idx="106">
                  <c:v>0</c:v>
                </c:pt>
                <c:pt idx="107">
                  <c:v>0.58999999999999986</c:v>
                </c:pt>
                <c:pt idx="108">
                  <c:v>2.3499999999999996</c:v>
                </c:pt>
                <c:pt idx="109">
                  <c:v>3.67</c:v>
                </c:pt>
                <c:pt idx="110">
                  <c:v>9.9999999999997868E-3</c:v>
                </c:pt>
                <c:pt idx="111">
                  <c:v>0</c:v>
                </c:pt>
                <c:pt idx="112">
                  <c:v>1.6999999999999997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0.39000000000000057</c:v>
                </c:pt>
                <c:pt idx="132">
                  <c:v>2.4699999999999998</c:v>
                </c:pt>
                <c:pt idx="133">
                  <c:v>6.9999999999998508E-2</c:v>
                </c:pt>
                <c:pt idx="134">
                  <c:v>0</c:v>
                </c:pt>
                <c:pt idx="135">
                  <c:v>0.25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6.9399999999999995</c:v>
                </c:pt>
                <c:pt idx="154">
                  <c:v>5.1099999999999994</c:v>
                </c:pt>
                <c:pt idx="155">
                  <c:v>3.4699999999999998</c:v>
                </c:pt>
                <c:pt idx="156">
                  <c:v>7.4600000000000009</c:v>
                </c:pt>
                <c:pt idx="157">
                  <c:v>2.0000000000000462E-2</c:v>
                </c:pt>
                <c:pt idx="158">
                  <c:v>0.80999999999999961</c:v>
                </c:pt>
                <c:pt idx="159">
                  <c:v>6.26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6-48D5-AA6D-76AD418CA90D}"/>
            </c:ext>
          </c:extLst>
        </c:ser>
        <c:ser>
          <c:idx val="3"/>
          <c:order val="8"/>
          <c:tx>
            <c:strRef>
              <c:f>Graphs!$T$5</c:f>
              <c:strCache>
                <c:ptCount val="1"/>
                <c:pt idx="0">
                  <c:v>Bat_charge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Graphs!$A$6:$A$173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Graphs!$T$6:$T$173</c:f>
              <c:numCache>
                <c:formatCode>0.00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-0.75902557278316707</c:v>
                </c:pt>
                <c:pt idx="3">
                  <c:v>-15.534985200381755</c:v>
                </c:pt>
                <c:pt idx="4">
                  <c:v>-15.506141300381755</c:v>
                </c:pt>
                <c:pt idx="5">
                  <c:v>-15.711442000381759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-5.2307198190180058E-2</c:v>
                </c:pt>
                <c:pt idx="16">
                  <c:v>0</c:v>
                </c:pt>
                <c:pt idx="17">
                  <c:v>-1.063677304092323E-2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-1.5959999999969553E-3</c:v>
                </c:pt>
                <c:pt idx="25">
                  <c:v>-1.5959999999969553E-3</c:v>
                </c:pt>
                <c:pt idx="26">
                  <c:v>-13.270693377556745</c:v>
                </c:pt>
                <c:pt idx="27">
                  <c:v>-16.552156850381756</c:v>
                </c:pt>
                <c:pt idx="28">
                  <c:v>-18.546627700381759</c:v>
                </c:pt>
                <c:pt idx="29">
                  <c:v>-18.137723000381758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-10.44403685</c:v>
                </c:pt>
                <c:pt idx="38">
                  <c:v>-2.3762283500000039</c:v>
                </c:pt>
                <c:pt idx="39">
                  <c:v>-10.129299</c:v>
                </c:pt>
                <c:pt idx="40">
                  <c:v>-0.26129179999999941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-1.5959999999969553E-3</c:v>
                </c:pt>
                <c:pt idx="48">
                  <c:v>-1.5959999999969553E-3</c:v>
                </c:pt>
                <c:pt idx="49">
                  <c:v>-7.0746329296555457E-2</c:v>
                </c:pt>
                <c:pt idx="50">
                  <c:v>-17.680462350542943</c:v>
                </c:pt>
                <c:pt idx="51">
                  <c:v>-16.090654450542942</c:v>
                </c:pt>
                <c:pt idx="52">
                  <c:v>-16.686196150542944</c:v>
                </c:pt>
                <c:pt idx="53">
                  <c:v>-15.981217300542943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-2.8776032000000002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-1.5959999999969553E-3</c:v>
                </c:pt>
                <c:pt idx="71">
                  <c:v>-1.5959999999969553E-3</c:v>
                </c:pt>
                <c:pt idx="72">
                  <c:v>-1.5959999999969553E-3</c:v>
                </c:pt>
                <c:pt idx="73">
                  <c:v>-1.5959999999969553E-3</c:v>
                </c:pt>
                <c:pt idx="74">
                  <c:v>-12.972963104041833</c:v>
                </c:pt>
                <c:pt idx="75">
                  <c:v>-17.872189450542944</c:v>
                </c:pt>
                <c:pt idx="76">
                  <c:v>-18.221709650542945</c:v>
                </c:pt>
                <c:pt idx="77">
                  <c:v>-17.440379300542943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-3.3145034500000001</c:v>
                </c:pt>
                <c:pt idx="83">
                  <c:v>-13.524395699999998</c:v>
                </c:pt>
                <c:pt idx="84">
                  <c:v>-19.891262449999996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-1.5959999999969553E-3</c:v>
                </c:pt>
                <c:pt idx="96">
                  <c:v>-1.5959999999969553E-3</c:v>
                </c:pt>
                <c:pt idx="97">
                  <c:v>-1.5959999999969553E-3</c:v>
                </c:pt>
                <c:pt idx="98">
                  <c:v>-15.759162151996495</c:v>
                </c:pt>
                <c:pt idx="99">
                  <c:v>-16.186518000542943</c:v>
                </c:pt>
                <c:pt idx="100">
                  <c:v>-18.092760450542944</c:v>
                </c:pt>
                <c:pt idx="101">
                  <c:v>-16.469018550542941</c:v>
                </c:pt>
                <c:pt idx="102">
                  <c:v>0</c:v>
                </c:pt>
                <c:pt idx="103">
                  <c:v>0</c:v>
                </c:pt>
                <c:pt idx="104">
                  <c:v>-5.5872330999999997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-1.3997774999999992</c:v>
                </c:pt>
                <c:pt idx="109">
                  <c:v>-1.901152349999998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-1.5959999999969553E-3</c:v>
                </c:pt>
                <c:pt idx="119">
                  <c:v>-1.5959999999969553E-3</c:v>
                </c:pt>
                <c:pt idx="120">
                  <c:v>-1.5959999999969553E-3</c:v>
                </c:pt>
                <c:pt idx="121">
                  <c:v>-1.5959999999969553E-3</c:v>
                </c:pt>
                <c:pt idx="122">
                  <c:v>-15.478443351006321</c:v>
                </c:pt>
                <c:pt idx="123">
                  <c:v>-18.266672200542942</c:v>
                </c:pt>
                <c:pt idx="124">
                  <c:v>-16.036360050542942</c:v>
                </c:pt>
                <c:pt idx="125">
                  <c:v>-16.726068600542945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-1.4455883999999997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-1.5959999999969553E-3</c:v>
                </c:pt>
                <c:pt idx="143">
                  <c:v>-1.5959999999969553E-3</c:v>
                </c:pt>
                <c:pt idx="144">
                  <c:v>-1.5959999999969553E-3</c:v>
                </c:pt>
                <c:pt idx="145">
                  <c:v>-1.5959999999969553E-3</c:v>
                </c:pt>
                <c:pt idx="146">
                  <c:v>-12.146612430921076</c:v>
                </c:pt>
                <c:pt idx="147">
                  <c:v>-18.493181650542944</c:v>
                </c:pt>
                <c:pt idx="148">
                  <c:v>-17.990110100542942</c:v>
                </c:pt>
                <c:pt idx="149">
                  <c:v>-17.877279550542944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-1.5959999999969553E-3</c:v>
                </c:pt>
                <c:pt idx="167">
                  <c:v>-1.5959999999969553E-3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66-48D5-AA6D-76AD418CA90D}"/>
            </c:ext>
          </c:extLst>
        </c:ser>
        <c:ser>
          <c:idx val="8"/>
          <c:order val="9"/>
          <c:tx>
            <c:strRef>
              <c:f>Graphs!$M$5</c:f>
              <c:strCache>
                <c:ptCount val="1"/>
                <c:pt idx="0">
                  <c:v>Grid_Export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Graphs!$M$6:$M$173</c:f>
              <c:numCache>
                <c:formatCode>0.00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-3.0630000000000006</c:v>
                </c:pt>
                <c:pt idx="13">
                  <c:v>-3.8120000000000012</c:v>
                </c:pt>
                <c:pt idx="14">
                  <c:v>0</c:v>
                </c:pt>
                <c:pt idx="15">
                  <c:v>-1.0723424315551586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-23.961000000449999</c:v>
                </c:pt>
                <c:pt idx="31">
                  <c:v>-2.7388443445182631</c:v>
                </c:pt>
                <c:pt idx="32">
                  <c:v>-4.1129999999999995</c:v>
                </c:pt>
                <c:pt idx="33">
                  <c:v>-7.8539999999999992</c:v>
                </c:pt>
                <c:pt idx="34">
                  <c:v>-21.567</c:v>
                </c:pt>
                <c:pt idx="35">
                  <c:v>-20.302</c:v>
                </c:pt>
                <c:pt idx="36">
                  <c:v>-22.829000000000001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-3.5059999999999993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-21.903000000639999</c:v>
                </c:pt>
                <c:pt idx="79">
                  <c:v>-10.596759585251313</c:v>
                </c:pt>
                <c:pt idx="80">
                  <c:v>-6.3079999999999998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-8.7149999999999999</c:v>
                </c:pt>
                <c:pt idx="86">
                  <c:v>0</c:v>
                </c:pt>
                <c:pt idx="87">
                  <c:v>-0.35400000000000098</c:v>
                </c:pt>
                <c:pt idx="88">
                  <c:v>-2.8470000000000013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-2.0409999999999995</c:v>
                </c:pt>
                <c:pt idx="154">
                  <c:v>0</c:v>
                </c:pt>
                <c:pt idx="155">
                  <c:v>0</c:v>
                </c:pt>
                <c:pt idx="156">
                  <c:v>-7.0750000000000002</c:v>
                </c:pt>
                <c:pt idx="157">
                  <c:v>0</c:v>
                </c:pt>
                <c:pt idx="158">
                  <c:v>0</c:v>
                </c:pt>
                <c:pt idx="159">
                  <c:v>-1.9159999999999986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F-4DB3-822F-2DC9C9A0F2E5}"/>
            </c:ext>
          </c:extLst>
        </c:ser>
        <c:ser>
          <c:idx val="6"/>
          <c:order val="10"/>
          <c:tx>
            <c:strRef>
              <c:f>Graphs!$P$5</c:f>
              <c:strCache>
                <c:ptCount val="1"/>
                <c:pt idx="0">
                  <c:v>Diesel_output_Other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Graphs!$P$6:$P$173</c:f>
              <c:numCache>
                <c:formatCode>0.00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8FA-40B8-8A28-FAFAECC81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157776"/>
        <c:axId val="251155856"/>
      </c:barChart>
      <c:lineChart>
        <c:grouping val="standard"/>
        <c:varyColors val="0"/>
        <c:ser>
          <c:idx val="9"/>
          <c:order val="0"/>
          <c:tx>
            <c:strRef>
              <c:f>Graphs!$C$5</c:f>
              <c:strCache>
                <c:ptCount val="1"/>
                <c:pt idx="0">
                  <c:v>Load A</c:v>
                </c:pt>
              </c:strCache>
            </c:strRef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Graphs!$C$6:$C$173</c:f>
              <c:numCache>
                <c:formatCode>General</c:formatCode>
                <c:ptCount val="168"/>
                <c:pt idx="0">
                  <c:v>3.5</c:v>
                </c:pt>
                <c:pt idx="1">
                  <c:v>1.92</c:v>
                </c:pt>
                <c:pt idx="2">
                  <c:v>2.82</c:v>
                </c:pt>
                <c:pt idx="3">
                  <c:v>3.46</c:v>
                </c:pt>
                <c:pt idx="4">
                  <c:v>3.48</c:v>
                </c:pt>
                <c:pt idx="5">
                  <c:v>3.36</c:v>
                </c:pt>
                <c:pt idx="6">
                  <c:v>2.48</c:v>
                </c:pt>
                <c:pt idx="7">
                  <c:v>1.84</c:v>
                </c:pt>
                <c:pt idx="8">
                  <c:v>1.82</c:v>
                </c:pt>
                <c:pt idx="9">
                  <c:v>4</c:v>
                </c:pt>
                <c:pt idx="10">
                  <c:v>6.28</c:v>
                </c:pt>
                <c:pt idx="11">
                  <c:v>8.14</c:v>
                </c:pt>
                <c:pt idx="12">
                  <c:v>7.82</c:v>
                </c:pt>
                <c:pt idx="13">
                  <c:v>12.04</c:v>
                </c:pt>
                <c:pt idx="14">
                  <c:v>11.46</c:v>
                </c:pt>
                <c:pt idx="15">
                  <c:v>4.08</c:v>
                </c:pt>
                <c:pt idx="16">
                  <c:v>7</c:v>
                </c:pt>
                <c:pt idx="17">
                  <c:v>6.5</c:v>
                </c:pt>
                <c:pt idx="18">
                  <c:v>11.02</c:v>
                </c:pt>
                <c:pt idx="19">
                  <c:v>5.42</c:v>
                </c:pt>
                <c:pt idx="20">
                  <c:v>21.28</c:v>
                </c:pt>
                <c:pt idx="21">
                  <c:v>23.28</c:v>
                </c:pt>
                <c:pt idx="22">
                  <c:v>6.32</c:v>
                </c:pt>
                <c:pt idx="23">
                  <c:v>5.46</c:v>
                </c:pt>
                <c:pt idx="24">
                  <c:v>4.38</c:v>
                </c:pt>
                <c:pt idx="25">
                  <c:v>2.02</c:v>
                </c:pt>
                <c:pt idx="26">
                  <c:v>0.86</c:v>
                </c:pt>
                <c:pt idx="27">
                  <c:v>2.84</c:v>
                </c:pt>
                <c:pt idx="28">
                  <c:v>1.62</c:v>
                </c:pt>
                <c:pt idx="29">
                  <c:v>1.88</c:v>
                </c:pt>
                <c:pt idx="30">
                  <c:v>1.58</c:v>
                </c:pt>
                <c:pt idx="31">
                  <c:v>1.48</c:v>
                </c:pt>
                <c:pt idx="32">
                  <c:v>2.62</c:v>
                </c:pt>
                <c:pt idx="33">
                  <c:v>2.68</c:v>
                </c:pt>
                <c:pt idx="34">
                  <c:v>4.0599999999999996</c:v>
                </c:pt>
                <c:pt idx="35">
                  <c:v>4.66</c:v>
                </c:pt>
                <c:pt idx="36">
                  <c:v>6.02</c:v>
                </c:pt>
                <c:pt idx="37">
                  <c:v>11.7</c:v>
                </c:pt>
                <c:pt idx="38">
                  <c:v>12.08</c:v>
                </c:pt>
                <c:pt idx="39">
                  <c:v>5.3</c:v>
                </c:pt>
                <c:pt idx="40">
                  <c:v>6.12</c:v>
                </c:pt>
                <c:pt idx="41">
                  <c:v>7.92</c:v>
                </c:pt>
                <c:pt idx="42">
                  <c:v>6.1</c:v>
                </c:pt>
                <c:pt idx="43">
                  <c:v>3.86</c:v>
                </c:pt>
                <c:pt idx="44">
                  <c:v>15.94</c:v>
                </c:pt>
                <c:pt idx="45">
                  <c:v>11.48</c:v>
                </c:pt>
                <c:pt idx="46">
                  <c:v>4.7</c:v>
                </c:pt>
                <c:pt idx="47">
                  <c:v>5.6</c:v>
                </c:pt>
                <c:pt idx="48">
                  <c:v>4.8600000000000003</c:v>
                </c:pt>
                <c:pt idx="49">
                  <c:v>2.02</c:v>
                </c:pt>
                <c:pt idx="50">
                  <c:v>2.16</c:v>
                </c:pt>
                <c:pt idx="51">
                  <c:v>3.12</c:v>
                </c:pt>
                <c:pt idx="52">
                  <c:v>2.76</c:v>
                </c:pt>
                <c:pt idx="53">
                  <c:v>3.2</c:v>
                </c:pt>
                <c:pt idx="54">
                  <c:v>2.42</c:v>
                </c:pt>
                <c:pt idx="55">
                  <c:v>1.38</c:v>
                </c:pt>
                <c:pt idx="56">
                  <c:v>1.84</c:v>
                </c:pt>
                <c:pt idx="57">
                  <c:v>3.7</c:v>
                </c:pt>
                <c:pt idx="58">
                  <c:v>6.56</c:v>
                </c:pt>
                <c:pt idx="59">
                  <c:v>8.8000000000000007</c:v>
                </c:pt>
                <c:pt idx="60">
                  <c:v>6.1</c:v>
                </c:pt>
                <c:pt idx="61">
                  <c:v>10.82</c:v>
                </c:pt>
                <c:pt idx="62">
                  <c:v>10.54</c:v>
                </c:pt>
                <c:pt idx="63">
                  <c:v>7.48</c:v>
                </c:pt>
                <c:pt idx="64">
                  <c:v>7.16</c:v>
                </c:pt>
                <c:pt idx="65">
                  <c:v>11.38</c:v>
                </c:pt>
                <c:pt idx="66">
                  <c:v>11.48</c:v>
                </c:pt>
                <c:pt idx="67">
                  <c:v>3.64</c:v>
                </c:pt>
                <c:pt idx="68">
                  <c:v>19.260000000000002</c:v>
                </c:pt>
                <c:pt idx="69">
                  <c:v>20.58</c:v>
                </c:pt>
                <c:pt idx="70">
                  <c:v>9.82</c:v>
                </c:pt>
                <c:pt idx="71">
                  <c:v>6.66</c:v>
                </c:pt>
                <c:pt idx="72">
                  <c:v>3.78</c:v>
                </c:pt>
                <c:pt idx="73">
                  <c:v>3.02</c:v>
                </c:pt>
                <c:pt idx="74">
                  <c:v>2.86</c:v>
                </c:pt>
                <c:pt idx="75">
                  <c:v>2.04</c:v>
                </c:pt>
                <c:pt idx="76">
                  <c:v>1.82</c:v>
                </c:pt>
                <c:pt idx="77">
                  <c:v>2.2999999999999998</c:v>
                </c:pt>
                <c:pt idx="78">
                  <c:v>2.64</c:v>
                </c:pt>
                <c:pt idx="79">
                  <c:v>1.28</c:v>
                </c:pt>
                <c:pt idx="80">
                  <c:v>1.4</c:v>
                </c:pt>
                <c:pt idx="81">
                  <c:v>2.44</c:v>
                </c:pt>
                <c:pt idx="82">
                  <c:v>9.02</c:v>
                </c:pt>
                <c:pt idx="83">
                  <c:v>6.76</c:v>
                </c:pt>
                <c:pt idx="84">
                  <c:v>5.5</c:v>
                </c:pt>
                <c:pt idx="85">
                  <c:v>10.64</c:v>
                </c:pt>
                <c:pt idx="86">
                  <c:v>11.96</c:v>
                </c:pt>
                <c:pt idx="87">
                  <c:v>5.64</c:v>
                </c:pt>
                <c:pt idx="88">
                  <c:v>4.0599999999999996</c:v>
                </c:pt>
                <c:pt idx="89">
                  <c:v>6.58</c:v>
                </c:pt>
                <c:pt idx="90">
                  <c:v>11.72</c:v>
                </c:pt>
                <c:pt idx="91">
                  <c:v>4.82</c:v>
                </c:pt>
                <c:pt idx="92">
                  <c:v>14.8</c:v>
                </c:pt>
                <c:pt idx="93">
                  <c:v>18.940000000000001</c:v>
                </c:pt>
                <c:pt idx="94">
                  <c:v>7.58</c:v>
                </c:pt>
                <c:pt idx="95">
                  <c:v>6</c:v>
                </c:pt>
                <c:pt idx="96">
                  <c:v>3.1</c:v>
                </c:pt>
                <c:pt idx="97">
                  <c:v>2.2200000000000002</c:v>
                </c:pt>
                <c:pt idx="98">
                  <c:v>2.04</c:v>
                </c:pt>
                <c:pt idx="99">
                  <c:v>3.06</c:v>
                </c:pt>
                <c:pt idx="100">
                  <c:v>1.9</c:v>
                </c:pt>
                <c:pt idx="101">
                  <c:v>2.9</c:v>
                </c:pt>
                <c:pt idx="102">
                  <c:v>1.92</c:v>
                </c:pt>
                <c:pt idx="103">
                  <c:v>1.06</c:v>
                </c:pt>
                <c:pt idx="104">
                  <c:v>1.64</c:v>
                </c:pt>
                <c:pt idx="105">
                  <c:v>3.04</c:v>
                </c:pt>
                <c:pt idx="106">
                  <c:v>5.5</c:v>
                </c:pt>
                <c:pt idx="107">
                  <c:v>4.88</c:v>
                </c:pt>
                <c:pt idx="108">
                  <c:v>3.66</c:v>
                </c:pt>
                <c:pt idx="109">
                  <c:v>12.3</c:v>
                </c:pt>
                <c:pt idx="110">
                  <c:v>7.88</c:v>
                </c:pt>
                <c:pt idx="111">
                  <c:v>8.32</c:v>
                </c:pt>
                <c:pt idx="112">
                  <c:v>3.98</c:v>
                </c:pt>
                <c:pt idx="113">
                  <c:v>6.78</c:v>
                </c:pt>
                <c:pt idx="114">
                  <c:v>7.86</c:v>
                </c:pt>
                <c:pt idx="115">
                  <c:v>4.18</c:v>
                </c:pt>
                <c:pt idx="116">
                  <c:v>14.82</c:v>
                </c:pt>
                <c:pt idx="117">
                  <c:v>11.18</c:v>
                </c:pt>
                <c:pt idx="118">
                  <c:v>6.44</c:v>
                </c:pt>
                <c:pt idx="119">
                  <c:v>5.46</c:v>
                </c:pt>
                <c:pt idx="120">
                  <c:v>4.62</c:v>
                </c:pt>
                <c:pt idx="121">
                  <c:v>2.2000000000000002</c:v>
                </c:pt>
                <c:pt idx="122">
                  <c:v>2.42</c:v>
                </c:pt>
                <c:pt idx="123">
                  <c:v>1.8</c:v>
                </c:pt>
                <c:pt idx="124">
                  <c:v>3.16</c:v>
                </c:pt>
                <c:pt idx="125">
                  <c:v>2.74</c:v>
                </c:pt>
                <c:pt idx="126">
                  <c:v>2.6</c:v>
                </c:pt>
                <c:pt idx="127">
                  <c:v>1.4</c:v>
                </c:pt>
                <c:pt idx="128">
                  <c:v>1.18</c:v>
                </c:pt>
                <c:pt idx="129">
                  <c:v>2.38</c:v>
                </c:pt>
                <c:pt idx="130">
                  <c:v>6.04</c:v>
                </c:pt>
                <c:pt idx="131">
                  <c:v>4.5199999999999996</c:v>
                </c:pt>
                <c:pt idx="132">
                  <c:v>4</c:v>
                </c:pt>
                <c:pt idx="133">
                  <c:v>10.8</c:v>
                </c:pt>
                <c:pt idx="134">
                  <c:v>8.84</c:v>
                </c:pt>
                <c:pt idx="135">
                  <c:v>7.34</c:v>
                </c:pt>
                <c:pt idx="136">
                  <c:v>5.58</c:v>
                </c:pt>
                <c:pt idx="137">
                  <c:v>7.34</c:v>
                </c:pt>
                <c:pt idx="138">
                  <c:v>6.56</c:v>
                </c:pt>
                <c:pt idx="139">
                  <c:v>4.46</c:v>
                </c:pt>
                <c:pt idx="140">
                  <c:v>13.66</c:v>
                </c:pt>
                <c:pt idx="141">
                  <c:v>13.22</c:v>
                </c:pt>
                <c:pt idx="142">
                  <c:v>7.42</c:v>
                </c:pt>
                <c:pt idx="143">
                  <c:v>4.7</c:v>
                </c:pt>
                <c:pt idx="144">
                  <c:v>2.9</c:v>
                </c:pt>
                <c:pt idx="145">
                  <c:v>1.9</c:v>
                </c:pt>
                <c:pt idx="146">
                  <c:v>2.66</c:v>
                </c:pt>
                <c:pt idx="147">
                  <c:v>1.66</c:v>
                </c:pt>
                <c:pt idx="148">
                  <c:v>1.96</c:v>
                </c:pt>
                <c:pt idx="149">
                  <c:v>2.04</c:v>
                </c:pt>
                <c:pt idx="150">
                  <c:v>1.32</c:v>
                </c:pt>
                <c:pt idx="151">
                  <c:v>1.06</c:v>
                </c:pt>
                <c:pt idx="152">
                  <c:v>1.26</c:v>
                </c:pt>
                <c:pt idx="153">
                  <c:v>2.34</c:v>
                </c:pt>
                <c:pt idx="154">
                  <c:v>6.76</c:v>
                </c:pt>
                <c:pt idx="155">
                  <c:v>4.16</c:v>
                </c:pt>
                <c:pt idx="156">
                  <c:v>2.02</c:v>
                </c:pt>
                <c:pt idx="157">
                  <c:v>6.3</c:v>
                </c:pt>
                <c:pt idx="158">
                  <c:v>7.56</c:v>
                </c:pt>
                <c:pt idx="159">
                  <c:v>4.0199999999999996</c:v>
                </c:pt>
                <c:pt idx="160">
                  <c:v>6.68</c:v>
                </c:pt>
                <c:pt idx="161">
                  <c:v>5.14</c:v>
                </c:pt>
                <c:pt idx="162">
                  <c:v>5.14</c:v>
                </c:pt>
                <c:pt idx="163">
                  <c:v>3.7</c:v>
                </c:pt>
                <c:pt idx="164">
                  <c:v>13.42</c:v>
                </c:pt>
                <c:pt idx="165">
                  <c:v>4.3600000000000003</c:v>
                </c:pt>
                <c:pt idx="166">
                  <c:v>5.16</c:v>
                </c:pt>
                <c:pt idx="167">
                  <c:v>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3-49E8-A1CB-4B3DDA71E0AC}"/>
            </c:ext>
          </c:extLst>
        </c:ser>
        <c:ser>
          <c:idx val="0"/>
          <c:order val="1"/>
          <c:tx>
            <c:strRef>
              <c:f>Graphs!$B$5</c:f>
              <c:strCache>
                <c:ptCount val="1"/>
                <c:pt idx="0">
                  <c:v>Load A+B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Graphs!$A$6:$A$173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Graphs!$B$6:$B$173</c:f>
              <c:numCache>
                <c:formatCode>General</c:formatCode>
                <c:ptCount val="168"/>
                <c:pt idx="0">
                  <c:v>5.34</c:v>
                </c:pt>
                <c:pt idx="1">
                  <c:v>3.6970000000000001</c:v>
                </c:pt>
                <c:pt idx="2">
                  <c:v>5.4369999999999994</c:v>
                </c:pt>
                <c:pt idx="3">
                  <c:v>6.6880000000000006</c:v>
                </c:pt>
                <c:pt idx="4">
                  <c:v>6.7219999999999995</c:v>
                </c:pt>
                <c:pt idx="5">
                  <c:v>6.48</c:v>
                </c:pt>
                <c:pt idx="6">
                  <c:v>4.7880000000000003</c:v>
                </c:pt>
                <c:pt idx="7">
                  <c:v>4.0609999999999999</c:v>
                </c:pt>
                <c:pt idx="8">
                  <c:v>4.0469999999999997</c:v>
                </c:pt>
                <c:pt idx="9">
                  <c:v>12.323</c:v>
                </c:pt>
                <c:pt idx="10">
                  <c:v>13.064</c:v>
                </c:pt>
                <c:pt idx="11">
                  <c:v>16.937000000000001</c:v>
                </c:pt>
                <c:pt idx="12">
                  <c:v>9.3170000000000002</c:v>
                </c:pt>
                <c:pt idx="13">
                  <c:v>13.437999999999999</c:v>
                </c:pt>
                <c:pt idx="14">
                  <c:v>18.651</c:v>
                </c:pt>
                <c:pt idx="15">
                  <c:v>8.4860000000000007</c:v>
                </c:pt>
                <c:pt idx="16">
                  <c:v>14.551</c:v>
                </c:pt>
                <c:pt idx="17">
                  <c:v>12.445</c:v>
                </c:pt>
                <c:pt idx="18">
                  <c:v>15.521000000000001</c:v>
                </c:pt>
                <c:pt idx="19">
                  <c:v>9.0039999999999996</c:v>
                </c:pt>
                <c:pt idx="20">
                  <c:v>25.151</c:v>
                </c:pt>
                <c:pt idx="21">
                  <c:v>25.984999999999999</c:v>
                </c:pt>
                <c:pt idx="22">
                  <c:v>8.2759999999999998</c:v>
                </c:pt>
                <c:pt idx="23">
                  <c:v>7.6020000000000003</c:v>
                </c:pt>
                <c:pt idx="24">
                  <c:v>6.6859999999999999</c:v>
                </c:pt>
                <c:pt idx="25">
                  <c:v>3.89</c:v>
                </c:pt>
                <c:pt idx="26">
                  <c:v>1.649</c:v>
                </c:pt>
                <c:pt idx="27">
                  <c:v>5.4889999999999999</c:v>
                </c:pt>
                <c:pt idx="28">
                  <c:v>3.1379999999999999</c:v>
                </c:pt>
                <c:pt idx="29">
                  <c:v>3.62</c:v>
                </c:pt>
                <c:pt idx="30">
                  <c:v>3.0390000000000001</c:v>
                </c:pt>
                <c:pt idx="31">
                  <c:v>3.2569999999999997</c:v>
                </c:pt>
                <c:pt idx="32">
                  <c:v>3.1070000000000002</c:v>
                </c:pt>
                <c:pt idx="33">
                  <c:v>8.2560000000000002</c:v>
                </c:pt>
                <c:pt idx="34">
                  <c:v>8.4329999999999998</c:v>
                </c:pt>
                <c:pt idx="35">
                  <c:v>9.6980000000000004</c:v>
                </c:pt>
                <c:pt idx="36">
                  <c:v>7.1709999999999994</c:v>
                </c:pt>
                <c:pt idx="37">
                  <c:v>13.058999999999999</c:v>
                </c:pt>
                <c:pt idx="38">
                  <c:v>19.658999999999999</c:v>
                </c:pt>
                <c:pt idx="39">
                  <c:v>11.02</c:v>
                </c:pt>
                <c:pt idx="40">
                  <c:v>12.731999999999999</c:v>
                </c:pt>
                <c:pt idx="41">
                  <c:v>15.163</c:v>
                </c:pt>
                <c:pt idx="42">
                  <c:v>8.5949999999999989</c:v>
                </c:pt>
                <c:pt idx="43">
                  <c:v>6.4190000000000005</c:v>
                </c:pt>
                <c:pt idx="44">
                  <c:v>18.837</c:v>
                </c:pt>
                <c:pt idx="45">
                  <c:v>12.815000000000001</c:v>
                </c:pt>
                <c:pt idx="46">
                  <c:v>6.157</c:v>
                </c:pt>
                <c:pt idx="47">
                  <c:v>7.8</c:v>
                </c:pt>
                <c:pt idx="48">
                  <c:v>7.4250000000000007</c:v>
                </c:pt>
                <c:pt idx="49">
                  <c:v>3.8970000000000002</c:v>
                </c:pt>
                <c:pt idx="50">
                  <c:v>4.1590000000000007</c:v>
                </c:pt>
                <c:pt idx="51">
                  <c:v>6.0329999999999995</c:v>
                </c:pt>
                <c:pt idx="52">
                  <c:v>5.3309999999999995</c:v>
                </c:pt>
                <c:pt idx="53">
                  <c:v>6.1620000000000008</c:v>
                </c:pt>
                <c:pt idx="54">
                  <c:v>4.6669999999999998</c:v>
                </c:pt>
                <c:pt idx="55">
                  <c:v>3.0510000000000002</c:v>
                </c:pt>
                <c:pt idx="56">
                  <c:v>4.0840000000000005</c:v>
                </c:pt>
                <c:pt idx="57">
                  <c:v>11.42</c:v>
                </c:pt>
                <c:pt idx="58">
                  <c:v>13.649000000000001</c:v>
                </c:pt>
                <c:pt idx="59">
                  <c:v>18.292999999999999</c:v>
                </c:pt>
                <c:pt idx="60">
                  <c:v>7.2679999999999998</c:v>
                </c:pt>
                <c:pt idx="61">
                  <c:v>12.077999999999999</c:v>
                </c:pt>
                <c:pt idx="62">
                  <c:v>17.155999999999999</c:v>
                </c:pt>
                <c:pt idx="63">
                  <c:v>15.552</c:v>
                </c:pt>
                <c:pt idx="64">
                  <c:v>14.882999999999999</c:v>
                </c:pt>
                <c:pt idx="65">
                  <c:v>21.795999999999999</c:v>
                </c:pt>
                <c:pt idx="66">
                  <c:v>16.169</c:v>
                </c:pt>
                <c:pt idx="67">
                  <c:v>6.0460000000000003</c:v>
                </c:pt>
                <c:pt idx="68">
                  <c:v>22.764000000000003</c:v>
                </c:pt>
                <c:pt idx="69">
                  <c:v>22.970999999999997</c:v>
                </c:pt>
                <c:pt idx="70">
                  <c:v>12.862</c:v>
                </c:pt>
                <c:pt idx="71">
                  <c:v>9.27</c:v>
                </c:pt>
                <c:pt idx="72">
                  <c:v>5.77</c:v>
                </c:pt>
                <c:pt idx="73">
                  <c:v>5.827</c:v>
                </c:pt>
                <c:pt idx="74">
                  <c:v>5.516</c:v>
                </c:pt>
                <c:pt idx="75">
                  <c:v>3.9329999999999998</c:v>
                </c:pt>
                <c:pt idx="76">
                  <c:v>3.5209999999999999</c:v>
                </c:pt>
                <c:pt idx="77">
                  <c:v>4.4420000000000002</c:v>
                </c:pt>
                <c:pt idx="78">
                  <c:v>5.0969999999999995</c:v>
                </c:pt>
                <c:pt idx="79">
                  <c:v>2.8209999999999997</c:v>
                </c:pt>
                <c:pt idx="80">
                  <c:v>3.1019999999999999</c:v>
                </c:pt>
                <c:pt idx="81">
                  <c:v>7.5139999999999993</c:v>
                </c:pt>
                <c:pt idx="82">
                  <c:v>18.753</c:v>
                </c:pt>
                <c:pt idx="83">
                  <c:v>14.058</c:v>
                </c:pt>
                <c:pt idx="84">
                  <c:v>6.5529999999999999</c:v>
                </c:pt>
                <c:pt idx="85">
                  <c:v>11.875</c:v>
                </c:pt>
                <c:pt idx="86">
                  <c:v>19.46</c:v>
                </c:pt>
                <c:pt idx="87">
                  <c:v>11.725999999999999</c:v>
                </c:pt>
                <c:pt idx="88">
                  <c:v>8.4529999999999994</c:v>
                </c:pt>
                <c:pt idx="89">
                  <c:v>12.605</c:v>
                </c:pt>
                <c:pt idx="90">
                  <c:v>16.503</c:v>
                </c:pt>
                <c:pt idx="91">
                  <c:v>8.0090000000000003</c:v>
                </c:pt>
                <c:pt idx="92">
                  <c:v>17.492000000000001</c:v>
                </c:pt>
                <c:pt idx="93">
                  <c:v>21.141000000000002</c:v>
                </c:pt>
                <c:pt idx="94">
                  <c:v>9.9290000000000003</c:v>
                </c:pt>
                <c:pt idx="95">
                  <c:v>8.3520000000000003</c:v>
                </c:pt>
                <c:pt idx="96">
                  <c:v>4.7370000000000001</c:v>
                </c:pt>
                <c:pt idx="97">
                  <c:v>4.2840000000000007</c:v>
                </c:pt>
                <c:pt idx="98">
                  <c:v>3.9359999999999999</c:v>
                </c:pt>
                <c:pt idx="99">
                  <c:v>5.92</c:v>
                </c:pt>
                <c:pt idx="100">
                  <c:v>3.673</c:v>
                </c:pt>
                <c:pt idx="101">
                  <c:v>5.5869999999999997</c:v>
                </c:pt>
                <c:pt idx="102">
                  <c:v>3.7050000000000001</c:v>
                </c:pt>
                <c:pt idx="103">
                  <c:v>2.3360000000000003</c:v>
                </c:pt>
                <c:pt idx="104">
                  <c:v>3.6339999999999999</c:v>
                </c:pt>
                <c:pt idx="105">
                  <c:v>9.3680000000000003</c:v>
                </c:pt>
                <c:pt idx="106">
                  <c:v>11.446</c:v>
                </c:pt>
                <c:pt idx="107">
                  <c:v>10.148</c:v>
                </c:pt>
                <c:pt idx="108">
                  <c:v>4.3600000000000003</c:v>
                </c:pt>
                <c:pt idx="109">
                  <c:v>13.729000000000001</c:v>
                </c:pt>
                <c:pt idx="110">
                  <c:v>12.83</c:v>
                </c:pt>
                <c:pt idx="111">
                  <c:v>17.301000000000002</c:v>
                </c:pt>
                <c:pt idx="112">
                  <c:v>8.2769999999999992</c:v>
                </c:pt>
                <c:pt idx="113">
                  <c:v>12.975999999999999</c:v>
                </c:pt>
                <c:pt idx="114">
                  <c:v>11.073</c:v>
                </c:pt>
                <c:pt idx="115">
                  <c:v>6.9450000000000003</c:v>
                </c:pt>
                <c:pt idx="116">
                  <c:v>17.516000000000002</c:v>
                </c:pt>
                <c:pt idx="117">
                  <c:v>12.48</c:v>
                </c:pt>
                <c:pt idx="118">
                  <c:v>8.4380000000000006</c:v>
                </c:pt>
                <c:pt idx="119">
                  <c:v>7.6029999999999998</c:v>
                </c:pt>
                <c:pt idx="120">
                  <c:v>7.0519999999999996</c:v>
                </c:pt>
                <c:pt idx="121">
                  <c:v>4.24</c:v>
                </c:pt>
                <c:pt idx="122">
                  <c:v>4.6579999999999995</c:v>
                </c:pt>
                <c:pt idx="123">
                  <c:v>3.468</c:v>
                </c:pt>
                <c:pt idx="124">
                  <c:v>6.0969999999999995</c:v>
                </c:pt>
                <c:pt idx="125">
                  <c:v>5.2840000000000007</c:v>
                </c:pt>
                <c:pt idx="126">
                  <c:v>5.0169999999999995</c:v>
                </c:pt>
                <c:pt idx="127">
                  <c:v>3.0949999999999998</c:v>
                </c:pt>
                <c:pt idx="128">
                  <c:v>2.62</c:v>
                </c:pt>
                <c:pt idx="129">
                  <c:v>7.3319999999999999</c:v>
                </c:pt>
                <c:pt idx="130">
                  <c:v>12.55</c:v>
                </c:pt>
                <c:pt idx="131">
                  <c:v>9.3879999999999999</c:v>
                </c:pt>
                <c:pt idx="132">
                  <c:v>4.766</c:v>
                </c:pt>
                <c:pt idx="133">
                  <c:v>12.054</c:v>
                </c:pt>
                <c:pt idx="134">
                  <c:v>14.384</c:v>
                </c:pt>
                <c:pt idx="135">
                  <c:v>15.272</c:v>
                </c:pt>
                <c:pt idx="136">
                  <c:v>11.612</c:v>
                </c:pt>
                <c:pt idx="137">
                  <c:v>14.047000000000001</c:v>
                </c:pt>
                <c:pt idx="138">
                  <c:v>9.2360000000000007</c:v>
                </c:pt>
                <c:pt idx="139">
                  <c:v>7.4180000000000001</c:v>
                </c:pt>
                <c:pt idx="140">
                  <c:v>16.143000000000001</c:v>
                </c:pt>
                <c:pt idx="141">
                  <c:v>14.757000000000001</c:v>
                </c:pt>
                <c:pt idx="142">
                  <c:v>9.7159999999999993</c:v>
                </c:pt>
                <c:pt idx="143">
                  <c:v>6.5419999999999998</c:v>
                </c:pt>
                <c:pt idx="144">
                  <c:v>4.4239999999999995</c:v>
                </c:pt>
                <c:pt idx="145">
                  <c:v>3.6639999999999997</c:v>
                </c:pt>
                <c:pt idx="146">
                  <c:v>5.1260000000000003</c:v>
                </c:pt>
                <c:pt idx="147">
                  <c:v>3.2009999999999996</c:v>
                </c:pt>
                <c:pt idx="148">
                  <c:v>3.794</c:v>
                </c:pt>
                <c:pt idx="149">
                  <c:v>3.927</c:v>
                </c:pt>
                <c:pt idx="150">
                  <c:v>2.548</c:v>
                </c:pt>
                <c:pt idx="151">
                  <c:v>2.3529999999999998</c:v>
                </c:pt>
                <c:pt idx="152">
                  <c:v>2.8079999999999998</c:v>
                </c:pt>
                <c:pt idx="153">
                  <c:v>7.2389999999999999</c:v>
                </c:pt>
                <c:pt idx="154">
                  <c:v>14.062999999999999</c:v>
                </c:pt>
                <c:pt idx="155">
                  <c:v>8.6490000000000009</c:v>
                </c:pt>
                <c:pt idx="156">
                  <c:v>2.4050000000000002</c:v>
                </c:pt>
                <c:pt idx="157">
                  <c:v>7.032</c:v>
                </c:pt>
                <c:pt idx="158">
                  <c:v>12.308</c:v>
                </c:pt>
                <c:pt idx="159">
                  <c:v>8.3640000000000008</c:v>
                </c:pt>
                <c:pt idx="160">
                  <c:v>13.899000000000001</c:v>
                </c:pt>
                <c:pt idx="161">
                  <c:v>9.8359999999999985</c:v>
                </c:pt>
                <c:pt idx="162">
                  <c:v>7.2430000000000003</c:v>
                </c:pt>
                <c:pt idx="163">
                  <c:v>6.1539999999999999</c:v>
                </c:pt>
                <c:pt idx="164">
                  <c:v>15.859</c:v>
                </c:pt>
                <c:pt idx="165">
                  <c:v>4.867</c:v>
                </c:pt>
                <c:pt idx="166">
                  <c:v>6.758</c:v>
                </c:pt>
                <c:pt idx="167">
                  <c:v>5.0419999999999998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6-48D5-AA6D-76AD418CA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157776"/>
        <c:axId val="251155856"/>
        <c:extLst/>
      </c:lineChart>
      <c:catAx>
        <c:axId val="2511577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55856"/>
        <c:crosses val="autoZero"/>
        <c:auto val="1"/>
        <c:lblAlgn val="ctr"/>
        <c:lblOffset val="100"/>
        <c:noMultiLvlLbl val="1"/>
      </c:catAx>
      <c:valAx>
        <c:axId val="2511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5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'Welfare Calc'!$C$9</c:f>
              <c:strCache>
                <c:ptCount val="1"/>
                <c:pt idx="0">
                  <c:v>Net Revenues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'Welfare Calc'!$C$10:$C$57</c:f>
              <c:numCache>
                <c:formatCode>0.00</c:formatCode>
                <c:ptCount val="48"/>
                <c:pt idx="0">
                  <c:v>2.0076000000000001</c:v>
                </c:pt>
                <c:pt idx="1">
                  <c:v>1.20878</c:v>
                </c:pt>
                <c:pt idx="2">
                  <c:v>1.7763800000000001</c:v>
                </c:pt>
                <c:pt idx="3">
                  <c:v>2.1819199999999999</c:v>
                </c:pt>
                <c:pt idx="4">
                  <c:v>2.1938800000000001</c:v>
                </c:pt>
                <c:pt idx="5">
                  <c:v>2.1168</c:v>
                </c:pt>
                <c:pt idx="6">
                  <c:v>1.5631200000000001</c:v>
                </c:pt>
                <c:pt idx="7">
                  <c:v>1.2309400000000001</c:v>
                </c:pt>
                <c:pt idx="8">
                  <c:v>1.2217800000000001</c:v>
                </c:pt>
                <c:pt idx="9">
                  <c:v>3.1652200000000001</c:v>
                </c:pt>
                <c:pt idx="10">
                  <c:v>4.0897600000000001</c:v>
                </c:pt>
                <c:pt idx="11">
                  <c:v>5.3015800000000004</c:v>
                </c:pt>
                <c:pt idx="12">
                  <c:v>4.5177700000000005</c:v>
                </c:pt>
                <c:pt idx="13">
                  <c:v>6.7112799999999995</c:v>
                </c:pt>
                <c:pt idx="14">
                  <c:v>6.7367400000000002</c:v>
                </c:pt>
                <c:pt idx="15">
                  <c:v>2.7962445161021705</c:v>
                </c:pt>
                <c:pt idx="16">
                  <c:v>4.5571400000000004</c:v>
                </c:pt>
                <c:pt idx="17">
                  <c:v>4.0823</c:v>
                </c:pt>
                <c:pt idx="18">
                  <c:v>5.51</c:v>
                </c:pt>
                <c:pt idx="19">
                  <c:v>2.71</c:v>
                </c:pt>
                <c:pt idx="20">
                  <c:v>10.64</c:v>
                </c:pt>
                <c:pt idx="21">
                  <c:v>11.64</c:v>
                </c:pt>
                <c:pt idx="22">
                  <c:v>3.16</c:v>
                </c:pt>
                <c:pt idx="23">
                  <c:v>2.73</c:v>
                </c:pt>
                <c:pt idx="24">
                  <c:v>2.5128399999999997</c:v>
                </c:pt>
                <c:pt idx="25">
                  <c:v>1.2718</c:v>
                </c:pt>
                <c:pt idx="26">
                  <c:v>0.54046000000000005</c:v>
                </c:pt>
                <c:pt idx="27">
                  <c:v>1.7908599999999999</c:v>
                </c:pt>
                <c:pt idx="28">
                  <c:v>1.0225200000000001</c:v>
                </c:pt>
                <c:pt idx="29">
                  <c:v>1.1836</c:v>
                </c:pt>
                <c:pt idx="30">
                  <c:v>4.1091900000584998</c:v>
                </c:pt>
                <c:pt idx="31">
                  <c:v>1.3448297647873741</c:v>
                </c:pt>
                <c:pt idx="32">
                  <c:v>1.9128699999999998</c:v>
                </c:pt>
                <c:pt idx="33">
                  <c:v>3.1416599999999999</c:v>
                </c:pt>
                <c:pt idx="34">
                  <c:v>5.4459300000000006</c:v>
                </c:pt>
                <c:pt idx="35">
                  <c:v>5.6745800000000006</c:v>
                </c:pt>
                <c:pt idx="36">
                  <c:v>6.1389100000000001</c:v>
                </c:pt>
                <c:pt idx="37">
                  <c:v>6.04026</c:v>
                </c:pt>
                <c:pt idx="38">
                  <c:v>7.1010600000000004</c:v>
                </c:pt>
                <c:pt idx="39">
                  <c:v>3.4508000000000001</c:v>
                </c:pt>
                <c:pt idx="40">
                  <c:v>3.9856800000000003</c:v>
                </c:pt>
                <c:pt idx="41">
                  <c:v>4.9740200000000003</c:v>
                </c:pt>
                <c:pt idx="42">
                  <c:v>3.3992999999999998</c:v>
                </c:pt>
                <c:pt idx="43">
                  <c:v>2.2882600000000002</c:v>
                </c:pt>
                <c:pt idx="44">
                  <c:v>8.3755799999999994</c:v>
                </c:pt>
                <c:pt idx="45">
                  <c:v>5.9268999999999998</c:v>
                </c:pt>
                <c:pt idx="46">
                  <c:v>2.5539800000000001</c:v>
                </c:pt>
                <c:pt idx="47">
                  <c:v>3.1079999999999997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D-4F83-B4B1-FB380A1C2738}"/>
            </c:ext>
          </c:extLst>
        </c:ser>
        <c:ser>
          <c:idx val="2"/>
          <c:order val="2"/>
          <c:tx>
            <c:strRef>
              <c:f>'Welfare Calc'!$D$9</c:f>
              <c:strCache>
                <c:ptCount val="1"/>
                <c:pt idx="0">
                  <c:v>OPEX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'Welfare Calc'!$D$10:$D$57</c:f>
              <c:numCache>
                <c:formatCode>0.00</c:formatCode>
                <c:ptCount val="48"/>
                <c:pt idx="0">
                  <c:v>-0.53399999995500003</c:v>
                </c:pt>
                <c:pt idx="1">
                  <c:v>-0.36969999995500002</c:v>
                </c:pt>
                <c:pt idx="2">
                  <c:v>-0.63317400068307539</c:v>
                </c:pt>
                <c:pt idx="3">
                  <c:v>-2.5000654104640017</c:v>
                </c:pt>
                <c:pt idx="4">
                  <c:v>-2.5000652890160016</c:v>
                </c:pt>
                <c:pt idx="5">
                  <c:v>-2.5000661534400015</c:v>
                </c:pt>
                <c:pt idx="6">
                  <c:v>-0.71819999993250005</c:v>
                </c:pt>
                <c:pt idx="7">
                  <c:v>-0.32865373999999992</c:v>
                </c:pt>
                <c:pt idx="8">
                  <c:v>-5.8057319999999933E-2</c:v>
                </c:pt>
                <c:pt idx="9">
                  <c:v>-1.2484580000000001</c:v>
                </c:pt>
                <c:pt idx="10">
                  <c:v>-1.14511086</c:v>
                </c:pt>
                <c:pt idx="11">
                  <c:v>-0.46907762000000008</c:v>
                </c:pt>
                <c:pt idx="12">
                  <c:v>-2.476E-5</c:v>
                </c:pt>
                <c:pt idx="13">
                  <c:v>-3.4499999999999998E-5</c:v>
                </c:pt>
                <c:pt idx="14">
                  <c:v>-0.44268140000000006</c:v>
                </c:pt>
                <c:pt idx="15">
                  <c:v>-1.9460240834484967E-5</c:v>
                </c:pt>
                <c:pt idx="16">
                  <c:v>-0.69466983999999998</c:v>
                </c:pt>
                <c:pt idx="17">
                  <c:v>-1.2731387132076286</c:v>
                </c:pt>
                <c:pt idx="18">
                  <c:v>-4.3942222222222232E-5</c:v>
                </c:pt>
                <c:pt idx="19">
                  <c:v>-2.4088888886888886E-5</c:v>
                </c:pt>
                <c:pt idx="20">
                  <c:v>-9.4577777775777783E-5</c:v>
                </c:pt>
                <c:pt idx="21">
                  <c:v>-2.7954488200027274</c:v>
                </c:pt>
                <c:pt idx="22">
                  <c:v>-2.8088888886888888E-5</c:v>
                </c:pt>
                <c:pt idx="23">
                  <c:v>-2.4266666664666669E-5</c:v>
                </c:pt>
                <c:pt idx="24">
                  <c:v>-0.66878813657421576</c:v>
                </c:pt>
                <c:pt idx="25">
                  <c:v>-0.3891881365742158</c:v>
                </c:pt>
                <c:pt idx="26">
                  <c:v>-1.7292504928794057</c:v>
                </c:pt>
                <c:pt idx="27">
                  <c:v>-2.5000696932920015</c:v>
                </c:pt>
                <c:pt idx="28">
                  <c:v>-2.5000780910640015</c:v>
                </c:pt>
                <c:pt idx="29">
                  <c:v>-2.5000763693600017</c:v>
                </c:pt>
                <c:pt idx="30">
                  <c:v>-1.1999999999999999E-4</c:v>
                </c:pt>
                <c:pt idx="31">
                  <c:v>-1.452375264230339E-5</c:v>
                </c:pt>
                <c:pt idx="32">
                  <c:v>-1.4439999999999999E-5</c:v>
                </c:pt>
                <c:pt idx="33">
                  <c:v>-3.222E-5</c:v>
                </c:pt>
                <c:pt idx="34">
                  <c:v>-6.0039999999999994E-5</c:v>
                </c:pt>
                <c:pt idx="35">
                  <c:v>-6.9679999999999997E-5</c:v>
                </c:pt>
                <c:pt idx="36">
                  <c:v>-6.19E-5</c:v>
                </c:pt>
                <c:pt idx="37">
                  <c:v>-9.4714892000000002E-5</c:v>
                </c:pt>
                <c:pt idx="38">
                  <c:v>-5.4925172000000011E-5</c:v>
                </c:pt>
                <c:pt idx="39">
                  <c:v>-8.8569680000000005E-5</c:v>
                </c:pt>
                <c:pt idx="40">
                  <c:v>-2.7180175999999995E-5</c:v>
                </c:pt>
                <c:pt idx="41">
                  <c:v>-4.6637777777777778E-5</c:v>
                </c:pt>
                <c:pt idx="42">
                  <c:v>-3.181999999999999E-5</c:v>
                </c:pt>
                <c:pt idx="43">
                  <c:v>-2.8528888886044447E-5</c:v>
                </c:pt>
                <c:pt idx="44">
                  <c:v>-8.3719999997155546E-5</c:v>
                </c:pt>
                <c:pt idx="45">
                  <c:v>-5.6955555552711113E-5</c:v>
                </c:pt>
                <c:pt idx="46">
                  <c:v>-2.7364444441599999E-5</c:v>
                </c:pt>
                <c:pt idx="47">
                  <c:v>-0.78018813655521579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DD-4F83-B4B1-FB380A1C2738}"/>
            </c:ext>
          </c:extLst>
        </c:ser>
        <c:ser>
          <c:idx val="3"/>
          <c:order val="3"/>
          <c:tx>
            <c:strRef>
              <c:f>'Welfare Calc'!$E$9</c:f>
              <c:strCache>
                <c:ptCount val="1"/>
                <c:pt idx="0">
                  <c:v>Net Benefit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'Welfare Calc'!$E$10:$E$57</c:f>
              <c:numCache>
                <c:formatCode>0.00</c:formatCode>
                <c:ptCount val="48"/>
                <c:pt idx="0">
                  <c:v>1.473600000045</c:v>
                </c:pt>
                <c:pt idx="1">
                  <c:v>0.83908000004499994</c:v>
                </c:pt>
                <c:pt idx="2">
                  <c:v>1.1432059993169248</c:v>
                </c:pt>
                <c:pt idx="3">
                  <c:v>-0.3181454104640018</c:v>
                </c:pt>
                <c:pt idx="4">
                  <c:v>-0.30618528901600151</c:v>
                </c:pt>
                <c:pt idx="5">
                  <c:v>-0.38326615344000148</c:v>
                </c:pt>
                <c:pt idx="6">
                  <c:v>0.84492000006750001</c:v>
                </c:pt>
                <c:pt idx="7">
                  <c:v>0.90228626000000023</c:v>
                </c:pt>
                <c:pt idx="8">
                  <c:v>1.1637226800000002</c:v>
                </c:pt>
                <c:pt idx="9">
                  <c:v>1.9167620000000001</c:v>
                </c:pt>
                <c:pt idx="10">
                  <c:v>2.9446491400000001</c:v>
                </c:pt>
                <c:pt idx="11">
                  <c:v>4.8325023800000002</c:v>
                </c:pt>
                <c:pt idx="12">
                  <c:v>4.5177452400000009</c:v>
                </c:pt>
                <c:pt idx="13">
                  <c:v>6.7112454999999995</c:v>
                </c:pt>
                <c:pt idx="14">
                  <c:v>6.2940586000000005</c:v>
                </c:pt>
                <c:pt idx="15">
                  <c:v>2.7962250558613362</c:v>
                </c:pt>
                <c:pt idx="16">
                  <c:v>3.8624701600000004</c:v>
                </c:pt>
                <c:pt idx="17">
                  <c:v>2.8091612867923716</c:v>
                </c:pt>
                <c:pt idx="18">
                  <c:v>5.509956057777778</c:v>
                </c:pt>
                <c:pt idx="19">
                  <c:v>2.7099759111111132</c:v>
                </c:pt>
                <c:pt idx="20">
                  <c:v>10.639905422222224</c:v>
                </c:pt>
                <c:pt idx="21">
                  <c:v>8.8445511799972731</c:v>
                </c:pt>
                <c:pt idx="22">
                  <c:v>3.1599719111111133</c:v>
                </c:pt>
                <c:pt idx="23">
                  <c:v>2.7299757333333354</c:v>
                </c:pt>
                <c:pt idx="24">
                  <c:v>1.8440518634257841</c:v>
                </c:pt>
                <c:pt idx="25">
                  <c:v>0.88261186342578424</c:v>
                </c:pt>
                <c:pt idx="26">
                  <c:v>-1.1887904928794057</c:v>
                </c:pt>
                <c:pt idx="27">
                  <c:v>-0.70920969329200156</c:v>
                </c:pt>
                <c:pt idx="28">
                  <c:v>-1.4775580910640014</c:v>
                </c:pt>
                <c:pt idx="29">
                  <c:v>-1.3164763693600017</c:v>
                </c:pt>
                <c:pt idx="30">
                  <c:v>4.1090700000584999</c:v>
                </c:pt>
                <c:pt idx="31">
                  <c:v>1.3448152410347318</c:v>
                </c:pt>
                <c:pt idx="32">
                  <c:v>1.9128555599999999</c:v>
                </c:pt>
                <c:pt idx="33">
                  <c:v>3.1416277799999999</c:v>
                </c:pt>
                <c:pt idx="34">
                  <c:v>5.4458699600000005</c:v>
                </c:pt>
                <c:pt idx="35">
                  <c:v>5.6745103200000004</c:v>
                </c:pt>
                <c:pt idx="36">
                  <c:v>6.1388480999999997</c:v>
                </c:pt>
                <c:pt idx="37">
                  <c:v>6.0401652851080003</c:v>
                </c:pt>
                <c:pt idx="38">
                  <c:v>7.1010050748280005</c:v>
                </c:pt>
                <c:pt idx="39">
                  <c:v>3.4507114303200002</c:v>
                </c:pt>
                <c:pt idx="40">
                  <c:v>3.9856528198240002</c:v>
                </c:pt>
                <c:pt idx="41">
                  <c:v>4.9739733622222229</c:v>
                </c:pt>
                <c:pt idx="42">
                  <c:v>3.39926818</c:v>
                </c:pt>
                <c:pt idx="43">
                  <c:v>2.2882314711111142</c:v>
                </c:pt>
                <c:pt idx="44">
                  <c:v>8.3754962800000019</c:v>
                </c:pt>
                <c:pt idx="45">
                  <c:v>5.9268430444444471</c:v>
                </c:pt>
                <c:pt idx="46">
                  <c:v>2.5539526355555586</c:v>
                </c:pt>
                <c:pt idx="47">
                  <c:v>2.3278118634447837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DD-4F83-B4B1-FB380A1C2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445984"/>
        <c:axId val="16544476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'Welfare Calc'!$B$9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'Welfare Calc'!$B$10:$B$57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CDD-4F83-B4B1-FB380A1C2738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4"/>
          <c:order val="4"/>
          <c:tx>
            <c:strRef>
              <c:f>'Welfare Calc'!$F$9</c:f>
              <c:strCache>
                <c:ptCount val="1"/>
                <c:pt idx="0">
                  <c:v>Total served Demand 
(incl. Grid export)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'Welfare Calc'!$F$10:$F$57</c:f>
              <c:numCache>
                <c:formatCode>0.00</c:formatCode>
                <c:ptCount val="48"/>
                <c:pt idx="0">
                  <c:v>5.34</c:v>
                </c:pt>
                <c:pt idx="1">
                  <c:v>3.6970000000000001</c:v>
                </c:pt>
                <c:pt idx="2">
                  <c:v>6.2359742871401753</c:v>
                </c:pt>
                <c:pt idx="3">
                  <c:v>23.040616000401847</c:v>
                </c:pt>
                <c:pt idx="4">
                  <c:v>23.04425400040185</c:v>
                </c:pt>
                <c:pt idx="5">
                  <c:v>23.018360000401852</c:v>
                </c:pt>
                <c:pt idx="6">
                  <c:v>4.7880000000000003</c:v>
                </c:pt>
                <c:pt idx="7">
                  <c:v>4.0609999999999999</c:v>
                </c:pt>
                <c:pt idx="8">
                  <c:v>4.0469999999999997</c:v>
                </c:pt>
                <c:pt idx="9">
                  <c:v>12.323</c:v>
                </c:pt>
                <c:pt idx="10">
                  <c:v>13.064</c:v>
                </c:pt>
                <c:pt idx="11">
                  <c:v>16.937000000000001</c:v>
                </c:pt>
                <c:pt idx="12">
                  <c:v>12.38</c:v>
                </c:pt>
                <c:pt idx="13">
                  <c:v>17.25</c:v>
                </c:pt>
                <c:pt idx="14">
                  <c:v>18.651</c:v>
                </c:pt>
                <c:pt idx="15">
                  <c:v>9.6134026401764014</c:v>
                </c:pt>
                <c:pt idx="16">
                  <c:v>14.551</c:v>
                </c:pt>
                <c:pt idx="17">
                  <c:v>12.456196603200972</c:v>
                </c:pt>
                <c:pt idx="18">
                  <c:v>11.02</c:v>
                </c:pt>
                <c:pt idx="19">
                  <c:v>5.42</c:v>
                </c:pt>
                <c:pt idx="20">
                  <c:v>21.28</c:v>
                </c:pt>
                <c:pt idx="21">
                  <c:v>23.28</c:v>
                </c:pt>
                <c:pt idx="22">
                  <c:v>6.32</c:v>
                </c:pt>
                <c:pt idx="23">
                  <c:v>5.46</c:v>
                </c:pt>
                <c:pt idx="24">
                  <c:v>6.6876799999999967</c:v>
                </c:pt>
                <c:pt idx="25">
                  <c:v>3.8916799999999969</c:v>
                </c:pt>
                <c:pt idx="26">
                  <c:v>15.618150923743944</c:v>
                </c:pt>
                <c:pt idx="27">
                  <c:v>22.912323000401852</c:v>
                </c:pt>
                <c:pt idx="28">
                  <c:v>22.66076600040185</c:v>
                </c:pt>
                <c:pt idx="29">
                  <c:v>22.712340000401852</c:v>
                </c:pt>
                <c:pt idx="30">
                  <c:v>27.000000000450001</c:v>
                </c:pt>
                <c:pt idx="31">
                  <c:v>5.9958443445182628</c:v>
                </c:pt>
                <c:pt idx="32">
                  <c:v>7.22</c:v>
                </c:pt>
                <c:pt idx="33">
                  <c:v>16.11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24.052723</c:v>
                </c:pt>
                <c:pt idx="38">
                  <c:v>22.160293000000003</c:v>
                </c:pt>
                <c:pt idx="39">
                  <c:v>21.68242</c:v>
                </c:pt>
                <c:pt idx="40">
                  <c:v>13.007043999999999</c:v>
                </c:pt>
                <c:pt idx="41">
                  <c:v>15.163</c:v>
                </c:pt>
                <c:pt idx="42">
                  <c:v>8.5949999999999989</c:v>
                </c:pt>
                <c:pt idx="43">
                  <c:v>6.4190000000000005</c:v>
                </c:pt>
                <c:pt idx="44">
                  <c:v>18.837</c:v>
                </c:pt>
                <c:pt idx="45">
                  <c:v>12.815000000000001</c:v>
                </c:pt>
                <c:pt idx="46">
                  <c:v>6.157</c:v>
                </c:pt>
                <c:pt idx="47">
                  <c:v>7.8016799999999966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DD-4F83-B4B1-FB380A1C2738}"/>
            </c:ext>
          </c:extLst>
        </c:ser>
        <c:ser>
          <c:idx val="5"/>
          <c:order val="5"/>
          <c:tx>
            <c:strRef>
              <c:f>'Welfare Calc'!$G$9</c:f>
              <c:strCache>
                <c:ptCount val="1"/>
                <c:pt idx="0">
                  <c:v>Total Supply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'Welfare Calc'!$G$10:$G$57</c:f>
              <c:numCache>
                <c:formatCode>0.00</c:formatCode>
                <c:ptCount val="48"/>
                <c:pt idx="0">
                  <c:v>5.3399999995499998</c:v>
                </c:pt>
                <c:pt idx="1">
                  <c:v>3.69699999955</c:v>
                </c:pt>
                <c:pt idx="2">
                  <c:v>6.3317080478592676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4.7879999995500002</c:v>
                </c:pt>
                <c:pt idx="7">
                  <c:v>4.0609999999999999</c:v>
                </c:pt>
                <c:pt idx="8">
                  <c:v>4.0469999999999997</c:v>
                </c:pt>
                <c:pt idx="9">
                  <c:v>12.323</c:v>
                </c:pt>
                <c:pt idx="10">
                  <c:v>13.064</c:v>
                </c:pt>
                <c:pt idx="11">
                  <c:v>16.937000000000001</c:v>
                </c:pt>
                <c:pt idx="12">
                  <c:v>12.38</c:v>
                </c:pt>
                <c:pt idx="13">
                  <c:v>17.25</c:v>
                </c:pt>
                <c:pt idx="14">
                  <c:v>18.651</c:v>
                </c:pt>
                <c:pt idx="15">
                  <c:v>9.6199999999999992</c:v>
                </c:pt>
                <c:pt idx="16">
                  <c:v>14.551</c:v>
                </c:pt>
                <c:pt idx="17">
                  <c:v>12.457538189474773</c:v>
                </c:pt>
                <c:pt idx="18">
                  <c:v>12.015555555555558</c:v>
                </c:pt>
                <c:pt idx="19">
                  <c:v>6.0222222217222221</c:v>
                </c:pt>
                <c:pt idx="20">
                  <c:v>23.644444443944447</c:v>
                </c:pt>
                <c:pt idx="21">
                  <c:v>25.006013057517336</c:v>
                </c:pt>
                <c:pt idx="22">
                  <c:v>7.0222222217222221</c:v>
                </c:pt>
                <c:pt idx="23">
                  <c:v>6.0666666661666673</c:v>
                </c:pt>
                <c:pt idx="24">
                  <c:v>6.6878812985421572</c:v>
                </c:pt>
                <c:pt idx="25">
                  <c:v>3.8918812985421578</c:v>
                </c:pt>
                <c:pt idx="26">
                  <c:v>17.291946162757107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30</c:v>
                </c:pt>
                <c:pt idx="31">
                  <c:v>6.1109381605758477</c:v>
                </c:pt>
                <c:pt idx="32">
                  <c:v>7.22</c:v>
                </c:pt>
                <c:pt idx="33">
                  <c:v>16.11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25.37</c:v>
                </c:pt>
                <c:pt idx="38">
                  <c:v>22.46</c:v>
                </c:pt>
                <c:pt idx="39">
                  <c:v>22.96</c:v>
                </c:pt>
                <c:pt idx="40">
                  <c:v>13.04</c:v>
                </c:pt>
                <c:pt idx="41">
                  <c:v>15.904444444444445</c:v>
                </c:pt>
                <c:pt idx="42">
                  <c:v>9.259999999999998</c:v>
                </c:pt>
                <c:pt idx="43">
                  <c:v>7.1322222215111122</c:v>
                </c:pt>
                <c:pt idx="44">
                  <c:v>20.929999999288889</c:v>
                </c:pt>
                <c:pt idx="45">
                  <c:v>14.23888888817778</c:v>
                </c:pt>
                <c:pt idx="46">
                  <c:v>6.8411111104</c:v>
                </c:pt>
                <c:pt idx="47">
                  <c:v>7.801881298352157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DD-4F83-B4B1-FB380A1C2738}"/>
            </c:ext>
          </c:extLst>
        </c:ser>
        <c:ser>
          <c:idx val="6"/>
          <c:order val="6"/>
          <c:tx>
            <c:strRef>
              <c:f>'Welfare Calc'!$J$9</c:f>
              <c:strCache>
                <c:ptCount val="1"/>
                <c:pt idx="0">
                  <c:v>Total losses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'Welfare Calc'!$J$10:$J$57</c:f>
              <c:numCache>
                <c:formatCode>0.00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9.5733761169091769E-2</c:v>
                </c:pt>
                <c:pt idx="3">
                  <c:v>1.9593840000481528</c:v>
                </c:pt>
                <c:pt idx="4">
                  <c:v>1.9557460000481528</c:v>
                </c:pt>
                <c:pt idx="5">
                  <c:v>1.9816400000481531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6.5973598235978953E-3</c:v>
                </c:pt>
                <c:pt idx="16">
                  <c:v>0</c:v>
                </c:pt>
                <c:pt idx="17">
                  <c:v>1.3415862738006571E-3</c:v>
                </c:pt>
                <c:pt idx="18">
                  <c:v>0.99555555555555553</c:v>
                </c:pt>
                <c:pt idx="19">
                  <c:v>0.6022222221722221</c:v>
                </c:pt>
                <c:pt idx="20">
                  <c:v>2.3644444443944441</c:v>
                </c:pt>
                <c:pt idx="21">
                  <c:v>1.7260130579673369</c:v>
                </c:pt>
                <c:pt idx="22">
                  <c:v>0.70222222217222208</c:v>
                </c:pt>
                <c:pt idx="23">
                  <c:v>0.60666666661666657</c:v>
                </c:pt>
                <c:pt idx="24">
                  <c:v>2.0129899216087051E-4</c:v>
                </c:pt>
                <c:pt idx="25">
                  <c:v>2.0129899216087051E-4</c:v>
                </c:pt>
                <c:pt idx="26">
                  <c:v>1.6737952394631626</c:v>
                </c:pt>
                <c:pt idx="27">
                  <c:v>2.0876770000481533</c:v>
                </c:pt>
                <c:pt idx="28">
                  <c:v>2.3392340000481537</c:v>
                </c:pt>
                <c:pt idx="29">
                  <c:v>2.2876600000481537</c:v>
                </c:pt>
                <c:pt idx="30">
                  <c:v>2.9999999999999991</c:v>
                </c:pt>
                <c:pt idx="31">
                  <c:v>0.11509381605758474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1.317277000000002</c:v>
                </c:pt>
                <c:pt idx="38">
                  <c:v>0.29970700000000094</c:v>
                </c:pt>
                <c:pt idx="39">
                  <c:v>1.2775800000000019</c:v>
                </c:pt>
                <c:pt idx="40">
                  <c:v>3.2955999999999978E-2</c:v>
                </c:pt>
                <c:pt idx="41">
                  <c:v>0.74144444444444435</c:v>
                </c:pt>
                <c:pt idx="42">
                  <c:v>0.6649999999999997</c:v>
                </c:pt>
                <c:pt idx="43">
                  <c:v>0.71322222215111108</c:v>
                </c:pt>
                <c:pt idx="44">
                  <c:v>2.0929999999288884</c:v>
                </c:pt>
                <c:pt idx="45">
                  <c:v>1.4238888888177776</c:v>
                </c:pt>
                <c:pt idx="46">
                  <c:v>0.68411111103999989</c:v>
                </c:pt>
                <c:pt idx="47">
                  <c:v>2.0129899216087051E-4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DD-4F83-B4B1-FB380A1C2738}"/>
            </c:ext>
          </c:extLst>
        </c:ser>
        <c:ser>
          <c:idx val="7"/>
          <c:order val="7"/>
          <c:tx>
            <c:strRef>
              <c:f>'Welfare Calc'!$K$9</c:f>
              <c:strCache>
                <c:ptCount val="1"/>
                <c:pt idx="0">
                  <c:v>Total shortage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'Welfare Calc'!$K$10:$K$57</c:f>
              <c:numCache>
                <c:formatCode>0.00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4.5010000000000003</c:v>
                </c:pt>
                <c:pt idx="19">
                  <c:v>3.5840000000000001</c:v>
                </c:pt>
                <c:pt idx="20">
                  <c:v>3.871</c:v>
                </c:pt>
                <c:pt idx="21">
                  <c:v>2.7050000000000001</c:v>
                </c:pt>
                <c:pt idx="22">
                  <c:v>1.956</c:v>
                </c:pt>
                <c:pt idx="23">
                  <c:v>2.1419999999999999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DD-4F83-B4B1-FB380A1C2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372768"/>
        <c:axId val="1654377344"/>
      </c:barChart>
      <c:catAx>
        <c:axId val="165444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447648"/>
        <c:crosses val="autoZero"/>
        <c:auto val="1"/>
        <c:lblAlgn val="ctr"/>
        <c:lblOffset val="100"/>
        <c:noMultiLvlLbl val="0"/>
      </c:catAx>
      <c:valAx>
        <c:axId val="1654447648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445984"/>
        <c:crosses val="autoZero"/>
        <c:crossBetween val="between"/>
      </c:valAx>
      <c:valAx>
        <c:axId val="1654377344"/>
        <c:scaling>
          <c:orientation val="minMax"/>
          <c:min val="-1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72768"/>
        <c:crosses val="max"/>
        <c:crossBetween val="between"/>
      </c:valAx>
      <c:catAx>
        <c:axId val="1654372768"/>
        <c:scaling>
          <c:orientation val="minMax"/>
        </c:scaling>
        <c:delete val="1"/>
        <c:axPos val="b"/>
        <c:majorTickMark val="out"/>
        <c:minorTickMark val="none"/>
        <c:tickLblPos val="nextTo"/>
        <c:crossAx val="165437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429014554999"/>
          <c:y val="0.18509849315946689"/>
          <c:w val="0.86469924730483072"/>
          <c:h val="0.653592351338249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2D2-4AD8-819A-AE48CC6340B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2D2-4AD8-819A-AE48CC6340B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2D2-4AD8-819A-AE48CC6340B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D2-4AD8-819A-AE48CC6340BA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0F-421A-AC5F-14741C52282D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'Welfare Calc'!$C$5:$K$6</c15:sqref>
                  </c15:fullRef>
                </c:ext>
              </c:extLst>
              <c:f>'Welfare Calc'!$C$5:$K$6</c:f>
              <c:multiLvlStrCache>
                <c:ptCount val="7"/>
                <c:lvl>
                  <c:pt idx="0">
                    <c:v>$</c:v>
                  </c:pt>
                  <c:pt idx="1">
                    <c:v>$</c:v>
                  </c:pt>
                  <c:pt idx="2">
                    <c:v>$</c:v>
                  </c:pt>
                  <c:pt idx="3">
                    <c:v>kWh</c:v>
                  </c:pt>
                  <c:pt idx="4">
                    <c:v>kWh</c:v>
                  </c:pt>
                  <c:pt idx="5">
                    <c:v>kWh</c:v>
                  </c:pt>
                  <c:pt idx="6">
                    <c:v>kWh</c:v>
                  </c:pt>
                </c:lvl>
                <c:lvl>
                  <c:pt idx="0">
                    <c:v>Net Revenues</c:v>
                  </c:pt>
                  <c:pt idx="1">
                    <c:v>OPEX</c:v>
                  </c:pt>
                  <c:pt idx="2">
                    <c:v>Net Benefit</c:v>
                  </c:pt>
                  <c:pt idx="3">
                    <c:v>Total served Demand 
(incl. Grid export)</c:v>
                  </c:pt>
                  <c:pt idx="4">
                    <c:v>MG Generation</c:v>
                  </c:pt>
                  <c:pt idx="5">
                    <c:v>Grid Import</c:v>
                  </c:pt>
                  <c:pt idx="6">
                    <c:v>Total shortage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'Welfare Calc'!$C$7:$K$7</c15:sqref>
                  </c15:fullRef>
                </c:ext>
              </c:extLst>
              <c:f>('Welfare Calc'!$C$7:$F$7,'Welfare Calc'!$H$7:$I$7,'Welfare Calc'!$K$7)</c:f>
              <c:numCache>
                <c:formatCode>0.0</c:formatCode>
                <c:ptCount val="7"/>
                <c:pt idx="0">
                  <c:v>181.143124280948</c:v>
                </c:pt>
                <c:pt idx="1">
                  <c:v>-29.279413127979563</c:v>
                </c:pt>
                <c:pt idx="2">
                  <c:v>151.86371115296848</c:v>
                </c:pt>
                <c:pt idx="3">
                  <c:v>694.77674780164102</c:v>
                </c:pt>
                <c:pt idx="4">
                  <c:v>484.96472899102645</c:v>
                </c:pt>
                <c:pt idx="5">
                  <c:v>243.56183629417762</c:v>
                </c:pt>
                <c:pt idx="6">
                  <c:v>18.759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2-4AD8-819A-AE48CC63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460544"/>
        <c:axId val="1654463040"/>
      </c:barChart>
      <c:catAx>
        <c:axId val="165446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463040"/>
        <c:crosses val="autoZero"/>
        <c:auto val="1"/>
        <c:lblAlgn val="ctr"/>
        <c:lblOffset val="100"/>
        <c:noMultiLvlLbl val="0"/>
      </c:catAx>
      <c:valAx>
        <c:axId val="16544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46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Merit Order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'Merit Order Usage'!$A$28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'Merit Order Usage'!$B$29:$B$34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6.5</c:v>
                </c:pt>
                <c:pt idx="2" formatCode="General">
                  <c:v>6.5</c:v>
                </c:pt>
                <c:pt idx="3">
                  <c:v>12.445</c:v>
                </c:pt>
                <c:pt idx="4" formatCode="General">
                  <c:v>12.445</c:v>
                </c:pt>
                <c:pt idx="5">
                  <c:v>12.445</c:v>
                </c:pt>
              </c:numCache>
            </c:numRef>
          </c:xVal>
          <c:yVal>
            <c:numRef>
              <c:f>'Merit Order Usage'!$C$29:$C$34</c:f>
              <c:numCache>
                <c:formatCode>0.0</c:formatCode>
                <c:ptCount val="6"/>
                <c:pt idx="0">
                  <c:v>0.5</c:v>
                </c:pt>
                <c:pt idx="1">
                  <c:v>0.5</c:v>
                </c:pt>
                <c:pt idx="2" formatCode="General">
                  <c:v>0.14000000000000001</c:v>
                </c:pt>
                <c:pt idx="3" formatCode="General">
                  <c:v>0.14000000000000001</c:v>
                </c:pt>
                <c:pt idx="4" formatCode="General">
                  <c:v>0.13</c:v>
                </c:pt>
                <c:pt idx="5" formatCode="General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5-4FC9-B052-CC24679E50A4}"/>
            </c:ext>
          </c:extLst>
        </c:ser>
        <c:ser>
          <c:idx val="1"/>
          <c:order val="1"/>
          <c:tx>
            <c:strRef>
              <c:f>'Merit Order Usage'!$G$28</c:f>
              <c:strCache>
                <c:ptCount val="1"/>
                <c:pt idx="0">
                  <c:v>Supply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'Merit Order Usage'!$H$29:$H$36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3.97</c:v>
                </c:pt>
                <c:pt idx="2" formatCode="General">
                  <c:v>3.97</c:v>
                </c:pt>
                <c:pt idx="3">
                  <c:v>3.97</c:v>
                </c:pt>
                <c:pt idx="4" formatCode="General">
                  <c:v>3.97</c:v>
                </c:pt>
                <c:pt idx="5">
                  <c:v>12.457538189474773</c:v>
                </c:pt>
                <c:pt idx="6">
                  <c:v>12.457538189474773</c:v>
                </c:pt>
                <c:pt idx="7">
                  <c:v>12.457538189474773</c:v>
                </c:pt>
              </c:numCache>
            </c:numRef>
          </c:xVal>
          <c:yVal>
            <c:numRef>
              <c:f>'Merit Order Usage'!$I$29:$I$36</c:f>
              <c:numCache>
                <c:formatCode>0.0</c:formatCode>
                <c:ptCount val="8"/>
                <c:pt idx="0">
                  <c:v>1.9999999999999999E-6</c:v>
                </c:pt>
                <c:pt idx="1">
                  <c:v>1.9999999999999999E-6</c:v>
                </c:pt>
                <c:pt idx="2" formatCode="General">
                  <c:v>3.9999999999999998E-6</c:v>
                </c:pt>
                <c:pt idx="3" formatCode="General">
                  <c:v>3.9999999999999998E-6</c:v>
                </c:pt>
                <c:pt idx="4" formatCode="General">
                  <c:v>0.15</c:v>
                </c:pt>
                <c:pt idx="5" formatCode="General">
                  <c:v>0.15</c:v>
                </c:pt>
                <c:pt idx="6" formatCode="0.000000">
                  <c:v>0.33332999999999996</c:v>
                </c:pt>
                <c:pt idx="7" formatCode="0.000000">
                  <c:v>0.33332999999999996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D5-4FC9-B052-CC24679E50A4}"/>
            </c:ext>
          </c:extLst>
        </c:ser>
        <c:ser>
          <c:idx val="2"/>
          <c:order val="2"/>
          <c:tx>
            <c:strRef>
              <c:f>'Merit Order Usage'!$A$36</c:f>
              <c:strCache>
                <c:ptCount val="1"/>
                <c:pt idx="0">
                  <c:v>Bat. Charge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'Merit Order Usage'!$B$36:$B$37</c:f>
              <c:numCache>
                <c:formatCode>0.00000000000000</c:formatCode>
                <c:ptCount val="2"/>
                <c:pt idx="0" formatCode="0.00">
                  <c:v>12.445</c:v>
                </c:pt>
                <c:pt idx="1">
                  <c:v>12.457538189474773</c:v>
                </c:pt>
              </c:numCache>
            </c:numRef>
          </c:xVal>
          <c:yVal>
            <c:numRef>
              <c:f>'Merit Order Usage'!$C$36:$C$37</c:f>
              <c:numCache>
                <c:formatCode>0.0000</c:formatCode>
                <c:ptCount val="2"/>
                <c:pt idx="0" formatCode="General">
                  <c:v>-3.105000000000474E-2</c:v>
                </c:pt>
                <c:pt idx="1">
                  <c:v>-3.105000000000474E-2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D5-4FC9-B052-CC24679E5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341215"/>
        <c:axId val="2035354527"/>
      </c:scatterChart>
      <c:valAx>
        <c:axId val="20353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Energy suuplied 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54527"/>
        <c:crosses val="autoZero"/>
        <c:crossBetween val="midCat"/>
      </c:valAx>
      <c:valAx>
        <c:axId val="203535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Price/Cost [cent/kWh]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4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739720089304856"/>
          <c:y val="0.92012569597254801"/>
          <c:w val="0.49162051274459928"/>
          <c:h val="6.0465142342767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Merit Order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458514555948498E-2"/>
          <c:y val="0.20667827585420806"/>
          <c:w val="0.88869287560662813"/>
          <c:h val="0.605777821021998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'Merit Order Usage'!$A$28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01-406B-B30E-E00214F50DF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6A170C4-20DD-41AD-B3F7-5A71D06A0D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001-406B-B30E-E00214F50DF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01-406B-B30E-E00214F50DFF}"/>
                </c:ext>
              </c:extLst>
            </c:dLbl>
            <c:dLbl>
              <c:idx val="3"/>
              <c:layout>
                <c:manualLayout>
                  <c:x val="-7.5002081615834035E-2"/>
                  <c:y val="-9.156009002098888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DB09928-C1F8-4234-8B7F-B0C8D283C447}" type="CELLRANGE">
                      <a:rPr lang="en-US"/>
                      <a:pPr>
                        <a:defRPr sz="10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124752234511507E-2"/>
                      <c:h val="5.201201459239724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001-406B-B30E-E00214F50DF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01-406B-B30E-E00214F50DFF}"/>
                </c:ext>
              </c:extLst>
            </c:dLbl>
            <c:dLbl>
              <c:idx val="5"/>
              <c:layout>
                <c:manualLayout>
                  <c:x val="-4.5992404030859519E-3"/>
                  <c:y val="-6.9507222276277494E-3"/>
                </c:manualLayout>
              </c:layout>
              <c:tx>
                <c:rich>
                  <a:bodyPr/>
                  <a:lstStyle/>
                  <a:p>
                    <a:fld id="{50AAFD21-AAAB-4177-B289-B8DED08EC1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001-406B-B30E-E00214F50D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'Merit Order Usage'!$B$29:$B$34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6.5</c:v>
                </c:pt>
                <c:pt idx="2" formatCode="General">
                  <c:v>6.5</c:v>
                </c:pt>
                <c:pt idx="3">
                  <c:v>12.445</c:v>
                </c:pt>
                <c:pt idx="4" formatCode="General">
                  <c:v>12.445</c:v>
                </c:pt>
                <c:pt idx="5">
                  <c:v>12.445</c:v>
                </c:pt>
              </c:numCache>
            </c:numRef>
          </c:xVal>
          <c:yVal>
            <c:numRef>
              <c:f>'Merit Order Usage'!$C$29:$C$34</c:f>
              <c:numCache>
                <c:formatCode>0.0</c:formatCode>
                <c:ptCount val="6"/>
                <c:pt idx="0">
                  <c:v>0.5</c:v>
                </c:pt>
                <c:pt idx="1">
                  <c:v>0.5</c:v>
                </c:pt>
                <c:pt idx="2" formatCode="General">
                  <c:v>0.14000000000000001</c:v>
                </c:pt>
                <c:pt idx="3" formatCode="General">
                  <c:v>0.14000000000000001</c:v>
                </c:pt>
                <c:pt idx="4" formatCode="General">
                  <c:v>0.13</c:v>
                </c:pt>
                <c:pt idx="5" formatCode="General">
                  <c:v>0.13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'Merit Order Usage'!$A$40:$A$45</c15:f>
                <c15:dlblRangeCache>
                  <c:ptCount val="6"/>
                  <c:pt idx="0">
                    <c:v>Load A</c:v>
                  </c:pt>
                  <c:pt idx="1">
                    <c:v>Load A</c:v>
                  </c:pt>
                  <c:pt idx="2">
                    <c:v>Load B</c:v>
                  </c:pt>
                  <c:pt idx="3">
                    <c:v>Load B</c:v>
                  </c:pt>
                  <c:pt idx="4">
                    <c:v>Grid Exp</c:v>
                  </c:pt>
                  <c:pt idx="5">
                    <c:v>Grid Exp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5001-406B-B30E-E00214F50DFF}"/>
            </c:ext>
          </c:extLst>
        </c:ser>
        <c:ser>
          <c:idx val="1"/>
          <c:order val="1"/>
          <c:tx>
            <c:strRef>
              <c:f>'Merit Order Usage'!$G$28</c:f>
              <c:strCache>
                <c:ptCount val="1"/>
                <c:pt idx="0">
                  <c:v>Supply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942153509503656E-3"/>
                  <c:y val="-2.7010670278172094E-2"/>
                </c:manualLayout>
              </c:layout>
              <c:tx>
                <c:rich>
                  <a:bodyPr/>
                  <a:lstStyle/>
                  <a:p>
                    <a:fld id="{60EFEF09-BF88-4271-94C8-5417490CC3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001-406B-B30E-E00214F50DFF}"/>
                </c:ext>
              </c:extLst>
            </c:dLbl>
            <c:dLbl>
              <c:idx val="1"/>
              <c:layout>
                <c:manualLayout>
                  <c:x val="-3.4969549884161073E-2"/>
                  <c:y val="4.5211917040174583E-2"/>
                </c:manualLayout>
              </c:layout>
              <c:tx>
                <c:rich>
                  <a:bodyPr/>
                  <a:lstStyle/>
                  <a:p>
                    <a:fld id="{81551446-5605-456B-B3CB-FC3B0A28B8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001-406B-B30E-E00214F50DF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001-406B-B30E-E00214F50DFF}"/>
                </c:ext>
              </c:extLst>
            </c:dLbl>
            <c:dLbl>
              <c:idx val="3"/>
              <c:layout>
                <c:manualLayout>
                  <c:x val="1.5959675443503882E-2"/>
                  <c:y val="-9.9953119333409998E-3"/>
                </c:manualLayout>
              </c:layout>
              <c:tx>
                <c:rich>
                  <a:bodyPr/>
                  <a:lstStyle/>
                  <a:p>
                    <a:fld id="{97949B37-8FB7-4E96-87F0-D324881221C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001-406B-B30E-E00214F50DF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001-406B-B30E-E00214F50DFF}"/>
                </c:ext>
              </c:extLst>
            </c:dLbl>
            <c:dLbl>
              <c:idx val="5"/>
              <c:layout>
                <c:manualLayout>
                  <c:x val="-9.4141574882704609E-2"/>
                  <c:y val="-1.4859275864291211E-2"/>
                </c:manualLayout>
              </c:layout>
              <c:tx>
                <c:rich>
                  <a:bodyPr/>
                  <a:lstStyle/>
                  <a:p>
                    <a:fld id="{1AD6B31F-E548-40D3-9A67-8B99A86526D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001-406B-B30E-E00214F50DF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001-406B-B30E-E00214F50DFF}"/>
                </c:ext>
              </c:extLst>
            </c:dLbl>
            <c:dLbl>
              <c:idx val="7"/>
              <c:layout>
                <c:manualLayout>
                  <c:x val="1.3342159916511847E-2"/>
                  <c:y val="-3.5486769163894052E-2"/>
                </c:manualLayout>
              </c:layout>
              <c:tx>
                <c:rich>
                  <a:bodyPr/>
                  <a:lstStyle/>
                  <a:p>
                    <a:fld id="{1218C6FA-C559-4D78-A715-2C62D3A1C3B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5001-406B-B30E-E00214F50D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'Merit Order Usage'!$H$29:$H$36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3.97</c:v>
                </c:pt>
                <c:pt idx="2" formatCode="General">
                  <c:v>3.97</c:v>
                </c:pt>
                <c:pt idx="3">
                  <c:v>3.97</c:v>
                </c:pt>
                <c:pt idx="4" formatCode="General">
                  <c:v>3.97</c:v>
                </c:pt>
                <c:pt idx="5">
                  <c:v>12.457538189474773</c:v>
                </c:pt>
                <c:pt idx="6">
                  <c:v>12.457538189474773</c:v>
                </c:pt>
                <c:pt idx="7">
                  <c:v>12.457538189474773</c:v>
                </c:pt>
              </c:numCache>
            </c:numRef>
          </c:xVal>
          <c:yVal>
            <c:numRef>
              <c:f>'Merit Order Usage'!$I$29:$I$36</c:f>
              <c:numCache>
                <c:formatCode>0.0</c:formatCode>
                <c:ptCount val="8"/>
                <c:pt idx="0">
                  <c:v>1.9999999999999999E-6</c:v>
                </c:pt>
                <c:pt idx="1">
                  <c:v>1.9999999999999999E-6</c:v>
                </c:pt>
                <c:pt idx="2" formatCode="General">
                  <c:v>3.9999999999999998E-6</c:v>
                </c:pt>
                <c:pt idx="3" formatCode="General">
                  <c:v>3.9999999999999998E-6</c:v>
                </c:pt>
                <c:pt idx="4" formatCode="General">
                  <c:v>0.15</c:v>
                </c:pt>
                <c:pt idx="5" formatCode="General">
                  <c:v>0.15</c:v>
                </c:pt>
                <c:pt idx="6" formatCode="0.000000">
                  <c:v>0.33332999999999996</c:v>
                </c:pt>
                <c:pt idx="7" formatCode="0.000000">
                  <c:v>0.33332999999999996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'Merit Order Usage'!$G$29:$G$36</c15:f>
                <c15:dlblRangeCache>
                  <c:ptCount val="8"/>
                  <c:pt idx="0">
                    <c:v>PV</c:v>
                  </c:pt>
                  <c:pt idx="1">
                    <c:v>PV</c:v>
                  </c:pt>
                  <c:pt idx="2">
                    <c:v>Bat. Discharge</c:v>
                  </c:pt>
                  <c:pt idx="3">
                    <c:v>Bat. Discharge</c:v>
                  </c:pt>
                  <c:pt idx="4">
                    <c:v>Grid Imp</c:v>
                  </c:pt>
                  <c:pt idx="5">
                    <c:v>Grid Imp</c:v>
                  </c:pt>
                  <c:pt idx="6">
                    <c:v>Genset</c:v>
                  </c:pt>
                  <c:pt idx="7">
                    <c:v>Genset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5001-406B-B30E-E00214F50DFF}"/>
            </c:ext>
          </c:extLst>
        </c:ser>
        <c:ser>
          <c:idx val="2"/>
          <c:order val="2"/>
          <c:tx>
            <c:strRef>
              <c:f>'Merit Order Usage'!$A$36</c:f>
              <c:strCache>
                <c:ptCount val="1"/>
                <c:pt idx="0">
                  <c:v>Bat. Charge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'Merit Order Usage'!$B$36:$B$37</c:f>
              <c:numCache>
                <c:formatCode>0.00000000000000</c:formatCode>
                <c:ptCount val="2"/>
                <c:pt idx="0" formatCode="0.00">
                  <c:v>12.445</c:v>
                </c:pt>
                <c:pt idx="1">
                  <c:v>12.457538189474773</c:v>
                </c:pt>
              </c:numCache>
            </c:numRef>
          </c:xVal>
          <c:yVal>
            <c:numRef>
              <c:f>'Merit Order Usage'!$C$36:$C$37</c:f>
              <c:numCache>
                <c:formatCode>0.0000</c:formatCode>
                <c:ptCount val="2"/>
                <c:pt idx="0" formatCode="General">
                  <c:v>-3.105000000000474E-2</c:v>
                </c:pt>
                <c:pt idx="1">
                  <c:v>-3.105000000000474E-2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001-406B-B30E-E00214F50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341215"/>
        <c:axId val="2035354527"/>
      </c:scatterChart>
      <c:valAx>
        <c:axId val="203534121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Energy supplied [kWh]</a:t>
                </a:r>
              </a:p>
            </c:rich>
          </c:tx>
          <c:layout>
            <c:manualLayout>
              <c:xMode val="edge"/>
              <c:yMode val="edge"/>
              <c:x val="0.43974949896079096"/>
              <c:y val="0.89130209028735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54527"/>
        <c:crosses val="autoZero"/>
        <c:crossBetween val="midCat"/>
      </c:valAx>
      <c:valAx>
        <c:axId val="203535452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Price/Cost [cent/kWh]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4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739717348971551"/>
          <c:y val="0.94367656549023093"/>
          <c:w val="0.40252036605683339"/>
          <c:h val="5.5220017055549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Fuel Curve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DieselGenerator!$I$2</c:f>
              <c:strCache>
                <c:ptCount val="1"/>
                <c:pt idx="0">
                  <c:v>Fuel Consumption [L/hr]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473537888982151"/>
                  <c:y val="-2.49725284339457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DieselGenerator!$H$3:$H$5</c:f>
              <c:numCache>
                <c:formatCode>General</c:formatCode>
                <c:ptCount val="3"/>
                <c:pt idx="0">
                  <c:v>7.5</c:v>
                </c:pt>
                <c:pt idx="1">
                  <c:v>15</c:v>
                </c:pt>
                <c:pt idx="2">
                  <c:v>0</c:v>
                </c:pt>
              </c:numCache>
            </c:numRef>
          </c:xVal>
          <c:yVal>
            <c:numRef>
              <c:f>DieselGenerator!$I$3:$I$5</c:f>
              <c:numCache>
                <c:formatCode>General</c:formatCode>
                <c:ptCount val="3"/>
                <c:pt idx="0">
                  <c:v>2.5</c:v>
                </c:pt>
                <c:pt idx="1">
                  <c:v>4.8</c:v>
                </c:pt>
                <c:pt idx="2">
                  <c:v>0.20000000000000018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1-46D0-BA7F-1B23843C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999008"/>
        <c:axId val="1887005664"/>
      </c:scatterChart>
      <c:valAx>
        <c:axId val="18869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Output 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05664"/>
        <c:crosses val="autoZero"/>
        <c:crossBetween val="midCat"/>
      </c:valAx>
      <c:valAx>
        <c:axId val="18870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Consumption [L/hr]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9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60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rPr>
              <a:t>Total Generation &amp; Battery discharge</a:t>
            </a:r>
            <a:br>
              <a:rPr lang="fr-FR" sz="160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rPr>
            </a:br>
            <a:r>
              <a:rPr lang="fr-FR" sz="140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rPr>
              <a:t>week</a:t>
            </a:r>
            <a:endParaRPr lang="fr-FR" sz="1600" b="1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47449172327745709"/>
          <c:y val="3.3678864338087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600" b="1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Graphs!$G$5</c:f>
              <c:strCache>
                <c:ptCount val="1"/>
                <c:pt idx="0">
                  <c:v>PV_output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Graphs!$A$6:$A$173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Graphs!$G$6:$G$173</c:f>
              <c:numCache>
                <c:formatCode>0.00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1.87</c:v>
                </c:pt>
                <c:pt idx="8">
                  <c:v>3.66</c:v>
                </c:pt>
                <c:pt idx="9">
                  <c:v>4</c:v>
                </c:pt>
                <c:pt idx="10">
                  <c:v>5.43</c:v>
                </c:pt>
                <c:pt idx="11">
                  <c:v>13.81</c:v>
                </c:pt>
                <c:pt idx="12">
                  <c:v>12.38</c:v>
                </c:pt>
                <c:pt idx="13">
                  <c:v>17.25</c:v>
                </c:pt>
                <c:pt idx="14">
                  <c:v>15.7</c:v>
                </c:pt>
                <c:pt idx="15">
                  <c:v>9.6199999999999992</c:v>
                </c:pt>
                <c:pt idx="16">
                  <c:v>9.92</c:v>
                </c:pt>
                <c:pt idx="17">
                  <c:v>3.97</c:v>
                </c:pt>
                <c:pt idx="18">
                  <c:v>2.06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4.96</c:v>
                </c:pt>
                <c:pt idx="32">
                  <c:v>7.22</c:v>
                </c:pt>
                <c:pt idx="33">
                  <c:v>16.11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25.37</c:v>
                </c:pt>
                <c:pt idx="38">
                  <c:v>22.46</c:v>
                </c:pt>
                <c:pt idx="39">
                  <c:v>22.96</c:v>
                </c:pt>
                <c:pt idx="40">
                  <c:v>13.04</c:v>
                </c:pt>
                <c:pt idx="41">
                  <c:v>8.49</c:v>
                </c:pt>
                <c:pt idx="42">
                  <c:v>2.61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7.59</c:v>
                </c:pt>
                <c:pt idx="57">
                  <c:v>7.15</c:v>
                </c:pt>
                <c:pt idx="58">
                  <c:v>9.9499999999999993</c:v>
                </c:pt>
                <c:pt idx="59">
                  <c:v>10.63</c:v>
                </c:pt>
                <c:pt idx="60">
                  <c:v>10.66</c:v>
                </c:pt>
                <c:pt idx="61">
                  <c:v>11.91</c:v>
                </c:pt>
                <c:pt idx="62">
                  <c:v>11.57</c:v>
                </c:pt>
                <c:pt idx="63">
                  <c:v>5.25</c:v>
                </c:pt>
                <c:pt idx="64">
                  <c:v>5.15</c:v>
                </c:pt>
                <c:pt idx="65">
                  <c:v>5.38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5.74</c:v>
                </c:pt>
                <c:pt idx="80">
                  <c:v>9.41</c:v>
                </c:pt>
                <c:pt idx="81">
                  <c:v>7.42</c:v>
                </c:pt>
                <c:pt idx="82">
                  <c:v>22.66</c:v>
                </c:pt>
                <c:pt idx="83">
                  <c:v>30</c:v>
                </c:pt>
                <c:pt idx="84">
                  <c:v>30</c:v>
                </c:pt>
                <c:pt idx="85">
                  <c:v>20.59</c:v>
                </c:pt>
                <c:pt idx="86">
                  <c:v>8.7799999999999994</c:v>
                </c:pt>
                <c:pt idx="87">
                  <c:v>12.08</c:v>
                </c:pt>
                <c:pt idx="88">
                  <c:v>11.3</c:v>
                </c:pt>
                <c:pt idx="89">
                  <c:v>7.89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10.220000000000001</c:v>
                </c:pt>
                <c:pt idx="105">
                  <c:v>5.77</c:v>
                </c:pt>
                <c:pt idx="106">
                  <c:v>4.68</c:v>
                </c:pt>
                <c:pt idx="107">
                  <c:v>5.47</c:v>
                </c:pt>
                <c:pt idx="108">
                  <c:v>6.01</c:v>
                </c:pt>
                <c:pt idx="109">
                  <c:v>15.97</c:v>
                </c:pt>
                <c:pt idx="110">
                  <c:v>7.89</c:v>
                </c:pt>
                <c:pt idx="111">
                  <c:v>7.55</c:v>
                </c:pt>
                <c:pt idx="112">
                  <c:v>5.68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4.9800000000000004</c:v>
                </c:pt>
                <c:pt idx="131">
                  <c:v>4.91</c:v>
                </c:pt>
                <c:pt idx="132">
                  <c:v>6.47</c:v>
                </c:pt>
                <c:pt idx="133">
                  <c:v>10.87</c:v>
                </c:pt>
                <c:pt idx="134">
                  <c:v>4.5199999999999996</c:v>
                </c:pt>
                <c:pt idx="135">
                  <c:v>7.59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9.2799999999999994</c:v>
                </c:pt>
                <c:pt idx="154">
                  <c:v>11.87</c:v>
                </c:pt>
                <c:pt idx="155">
                  <c:v>7.63</c:v>
                </c:pt>
                <c:pt idx="156">
                  <c:v>9.48</c:v>
                </c:pt>
                <c:pt idx="157">
                  <c:v>6.32</c:v>
                </c:pt>
                <c:pt idx="158">
                  <c:v>8.3699999999999992</c:v>
                </c:pt>
                <c:pt idx="159">
                  <c:v>10.28</c:v>
                </c:pt>
                <c:pt idx="160">
                  <c:v>5.61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1-48B9-9271-98E7C1B836D8}"/>
            </c:ext>
          </c:extLst>
        </c:ser>
        <c:ser>
          <c:idx val="2"/>
          <c:order val="1"/>
          <c:tx>
            <c:strRef>
              <c:f>Graphs!$N$5</c:f>
              <c:strCache>
                <c:ptCount val="1"/>
                <c:pt idx="0">
                  <c:v>Diesel_output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Graphs!$A$6:$A$173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Graphs!$N$6:$N$173</c:f>
              <c:numCache>
                <c:formatCode>0.00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7.7458824778439643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1-48B9-9271-98E7C1B836D8}"/>
            </c:ext>
          </c:extLst>
        </c:ser>
        <c:ser>
          <c:idx val="4"/>
          <c:order val="3"/>
          <c:tx>
            <c:strRef>
              <c:f>Graphs!$U$5</c:f>
              <c:strCache>
                <c:ptCount val="1"/>
                <c:pt idx="0">
                  <c:v>Bat_discharge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Graphs!$A$6:$A$173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Graphs!$U$6:$U$173</c:f>
              <c:numCache>
                <c:formatCode>0.00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8.9600000000000026</c:v>
                </c:pt>
                <c:pt idx="19">
                  <c:v>5.4199999995499999</c:v>
                </c:pt>
                <c:pt idx="20">
                  <c:v>21.279999999550004</c:v>
                </c:pt>
                <c:pt idx="21">
                  <c:v>15.534117521706035</c:v>
                </c:pt>
                <c:pt idx="22">
                  <c:v>6.3199999995500002</c:v>
                </c:pt>
                <c:pt idx="23">
                  <c:v>5.4599999995500008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27</c:v>
                </c:pt>
                <c:pt idx="31">
                  <c:v>1.035844344518263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6.6730000000000009</c:v>
                </c:pt>
                <c:pt idx="42">
                  <c:v>5.9849999999999985</c:v>
                </c:pt>
                <c:pt idx="43">
                  <c:v>6.4189999993600013</c:v>
                </c:pt>
                <c:pt idx="44">
                  <c:v>18.83699999936</c:v>
                </c:pt>
                <c:pt idx="45">
                  <c:v>12.814999999360001</c:v>
                </c:pt>
                <c:pt idx="46">
                  <c:v>6.15699999936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4.6669999993599998</c:v>
                </c:pt>
                <c:pt idx="55">
                  <c:v>3.0509999993200001</c:v>
                </c:pt>
                <c:pt idx="56">
                  <c:v>0</c:v>
                </c:pt>
                <c:pt idx="57">
                  <c:v>1.4315653151662404</c:v>
                </c:pt>
                <c:pt idx="58">
                  <c:v>3.6990000000000012</c:v>
                </c:pt>
                <c:pt idx="59">
                  <c:v>7.6630000000000003</c:v>
                </c:pt>
                <c:pt idx="60">
                  <c:v>0</c:v>
                </c:pt>
                <c:pt idx="61">
                  <c:v>0.16799999999999909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16.16899999936</c:v>
                </c:pt>
                <c:pt idx="67">
                  <c:v>6.0459999993600002</c:v>
                </c:pt>
                <c:pt idx="68">
                  <c:v>22.763999999360003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27</c:v>
                </c:pt>
                <c:pt idx="79">
                  <c:v>7.6777595852513132</c:v>
                </c:pt>
                <c:pt idx="80">
                  <c:v>0</c:v>
                </c:pt>
                <c:pt idx="81">
                  <c:v>9.399999999999871E-2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6.3819771634017046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8.0089999993600003</c:v>
                </c:pt>
                <c:pt idx="92">
                  <c:v>17.491999999360001</c:v>
                </c:pt>
                <c:pt idx="93">
                  <c:v>21.140999999360002</c:v>
                </c:pt>
                <c:pt idx="94">
                  <c:v>9.928999999360002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3.7049999993600005</c:v>
                </c:pt>
                <c:pt idx="103">
                  <c:v>2.3359999992500002</c:v>
                </c:pt>
                <c:pt idx="104">
                  <c:v>0</c:v>
                </c:pt>
                <c:pt idx="105">
                  <c:v>3.5980000000000008</c:v>
                </c:pt>
                <c:pt idx="106">
                  <c:v>6.766</c:v>
                </c:pt>
                <c:pt idx="107">
                  <c:v>4.6780000000000008</c:v>
                </c:pt>
                <c:pt idx="108">
                  <c:v>0</c:v>
                </c:pt>
                <c:pt idx="109">
                  <c:v>0</c:v>
                </c:pt>
                <c:pt idx="110">
                  <c:v>4.9400000000000004</c:v>
                </c:pt>
                <c:pt idx="111">
                  <c:v>9.751000000000003</c:v>
                </c:pt>
                <c:pt idx="112">
                  <c:v>2.5969999999999991</c:v>
                </c:pt>
                <c:pt idx="113">
                  <c:v>12.97599999919</c:v>
                </c:pt>
                <c:pt idx="114">
                  <c:v>11.072999999360002</c:v>
                </c:pt>
                <c:pt idx="115">
                  <c:v>6.9449999993600011</c:v>
                </c:pt>
                <c:pt idx="116">
                  <c:v>1.991008672874196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5.0169999993600003</c:v>
                </c:pt>
                <c:pt idx="127">
                  <c:v>3.0949999994499997</c:v>
                </c:pt>
                <c:pt idx="128">
                  <c:v>2.1967658386136564</c:v>
                </c:pt>
                <c:pt idx="129">
                  <c:v>0</c:v>
                </c:pt>
                <c:pt idx="130">
                  <c:v>7.57</c:v>
                </c:pt>
                <c:pt idx="131">
                  <c:v>4.4779999999999998</c:v>
                </c:pt>
                <c:pt idx="132">
                  <c:v>0</c:v>
                </c:pt>
                <c:pt idx="133">
                  <c:v>1.1840000000000013</c:v>
                </c:pt>
                <c:pt idx="134">
                  <c:v>9.8640000000000008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16.142999999360001</c:v>
                </c:pt>
                <c:pt idx="141">
                  <c:v>14.756999999360001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2.5479999993600004</c:v>
                </c:pt>
                <c:pt idx="151">
                  <c:v>2.3529999994799997</c:v>
                </c:pt>
                <c:pt idx="152">
                  <c:v>2.8079999993200002</c:v>
                </c:pt>
                <c:pt idx="153">
                  <c:v>0</c:v>
                </c:pt>
                <c:pt idx="154">
                  <c:v>2.1930000000000009</c:v>
                </c:pt>
                <c:pt idx="155">
                  <c:v>1.019000000000001</c:v>
                </c:pt>
                <c:pt idx="156">
                  <c:v>0</c:v>
                </c:pt>
                <c:pt idx="157">
                  <c:v>0.71199999999999941</c:v>
                </c:pt>
                <c:pt idx="158">
                  <c:v>3.9380000000000019</c:v>
                </c:pt>
                <c:pt idx="159">
                  <c:v>0</c:v>
                </c:pt>
                <c:pt idx="160">
                  <c:v>8.2890000000000015</c:v>
                </c:pt>
                <c:pt idx="161">
                  <c:v>4.9483395045288292</c:v>
                </c:pt>
                <c:pt idx="162">
                  <c:v>7.2429999993300003</c:v>
                </c:pt>
                <c:pt idx="163">
                  <c:v>6.1539999993600007</c:v>
                </c:pt>
                <c:pt idx="164">
                  <c:v>15.858999999360002</c:v>
                </c:pt>
                <c:pt idx="165">
                  <c:v>4.8669999993599999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1-48B9-9271-98E7C1B83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157776"/>
        <c:axId val="251155856"/>
        <c:extLst>
          <c:ext xmlns:c15="http://schemas.microsoft.com/office/drawing/2012/chart" uri="{02D57815-91ED-43cb-92C2-25804820EDAC}">
            <c15:filteredBa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Graphs!$T$5</c15:sqref>
                        </c15:formulaRef>
                      </c:ext>
                    </c:extLst>
                    <c:strCache>
                      <c:ptCount val="1"/>
                      <c:pt idx="0">
                        <c:v>Bat_charge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Graphs!$A$6:$A$173</c15:sqref>
                        </c15:formulaRef>
                      </c:ext>
                    </c:extLst>
                    <c:numCache>
                      <c:formatCode>General</c:formatCode>
                      <c:ptCount val="16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Graphs!$T$6:$T$173</c15:sqref>
                        </c15:formulaRef>
                      </c:ext>
                    </c:extLst>
                    <c:numCache>
                      <c:formatCode>0.00</c:formatCode>
                      <c:ptCount val="1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-0.75902557278316707</c:v>
                      </c:pt>
                      <c:pt idx="3">
                        <c:v>-15.534985200381755</c:v>
                      </c:pt>
                      <c:pt idx="4">
                        <c:v>-15.506141300381755</c:v>
                      </c:pt>
                      <c:pt idx="5">
                        <c:v>-15.711442000381759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-5.2307198190180058E-2</c:v>
                      </c:pt>
                      <c:pt idx="16">
                        <c:v>0</c:v>
                      </c:pt>
                      <c:pt idx="17">
                        <c:v>-1.063677304092323E-2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-1.5959999999969553E-3</c:v>
                      </c:pt>
                      <c:pt idx="25">
                        <c:v>-1.5959999999969553E-3</c:v>
                      </c:pt>
                      <c:pt idx="26">
                        <c:v>-13.270693377556745</c:v>
                      </c:pt>
                      <c:pt idx="27">
                        <c:v>-16.552156850381756</c:v>
                      </c:pt>
                      <c:pt idx="28">
                        <c:v>-18.546627700381759</c:v>
                      </c:pt>
                      <c:pt idx="29">
                        <c:v>-18.137723000381758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-10.44403685</c:v>
                      </c:pt>
                      <c:pt idx="38">
                        <c:v>-2.3762283500000039</c:v>
                      </c:pt>
                      <c:pt idx="39">
                        <c:v>-10.129299</c:v>
                      </c:pt>
                      <c:pt idx="40">
                        <c:v>-0.26129179999999941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-1.5959999999969553E-3</c:v>
                      </c:pt>
                      <c:pt idx="48">
                        <c:v>-1.5959999999969553E-3</c:v>
                      </c:pt>
                      <c:pt idx="49">
                        <c:v>-7.0746329296555457E-2</c:v>
                      </c:pt>
                      <c:pt idx="50">
                        <c:v>-17.680462350542943</c:v>
                      </c:pt>
                      <c:pt idx="51">
                        <c:v>-16.090654450542942</c:v>
                      </c:pt>
                      <c:pt idx="52">
                        <c:v>-16.686196150542944</c:v>
                      </c:pt>
                      <c:pt idx="53">
                        <c:v>-15.981217300542943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-2.8776032000000002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-1.5959999999969553E-3</c:v>
                      </c:pt>
                      <c:pt idx="71">
                        <c:v>-1.5959999999969553E-3</c:v>
                      </c:pt>
                      <c:pt idx="72">
                        <c:v>-1.5959999999969553E-3</c:v>
                      </c:pt>
                      <c:pt idx="73">
                        <c:v>-1.5959999999969553E-3</c:v>
                      </c:pt>
                      <c:pt idx="74">
                        <c:v>-12.972963104041833</c:v>
                      </c:pt>
                      <c:pt idx="75">
                        <c:v>-17.872189450542944</c:v>
                      </c:pt>
                      <c:pt idx="76">
                        <c:v>-18.221709650542945</c:v>
                      </c:pt>
                      <c:pt idx="77">
                        <c:v>-17.440379300542943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-3.3145034500000001</c:v>
                      </c:pt>
                      <c:pt idx="83">
                        <c:v>-13.524395699999998</c:v>
                      </c:pt>
                      <c:pt idx="84">
                        <c:v>-19.891262449999996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-1.5959999999969553E-3</c:v>
                      </c:pt>
                      <c:pt idx="96">
                        <c:v>-1.5959999999969553E-3</c:v>
                      </c:pt>
                      <c:pt idx="97">
                        <c:v>-1.5959999999969553E-3</c:v>
                      </c:pt>
                      <c:pt idx="98">
                        <c:v>-15.759162151996495</c:v>
                      </c:pt>
                      <c:pt idx="99">
                        <c:v>-16.186518000542943</c:v>
                      </c:pt>
                      <c:pt idx="100">
                        <c:v>-18.092760450542944</c:v>
                      </c:pt>
                      <c:pt idx="101">
                        <c:v>-16.469018550542941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-5.5872330999999997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-1.3997774999999992</c:v>
                      </c:pt>
                      <c:pt idx="109">
                        <c:v>-1.901152349999998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-1.5959999999969553E-3</c:v>
                      </c:pt>
                      <c:pt idx="119">
                        <c:v>-1.5959999999969553E-3</c:v>
                      </c:pt>
                      <c:pt idx="120">
                        <c:v>-1.5959999999969553E-3</c:v>
                      </c:pt>
                      <c:pt idx="121">
                        <c:v>-1.5959999999969553E-3</c:v>
                      </c:pt>
                      <c:pt idx="122">
                        <c:v>-15.478443351006321</c:v>
                      </c:pt>
                      <c:pt idx="123">
                        <c:v>-18.266672200542942</c:v>
                      </c:pt>
                      <c:pt idx="124">
                        <c:v>-16.036360050542942</c:v>
                      </c:pt>
                      <c:pt idx="125">
                        <c:v>-16.726068600542945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-1.4455883999999997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-1.5959999999969553E-3</c:v>
                      </c:pt>
                      <c:pt idx="143">
                        <c:v>-1.5959999999969553E-3</c:v>
                      </c:pt>
                      <c:pt idx="144">
                        <c:v>-1.5959999999969553E-3</c:v>
                      </c:pt>
                      <c:pt idx="145">
                        <c:v>-1.5959999999969553E-3</c:v>
                      </c:pt>
                      <c:pt idx="146">
                        <c:v>-12.146612430921076</c:v>
                      </c:pt>
                      <c:pt idx="147">
                        <c:v>-18.493181650542944</c:v>
                      </c:pt>
                      <c:pt idx="148">
                        <c:v>-17.990110100542942</c:v>
                      </c:pt>
                      <c:pt idx="149">
                        <c:v>-17.877279550542944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-1.5959999999969553E-3</c:v>
                      </c:pt>
                      <c:pt idx="167">
                        <c:v>-1.5959999999969553E-3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2A1-48B9-9271-98E7C1B836D8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Graphs!$Q$5</c15:sqref>
                        </c15:formulaRef>
                      </c:ext>
                    </c:extLst>
                    <c:strCache>
                      <c:ptCount val="1"/>
                      <c:pt idx="0">
                        <c:v>Grid_imp</c:v>
                      </c:pt>
                    </c:strCache>
                  </c:strRef>
                </c:tx>
                <c:spPr>
                  <a:solidFill>
                    <a:schemeClr val="accent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Graphs!$A$6:$A$173</c15:sqref>
                        </c15:formulaRef>
                      </c:ext>
                    </c:extLst>
                    <c:numCache>
                      <c:formatCode>General</c:formatCode>
                      <c:ptCount val="16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Graphs!$Q$6:$Q$173</c15:sqref>
                        </c15:formulaRef>
                      </c:ext>
                    </c:extLst>
                    <c:numCache>
                      <c:formatCode>0.00</c:formatCode>
                      <c:ptCount val="168"/>
                      <c:pt idx="0">
                        <c:v>-5.3399999995499998</c:v>
                      </c:pt>
                      <c:pt idx="1">
                        <c:v>-3.69699999955</c:v>
                      </c:pt>
                      <c:pt idx="2">
                        <c:v>-6.3317080478592676</c:v>
                      </c:pt>
                      <c:pt idx="3">
                        <c:v>-25</c:v>
                      </c:pt>
                      <c:pt idx="4">
                        <c:v>-25</c:v>
                      </c:pt>
                      <c:pt idx="5">
                        <c:v>-25</c:v>
                      </c:pt>
                      <c:pt idx="6">
                        <c:v>-4.7879999995500002</c:v>
                      </c:pt>
                      <c:pt idx="7">
                        <c:v>-2.1909999999999998</c:v>
                      </c:pt>
                      <c:pt idx="8">
                        <c:v>-0.38699999999999957</c:v>
                      </c:pt>
                      <c:pt idx="9">
                        <c:v>-8.3230000000000004</c:v>
                      </c:pt>
                      <c:pt idx="10">
                        <c:v>-7.6340000000000003</c:v>
                      </c:pt>
                      <c:pt idx="11">
                        <c:v>-3.1270000000000007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-2.9510000000000005</c:v>
                      </c:pt>
                      <c:pt idx="15">
                        <c:v>0</c:v>
                      </c:pt>
                      <c:pt idx="16">
                        <c:v>-4.6310000000000002</c:v>
                      </c:pt>
                      <c:pt idx="17">
                        <c:v>-8.4875381894747726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-6.6878812985421572</c:v>
                      </c:pt>
                      <c:pt idx="25">
                        <c:v>-3.8918812985421578</c:v>
                      </c:pt>
                      <c:pt idx="26">
                        <c:v>-17.291946162757107</c:v>
                      </c:pt>
                      <c:pt idx="27">
                        <c:v>-25</c:v>
                      </c:pt>
                      <c:pt idx="28">
                        <c:v>-25</c:v>
                      </c:pt>
                      <c:pt idx="29">
                        <c:v>-25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-7.801881298352157</c:v>
                      </c:pt>
                      <c:pt idx="48">
                        <c:v>-7.4268812983521579</c:v>
                      </c:pt>
                      <c:pt idx="49">
                        <c:v>-3.9803928552526808</c:v>
                      </c:pt>
                      <c:pt idx="50">
                        <c:v>-25</c:v>
                      </c:pt>
                      <c:pt idx="51">
                        <c:v>-25</c:v>
                      </c:pt>
                      <c:pt idx="52">
                        <c:v>-25</c:v>
                      </c:pt>
                      <c:pt idx="53">
                        <c:v>-25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-2.8384346848337589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-5.5859999999999985</c:v>
                      </c:pt>
                      <c:pt idx="63">
                        <c:v>-10.302</c:v>
                      </c:pt>
                      <c:pt idx="64">
                        <c:v>-9.7329999999999988</c:v>
                      </c:pt>
                      <c:pt idx="65">
                        <c:v>-16.416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-22.970999999359996</c:v>
                      </c:pt>
                      <c:pt idx="70">
                        <c:v>-12.863881298352158</c:v>
                      </c:pt>
                      <c:pt idx="71">
                        <c:v>-9.2718812983521577</c:v>
                      </c:pt>
                      <c:pt idx="72">
                        <c:v>-5.7718812983521568</c:v>
                      </c:pt>
                      <c:pt idx="73">
                        <c:v>-5.8288812983521572</c:v>
                      </c:pt>
                      <c:pt idx="74">
                        <c:v>-20.807993992454637</c:v>
                      </c:pt>
                      <c:pt idx="75">
                        <c:v>-25</c:v>
                      </c:pt>
                      <c:pt idx="76">
                        <c:v>-25</c:v>
                      </c:pt>
                      <c:pt idx="77">
                        <c:v>-25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-4.2980228365982978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-4.7150000000000007</c:v>
                      </c:pt>
                      <c:pt idx="90">
                        <c:v>-16.50299999936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-8.3538812983521584</c:v>
                      </c:pt>
                      <c:pt idx="96">
                        <c:v>-4.7388812983521573</c:v>
                      </c:pt>
                      <c:pt idx="97">
                        <c:v>-4.2858812983521579</c:v>
                      </c:pt>
                      <c:pt idx="98">
                        <c:v>-22.512250546889319</c:v>
                      </c:pt>
                      <c:pt idx="99">
                        <c:v>-25</c:v>
                      </c:pt>
                      <c:pt idx="100">
                        <c:v>-25</c:v>
                      </c:pt>
                      <c:pt idx="101">
                        <c:v>-25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-15.524991326485805</c:v>
                      </c:pt>
                      <c:pt idx="117">
                        <c:v>-12.47999999936</c:v>
                      </c:pt>
                      <c:pt idx="118">
                        <c:v>-8.4398812983521587</c:v>
                      </c:pt>
                      <c:pt idx="119">
                        <c:v>-7.604881298352157</c:v>
                      </c:pt>
                      <c:pt idx="120">
                        <c:v>-7.0538812983521568</c:v>
                      </c:pt>
                      <c:pt idx="121">
                        <c:v>-4.2418812983521574</c:v>
                      </c:pt>
                      <c:pt idx="122">
                        <c:v>-22.903350799155277</c:v>
                      </c:pt>
                      <c:pt idx="123">
                        <c:v>-25</c:v>
                      </c:pt>
                      <c:pt idx="124">
                        <c:v>-25</c:v>
                      </c:pt>
                      <c:pt idx="125">
                        <c:v>-25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-0.42323416053634372</c:v>
                      </c:pt>
                      <c:pt idx="129">
                        <c:v>-7.3319999992799998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-7.6820000000000004</c:v>
                      </c:pt>
                      <c:pt idx="136">
                        <c:v>-11.61199999938</c:v>
                      </c:pt>
                      <c:pt idx="137">
                        <c:v>-14.046999999240001</c:v>
                      </c:pt>
                      <c:pt idx="138">
                        <c:v>-9.2359999993600006</c:v>
                      </c:pt>
                      <c:pt idx="139">
                        <c:v>-7.4179999993600001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-9.7178812983521574</c:v>
                      </c:pt>
                      <c:pt idx="143">
                        <c:v>-6.543881298352157</c:v>
                      </c:pt>
                      <c:pt idx="144">
                        <c:v>-4.4258812983521567</c:v>
                      </c:pt>
                      <c:pt idx="145">
                        <c:v>-3.6658812983521574</c:v>
                      </c:pt>
                      <c:pt idx="146">
                        <c:v>-19.443925891882046</c:v>
                      </c:pt>
                      <c:pt idx="147">
                        <c:v>-25</c:v>
                      </c:pt>
                      <c:pt idx="148">
                        <c:v>-25</c:v>
                      </c:pt>
                      <c:pt idx="149">
                        <c:v>-25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-4.8876604948411693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-6.7598812983521572</c:v>
                      </c:pt>
                      <c:pt idx="167">
                        <c:v>-5.043881298352157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2A1-48B9-9271-98E7C1B836D8}"/>
                  </c:ext>
                </c:extLst>
              </c15:ser>
            </c15:filteredBarSeries>
          </c:ext>
        </c:extLst>
      </c:barChart>
      <c:catAx>
        <c:axId val="2511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55856"/>
        <c:crosses val="autoZero"/>
        <c:auto val="1"/>
        <c:lblAlgn val="ctr"/>
        <c:lblOffset val="100"/>
        <c:noMultiLvlLbl val="1"/>
      </c:catAx>
      <c:valAx>
        <c:axId val="251155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5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National Grid Node Balance</a:t>
            </a:r>
            <a:br>
              <a:rPr lang="fr-FR" sz="1600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</a:br>
            <a:r>
              <a:rPr lang="fr-FR" sz="1400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week</a:t>
            </a:r>
            <a:endParaRPr lang="fr-FR" sz="1600" b="1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Graphs!$M$5</c:f>
              <c:strCache>
                <c:ptCount val="1"/>
                <c:pt idx="0">
                  <c:v>Grid_Export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Graphs!$A$6:$A$173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Graphs!$M$6:$M$173</c:f>
              <c:numCache>
                <c:formatCode>0.00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-3.0630000000000006</c:v>
                </c:pt>
                <c:pt idx="13">
                  <c:v>-3.8120000000000012</c:v>
                </c:pt>
                <c:pt idx="14">
                  <c:v>0</c:v>
                </c:pt>
                <c:pt idx="15">
                  <c:v>-1.0723424315551586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-23.961000000449999</c:v>
                </c:pt>
                <c:pt idx="31">
                  <c:v>-2.7388443445182631</c:v>
                </c:pt>
                <c:pt idx="32">
                  <c:v>-4.1129999999999995</c:v>
                </c:pt>
                <c:pt idx="33">
                  <c:v>-7.8539999999999992</c:v>
                </c:pt>
                <c:pt idx="34">
                  <c:v>-21.567</c:v>
                </c:pt>
                <c:pt idx="35">
                  <c:v>-20.302</c:v>
                </c:pt>
                <c:pt idx="36">
                  <c:v>-22.829000000000001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-3.5059999999999993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-21.903000000639999</c:v>
                </c:pt>
                <c:pt idx="79">
                  <c:v>-10.596759585251313</c:v>
                </c:pt>
                <c:pt idx="80">
                  <c:v>-6.3079999999999998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-8.7149999999999999</c:v>
                </c:pt>
                <c:pt idx="86">
                  <c:v>0</c:v>
                </c:pt>
                <c:pt idx="87">
                  <c:v>-0.35400000000000098</c:v>
                </c:pt>
                <c:pt idx="88">
                  <c:v>-2.8470000000000013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-2.0409999999999995</c:v>
                </c:pt>
                <c:pt idx="154">
                  <c:v>0</c:v>
                </c:pt>
                <c:pt idx="155">
                  <c:v>0</c:v>
                </c:pt>
                <c:pt idx="156">
                  <c:v>-7.0750000000000002</c:v>
                </c:pt>
                <c:pt idx="157">
                  <c:v>0</c:v>
                </c:pt>
                <c:pt idx="158">
                  <c:v>0</c:v>
                </c:pt>
                <c:pt idx="159">
                  <c:v>-1.9159999999999986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F5-463E-9205-049092961BA1}"/>
            </c:ext>
          </c:extLst>
        </c:ser>
        <c:ser>
          <c:idx val="5"/>
          <c:order val="5"/>
          <c:tx>
            <c:strRef>
              <c:f>Graphs!$R$5</c:f>
              <c:strCache>
                <c:ptCount val="1"/>
                <c:pt idx="0">
                  <c:v>Grid_imp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Graphs!$A$6:$A$173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Graphs!$R$6:$R$173</c:f>
              <c:numCache>
                <c:formatCode>0.00</c:formatCode>
                <c:ptCount val="168"/>
                <c:pt idx="0">
                  <c:v>5.3399999995499998</c:v>
                </c:pt>
                <c:pt idx="1">
                  <c:v>3.69699999955</c:v>
                </c:pt>
                <c:pt idx="2">
                  <c:v>6.3317080478592676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4.7879999995500002</c:v>
                </c:pt>
                <c:pt idx="7">
                  <c:v>2.1909999999999998</c:v>
                </c:pt>
                <c:pt idx="8">
                  <c:v>0.38699999999999957</c:v>
                </c:pt>
                <c:pt idx="9">
                  <c:v>8.3230000000000004</c:v>
                </c:pt>
                <c:pt idx="10">
                  <c:v>7.6340000000000003</c:v>
                </c:pt>
                <c:pt idx="11">
                  <c:v>3.1270000000000007</c:v>
                </c:pt>
                <c:pt idx="12">
                  <c:v>0</c:v>
                </c:pt>
                <c:pt idx="13">
                  <c:v>0</c:v>
                </c:pt>
                <c:pt idx="14">
                  <c:v>2.9510000000000005</c:v>
                </c:pt>
                <c:pt idx="15">
                  <c:v>0</c:v>
                </c:pt>
                <c:pt idx="16">
                  <c:v>4.6310000000000002</c:v>
                </c:pt>
                <c:pt idx="17">
                  <c:v>8.4875381894747726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6.6878812985421572</c:v>
                </c:pt>
                <c:pt idx="25">
                  <c:v>3.8918812985421578</c:v>
                </c:pt>
                <c:pt idx="26">
                  <c:v>17.291946162757107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7.801881298352157</c:v>
                </c:pt>
                <c:pt idx="48">
                  <c:v>7.4268812983521579</c:v>
                </c:pt>
                <c:pt idx="49">
                  <c:v>3.9803928552526808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2.8384346848337589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5.5859999999999985</c:v>
                </c:pt>
                <c:pt idx="63">
                  <c:v>10.302</c:v>
                </c:pt>
                <c:pt idx="64">
                  <c:v>9.7329999999999988</c:v>
                </c:pt>
                <c:pt idx="65">
                  <c:v>16.416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22.970999999359996</c:v>
                </c:pt>
                <c:pt idx="70">
                  <c:v>12.863881298352158</c:v>
                </c:pt>
                <c:pt idx="71">
                  <c:v>9.2718812983521577</c:v>
                </c:pt>
                <c:pt idx="72">
                  <c:v>5.7718812983521568</c:v>
                </c:pt>
                <c:pt idx="73">
                  <c:v>5.8288812983521572</c:v>
                </c:pt>
                <c:pt idx="74">
                  <c:v>20.807993992454637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4.2980228365982978</c:v>
                </c:pt>
                <c:pt idx="87">
                  <c:v>0</c:v>
                </c:pt>
                <c:pt idx="88">
                  <c:v>0</c:v>
                </c:pt>
                <c:pt idx="89">
                  <c:v>4.7150000000000007</c:v>
                </c:pt>
                <c:pt idx="90">
                  <c:v>16.50299999936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8.3538812983521584</c:v>
                </c:pt>
                <c:pt idx="96">
                  <c:v>4.7388812983521573</c:v>
                </c:pt>
                <c:pt idx="97">
                  <c:v>4.2858812983521579</c:v>
                </c:pt>
                <c:pt idx="98">
                  <c:v>22.512250546889319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15.524991326485805</c:v>
                </c:pt>
                <c:pt idx="117">
                  <c:v>12.47999999936</c:v>
                </c:pt>
                <c:pt idx="118">
                  <c:v>8.4398812983521587</c:v>
                </c:pt>
                <c:pt idx="119">
                  <c:v>7.604881298352157</c:v>
                </c:pt>
                <c:pt idx="120">
                  <c:v>7.0538812983521568</c:v>
                </c:pt>
                <c:pt idx="121">
                  <c:v>4.2418812983521574</c:v>
                </c:pt>
                <c:pt idx="122">
                  <c:v>22.903350799155277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0</c:v>
                </c:pt>
                <c:pt idx="127">
                  <c:v>0</c:v>
                </c:pt>
                <c:pt idx="128">
                  <c:v>0.42323416053634372</c:v>
                </c:pt>
                <c:pt idx="129">
                  <c:v>7.3319999992799998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7.6820000000000004</c:v>
                </c:pt>
                <c:pt idx="136">
                  <c:v>11.61199999938</c:v>
                </c:pt>
                <c:pt idx="137">
                  <c:v>14.046999999240001</c:v>
                </c:pt>
                <c:pt idx="138">
                  <c:v>9.2359999993600006</c:v>
                </c:pt>
                <c:pt idx="139">
                  <c:v>7.4179999993600001</c:v>
                </c:pt>
                <c:pt idx="140">
                  <c:v>0</c:v>
                </c:pt>
                <c:pt idx="141">
                  <c:v>0</c:v>
                </c:pt>
                <c:pt idx="142">
                  <c:v>9.7178812983521574</c:v>
                </c:pt>
                <c:pt idx="143">
                  <c:v>6.543881298352157</c:v>
                </c:pt>
                <c:pt idx="144">
                  <c:v>4.4258812983521567</c:v>
                </c:pt>
                <c:pt idx="145">
                  <c:v>3.6658812983521574</c:v>
                </c:pt>
                <c:pt idx="146">
                  <c:v>19.443925891882046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4.8876604948411693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6.7598812983521572</c:v>
                </c:pt>
                <c:pt idx="167">
                  <c:v>5.043881298352157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F5-463E-9205-049092961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157776"/>
        <c:axId val="25115585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Graphs!$N$5</c15:sqref>
                        </c15:formulaRef>
                      </c:ext>
                    </c:extLst>
                    <c:strCache>
                      <c:ptCount val="1"/>
                      <c:pt idx="0">
                        <c:v>Diesel_output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Graphs!$A$6:$A$173</c15:sqref>
                        </c15:formulaRef>
                      </c:ext>
                    </c:extLst>
                    <c:numCache>
                      <c:formatCode>General</c:formatCode>
                      <c:ptCount val="16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Graphs!$N$6:$N$173</c15:sqref>
                        </c15:formulaRef>
                      </c:ext>
                    </c:extLst>
                    <c:numCache>
                      <c:formatCode>0.00</c:formatCode>
                      <c:ptCount val="1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7.7458824778439643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7F5-463E-9205-049092961BA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Graphs!$G$5</c:f>
              <c:strCache>
                <c:ptCount val="1"/>
                <c:pt idx="0">
                  <c:v>PV_output</c:v>
                </c:pt>
              </c:strCache>
            </c:strRef>
          </c:tx>
          <c:spPr>
            <a:ln w="28575" cap="rnd">
              <a:solidFill>
                <a:srgbClr val="FFC000">
                  <a:alpha val="78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Graphs!$A$6:$A$173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Graphs!$G$6:$G$173</c:f>
              <c:numCache>
                <c:formatCode>0.00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1.87</c:v>
                </c:pt>
                <c:pt idx="8">
                  <c:v>3.66</c:v>
                </c:pt>
                <c:pt idx="9">
                  <c:v>4</c:v>
                </c:pt>
                <c:pt idx="10">
                  <c:v>5.43</c:v>
                </c:pt>
                <c:pt idx="11">
                  <c:v>13.81</c:v>
                </c:pt>
                <c:pt idx="12">
                  <c:v>12.38</c:v>
                </c:pt>
                <c:pt idx="13">
                  <c:v>17.25</c:v>
                </c:pt>
                <c:pt idx="14">
                  <c:v>15.7</c:v>
                </c:pt>
                <c:pt idx="15">
                  <c:v>9.6199999999999992</c:v>
                </c:pt>
                <c:pt idx="16">
                  <c:v>9.92</c:v>
                </c:pt>
                <c:pt idx="17">
                  <c:v>3.97</c:v>
                </c:pt>
                <c:pt idx="18">
                  <c:v>2.06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4.96</c:v>
                </c:pt>
                <c:pt idx="32">
                  <c:v>7.22</c:v>
                </c:pt>
                <c:pt idx="33">
                  <c:v>16.11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25.37</c:v>
                </c:pt>
                <c:pt idx="38">
                  <c:v>22.46</c:v>
                </c:pt>
                <c:pt idx="39">
                  <c:v>22.96</c:v>
                </c:pt>
                <c:pt idx="40">
                  <c:v>13.04</c:v>
                </c:pt>
                <c:pt idx="41">
                  <c:v>8.49</c:v>
                </c:pt>
                <c:pt idx="42">
                  <c:v>2.61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7.59</c:v>
                </c:pt>
                <c:pt idx="57">
                  <c:v>7.15</c:v>
                </c:pt>
                <c:pt idx="58">
                  <c:v>9.9499999999999993</c:v>
                </c:pt>
                <c:pt idx="59">
                  <c:v>10.63</c:v>
                </c:pt>
                <c:pt idx="60">
                  <c:v>10.66</c:v>
                </c:pt>
                <c:pt idx="61">
                  <c:v>11.91</c:v>
                </c:pt>
                <c:pt idx="62">
                  <c:v>11.57</c:v>
                </c:pt>
                <c:pt idx="63">
                  <c:v>5.25</c:v>
                </c:pt>
                <c:pt idx="64">
                  <c:v>5.15</c:v>
                </c:pt>
                <c:pt idx="65">
                  <c:v>5.38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5.74</c:v>
                </c:pt>
                <c:pt idx="80">
                  <c:v>9.41</c:v>
                </c:pt>
                <c:pt idx="81">
                  <c:v>7.42</c:v>
                </c:pt>
                <c:pt idx="82">
                  <c:v>22.66</c:v>
                </c:pt>
                <c:pt idx="83">
                  <c:v>30</c:v>
                </c:pt>
                <c:pt idx="84">
                  <c:v>30</c:v>
                </c:pt>
                <c:pt idx="85">
                  <c:v>20.59</c:v>
                </c:pt>
                <c:pt idx="86">
                  <c:v>8.7799999999999994</c:v>
                </c:pt>
                <c:pt idx="87">
                  <c:v>12.08</c:v>
                </c:pt>
                <c:pt idx="88">
                  <c:v>11.3</c:v>
                </c:pt>
                <c:pt idx="89">
                  <c:v>7.89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10.220000000000001</c:v>
                </c:pt>
                <c:pt idx="105">
                  <c:v>5.77</c:v>
                </c:pt>
                <c:pt idx="106">
                  <c:v>4.68</c:v>
                </c:pt>
                <c:pt idx="107">
                  <c:v>5.47</c:v>
                </c:pt>
                <c:pt idx="108">
                  <c:v>6.01</c:v>
                </c:pt>
                <c:pt idx="109">
                  <c:v>15.97</c:v>
                </c:pt>
                <c:pt idx="110">
                  <c:v>7.89</c:v>
                </c:pt>
                <c:pt idx="111">
                  <c:v>7.55</c:v>
                </c:pt>
                <c:pt idx="112">
                  <c:v>5.68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4.9800000000000004</c:v>
                </c:pt>
                <c:pt idx="131">
                  <c:v>4.91</c:v>
                </c:pt>
                <c:pt idx="132">
                  <c:v>6.47</c:v>
                </c:pt>
                <c:pt idx="133">
                  <c:v>10.87</c:v>
                </c:pt>
                <c:pt idx="134">
                  <c:v>4.5199999999999996</c:v>
                </c:pt>
                <c:pt idx="135">
                  <c:v>7.59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9.2799999999999994</c:v>
                </c:pt>
                <c:pt idx="154">
                  <c:v>11.87</c:v>
                </c:pt>
                <c:pt idx="155">
                  <c:v>7.63</c:v>
                </c:pt>
                <c:pt idx="156">
                  <c:v>9.48</c:v>
                </c:pt>
                <c:pt idx="157">
                  <c:v>6.32</c:v>
                </c:pt>
                <c:pt idx="158">
                  <c:v>8.3699999999999992</c:v>
                </c:pt>
                <c:pt idx="159">
                  <c:v>10.28</c:v>
                </c:pt>
                <c:pt idx="160">
                  <c:v>5.61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5-463E-9205-049092961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157776"/>
        <c:axId val="251155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Graphs!$B$5</c15:sqref>
                        </c15:formulaRef>
                      </c:ext>
                    </c:extLst>
                    <c:strCache>
                      <c:ptCount val="1"/>
                      <c:pt idx="0">
                        <c:v>Load A+B</c:v>
                      </c:pt>
                    </c:strCache>
                  </c:strRef>
                </c:tx>
                <c:spPr>
                  <a:ln w="28575" cap="rnd">
                    <a:solidFill>
                      <a:schemeClr val="tx1">
                        <a:lumMod val="65000"/>
                        <a:lumOff val="3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Graphs!$A$6:$A$173</c15:sqref>
                        </c15:formulaRef>
                      </c:ext>
                    </c:extLst>
                    <c:numCache>
                      <c:formatCode>General</c:formatCode>
                      <c:ptCount val="16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Graphs!$B$6:$B$173</c15:sqref>
                        </c15:formulaRef>
                      </c:ext>
                    </c:extLst>
                    <c:numCache>
                      <c:formatCode>General</c:formatCode>
                      <c:ptCount val="168"/>
                      <c:pt idx="0">
                        <c:v>5.34</c:v>
                      </c:pt>
                      <c:pt idx="1">
                        <c:v>3.6970000000000001</c:v>
                      </c:pt>
                      <c:pt idx="2">
                        <c:v>5.4369999999999994</c:v>
                      </c:pt>
                      <c:pt idx="3">
                        <c:v>6.6880000000000006</c:v>
                      </c:pt>
                      <c:pt idx="4">
                        <c:v>6.7219999999999995</c:v>
                      </c:pt>
                      <c:pt idx="5">
                        <c:v>6.48</c:v>
                      </c:pt>
                      <c:pt idx="6">
                        <c:v>4.7880000000000003</c:v>
                      </c:pt>
                      <c:pt idx="7">
                        <c:v>4.0609999999999999</c:v>
                      </c:pt>
                      <c:pt idx="8">
                        <c:v>4.0469999999999997</c:v>
                      </c:pt>
                      <c:pt idx="9">
                        <c:v>12.323</c:v>
                      </c:pt>
                      <c:pt idx="10">
                        <c:v>13.064</c:v>
                      </c:pt>
                      <c:pt idx="11">
                        <c:v>16.937000000000001</c:v>
                      </c:pt>
                      <c:pt idx="12">
                        <c:v>9.3170000000000002</c:v>
                      </c:pt>
                      <c:pt idx="13">
                        <c:v>13.437999999999999</c:v>
                      </c:pt>
                      <c:pt idx="14">
                        <c:v>18.651</c:v>
                      </c:pt>
                      <c:pt idx="15">
                        <c:v>8.4860000000000007</c:v>
                      </c:pt>
                      <c:pt idx="16">
                        <c:v>14.551</c:v>
                      </c:pt>
                      <c:pt idx="17">
                        <c:v>12.445</c:v>
                      </c:pt>
                      <c:pt idx="18">
                        <c:v>15.521000000000001</c:v>
                      </c:pt>
                      <c:pt idx="19">
                        <c:v>9.0039999999999996</c:v>
                      </c:pt>
                      <c:pt idx="20">
                        <c:v>25.151</c:v>
                      </c:pt>
                      <c:pt idx="21">
                        <c:v>25.984999999999999</c:v>
                      </c:pt>
                      <c:pt idx="22">
                        <c:v>8.2759999999999998</c:v>
                      </c:pt>
                      <c:pt idx="23">
                        <c:v>7.6020000000000003</c:v>
                      </c:pt>
                      <c:pt idx="24">
                        <c:v>6.6859999999999999</c:v>
                      </c:pt>
                      <c:pt idx="25">
                        <c:v>3.89</c:v>
                      </c:pt>
                      <c:pt idx="26">
                        <c:v>1.649</c:v>
                      </c:pt>
                      <c:pt idx="27">
                        <c:v>5.4889999999999999</c:v>
                      </c:pt>
                      <c:pt idx="28">
                        <c:v>3.1379999999999999</c:v>
                      </c:pt>
                      <c:pt idx="29">
                        <c:v>3.62</c:v>
                      </c:pt>
                      <c:pt idx="30">
                        <c:v>3.0390000000000001</c:v>
                      </c:pt>
                      <c:pt idx="31">
                        <c:v>3.2569999999999997</c:v>
                      </c:pt>
                      <c:pt idx="32">
                        <c:v>3.1070000000000002</c:v>
                      </c:pt>
                      <c:pt idx="33">
                        <c:v>8.2560000000000002</c:v>
                      </c:pt>
                      <c:pt idx="34">
                        <c:v>8.4329999999999998</c:v>
                      </c:pt>
                      <c:pt idx="35">
                        <c:v>9.6980000000000004</c:v>
                      </c:pt>
                      <c:pt idx="36">
                        <c:v>7.1709999999999994</c:v>
                      </c:pt>
                      <c:pt idx="37">
                        <c:v>13.058999999999999</c:v>
                      </c:pt>
                      <c:pt idx="38">
                        <c:v>19.658999999999999</c:v>
                      </c:pt>
                      <c:pt idx="39">
                        <c:v>11.02</c:v>
                      </c:pt>
                      <c:pt idx="40">
                        <c:v>12.731999999999999</c:v>
                      </c:pt>
                      <c:pt idx="41">
                        <c:v>15.163</c:v>
                      </c:pt>
                      <c:pt idx="42">
                        <c:v>8.5949999999999989</c:v>
                      </c:pt>
                      <c:pt idx="43">
                        <c:v>6.4190000000000005</c:v>
                      </c:pt>
                      <c:pt idx="44">
                        <c:v>18.837</c:v>
                      </c:pt>
                      <c:pt idx="45">
                        <c:v>12.815000000000001</c:v>
                      </c:pt>
                      <c:pt idx="46">
                        <c:v>6.157</c:v>
                      </c:pt>
                      <c:pt idx="47">
                        <c:v>7.8</c:v>
                      </c:pt>
                      <c:pt idx="48">
                        <c:v>7.4250000000000007</c:v>
                      </c:pt>
                      <c:pt idx="49">
                        <c:v>3.8970000000000002</c:v>
                      </c:pt>
                      <c:pt idx="50">
                        <c:v>4.1590000000000007</c:v>
                      </c:pt>
                      <c:pt idx="51">
                        <c:v>6.0329999999999995</c:v>
                      </c:pt>
                      <c:pt idx="52">
                        <c:v>5.3309999999999995</c:v>
                      </c:pt>
                      <c:pt idx="53">
                        <c:v>6.1620000000000008</c:v>
                      </c:pt>
                      <c:pt idx="54">
                        <c:v>4.6669999999999998</c:v>
                      </c:pt>
                      <c:pt idx="55">
                        <c:v>3.0510000000000002</c:v>
                      </c:pt>
                      <c:pt idx="56">
                        <c:v>4.0840000000000005</c:v>
                      </c:pt>
                      <c:pt idx="57">
                        <c:v>11.42</c:v>
                      </c:pt>
                      <c:pt idx="58">
                        <c:v>13.649000000000001</c:v>
                      </c:pt>
                      <c:pt idx="59">
                        <c:v>18.292999999999999</c:v>
                      </c:pt>
                      <c:pt idx="60">
                        <c:v>7.2679999999999998</c:v>
                      </c:pt>
                      <c:pt idx="61">
                        <c:v>12.077999999999999</c:v>
                      </c:pt>
                      <c:pt idx="62">
                        <c:v>17.155999999999999</c:v>
                      </c:pt>
                      <c:pt idx="63">
                        <c:v>15.552</c:v>
                      </c:pt>
                      <c:pt idx="64">
                        <c:v>14.882999999999999</c:v>
                      </c:pt>
                      <c:pt idx="65">
                        <c:v>21.795999999999999</c:v>
                      </c:pt>
                      <c:pt idx="66">
                        <c:v>16.169</c:v>
                      </c:pt>
                      <c:pt idx="67">
                        <c:v>6.0460000000000003</c:v>
                      </c:pt>
                      <c:pt idx="68">
                        <c:v>22.764000000000003</c:v>
                      </c:pt>
                      <c:pt idx="69">
                        <c:v>22.970999999999997</c:v>
                      </c:pt>
                      <c:pt idx="70">
                        <c:v>12.862</c:v>
                      </c:pt>
                      <c:pt idx="71">
                        <c:v>9.27</c:v>
                      </c:pt>
                      <c:pt idx="72">
                        <c:v>5.77</c:v>
                      </c:pt>
                      <c:pt idx="73">
                        <c:v>5.827</c:v>
                      </c:pt>
                      <c:pt idx="74">
                        <c:v>5.516</c:v>
                      </c:pt>
                      <c:pt idx="75">
                        <c:v>3.9329999999999998</c:v>
                      </c:pt>
                      <c:pt idx="76">
                        <c:v>3.5209999999999999</c:v>
                      </c:pt>
                      <c:pt idx="77">
                        <c:v>4.4420000000000002</c:v>
                      </c:pt>
                      <c:pt idx="78">
                        <c:v>5.0969999999999995</c:v>
                      </c:pt>
                      <c:pt idx="79">
                        <c:v>2.8209999999999997</c:v>
                      </c:pt>
                      <c:pt idx="80">
                        <c:v>3.1019999999999999</c:v>
                      </c:pt>
                      <c:pt idx="81">
                        <c:v>7.5139999999999993</c:v>
                      </c:pt>
                      <c:pt idx="82">
                        <c:v>18.753</c:v>
                      </c:pt>
                      <c:pt idx="83">
                        <c:v>14.058</c:v>
                      </c:pt>
                      <c:pt idx="84">
                        <c:v>6.5529999999999999</c:v>
                      </c:pt>
                      <c:pt idx="85">
                        <c:v>11.875</c:v>
                      </c:pt>
                      <c:pt idx="86">
                        <c:v>19.46</c:v>
                      </c:pt>
                      <c:pt idx="87">
                        <c:v>11.725999999999999</c:v>
                      </c:pt>
                      <c:pt idx="88">
                        <c:v>8.4529999999999994</c:v>
                      </c:pt>
                      <c:pt idx="89">
                        <c:v>12.605</c:v>
                      </c:pt>
                      <c:pt idx="90">
                        <c:v>16.503</c:v>
                      </c:pt>
                      <c:pt idx="91">
                        <c:v>8.0090000000000003</c:v>
                      </c:pt>
                      <c:pt idx="92">
                        <c:v>17.492000000000001</c:v>
                      </c:pt>
                      <c:pt idx="93">
                        <c:v>21.141000000000002</c:v>
                      </c:pt>
                      <c:pt idx="94">
                        <c:v>9.9290000000000003</c:v>
                      </c:pt>
                      <c:pt idx="95">
                        <c:v>8.3520000000000003</c:v>
                      </c:pt>
                      <c:pt idx="96">
                        <c:v>4.7370000000000001</c:v>
                      </c:pt>
                      <c:pt idx="97">
                        <c:v>4.2840000000000007</c:v>
                      </c:pt>
                      <c:pt idx="98">
                        <c:v>3.9359999999999999</c:v>
                      </c:pt>
                      <c:pt idx="99">
                        <c:v>5.92</c:v>
                      </c:pt>
                      <c:pt idx="100">
                        <c:v>3.673</c:v>
                      </c:pt>
                      <c:pt idx="101">
                        <c:v>5.5869999999999997</c:v>
                      </c:pt>
                      <c:pt idx="102">
                        <c:v>3.7050000000000001</c:v>
                      </c:pt>
                      <c:pt idx="103">
                        <c:v>2.3360000000000003</c:v>
                      </c:pt>
                      <c:pt idx="104">
                        <c:v>3.6339999999999999</c:v>
                      </c:pt>
                      <c:pt idx="105">
                        <c:v>9.3680000000000003</c:v>
                      </c:pt>
                      <c:pt idx="106">
                        <c:v>11.446</c:v>
                      </c:pt>
                      <c:pt idx="107">
                        <c:v>10.148</c:v>
                      </c:pt>
                      <c:pt idx="108">
                        <c:v>4.3600000000000003</c:v>
                      </c:pt>
                      <c:pt idx="109">
                        <c:v>13.729000000000001</c:v>
                      </c:pt>
                      <c:pt idx="110">
                        <c:v>12.83</c:v>
                      </c:pt>
                      <c:pt idx="111">
                        <c:v>17.301000000000002</c:v>
                      </c:pt>
                      <c:pt idx="112">
                        <c:v>8.2769999999999992</c:v>
                      </c:pt>
                      <c:pt idx="113">
                        <c:v>12.975999999999999</c:v>
                      </c:pt>
                      <c:pt idx="114">
                        <c:v>11.073</c:v>
                      </c:pt>
                      <c:pt idx="115">
                        <c:v>6.9450000000000003</c:v>
                      </c:pt>
                      <c:pt idx="116">
                        <c:v>17.516000000000002</c:v>
                      </c:pt>
                      <c:pt idx="117">
                        <c:v>12.48</c:v>
                      </c:pt>
                      <c:pt idx="118">
                        <c:v>8.4380000000000006</c:v>
                      </c:pt>
                      <c:pt idx="119">
                        <c:v>7.6029999999999998</c:v>
                      </c:pt>
                      <c:pt idx="120">
                        <c:v>7.0519999999999996</c:v>
                      </c:pt>
                      <c:pt idx="121">
                        <c:v>4.24</c:v>
                      </c:pt>
                      <c:pt idx="122">
                        <c:v>4.6579999999999995</c:v>
                      </c:pt>
                      <c:pt idx="123">
                        <c:v>3.468</c:v>
                      </c:pt>
                      <c:pt idx="124">
                        <c:v>6.0969999999999995</c:v>
                      </c:pt>
                      <c:pt idx="125">
                        <c:v>5.2840000000000007</c:v>
                      </c:pt>
                      <c:pt idx="126">
                        <c:v>5.0169999999999995</c:v>
                      </c:pt>
                      <c:pt idx="127">
                        <c:v>3.0949999999999998</c:v>
                      </c:pt>
                      <c:pt idx="128">
                        <c:v>2.62</c:v>
                      </c:pt>
                      <c:pt idx="129">
                        <c:v>7.3319999999999999</c:v>
                      </c:pt>
                      <c:pt idx="130">
                        <c:v>12.55</c:v>
                      </c:pt>
                      <c:pt idx="131">
                        <c:v>9.3879999999999999</c:v>
                      </c:pt>
                      <c:pt idx="132">
                        <c:v>4.766</c:v>
                      </c:pt>
                      <c:pt idx="133">
                        <c:v>12.054</c:v>
                      </c:pt>
                      <c:pt idx="134">
                        <c:v>14.384</c:v>
                      </c:pt>
                      <c:pt idx="135">
                        <c:v>15.272</c:v>
                      </c:pt>
                      <c:pt idx="136">
                        <c:v>11.612</c:v>
                      </c:pt>
                      <c:pt idx="137">
                        <c:v>14.047000000000001</c:v>
                      </c:pt>
                      <c:pt idx="138">
                        <c:v>9.2360000000000007</c:v>
                      </c:pt>
                      <c:pt idx="139">
                        <c:v>7.4180000000000001</c:v>
                      </c:pt>
                      <c:pt idx="140">
                        <c:v>16.143000000000001</c:v>
                      </c:pt>
                      <c:pt idx="141">
                        <c:v>14.757000000000001</c:v>
                      </c:pt>
                      <c:pt idx="142">
                        <c:v>9.7159999999999993</c:v>
                      </c:pt>
                      <c:pt idx="143">
                        <c:v>6.5419999999999998</c:v>
                      </c:pt>
                      <c:pt idx="144">
                        <c:v>4.4239999999999995</c:v>
                      </c:pt>
                      <c:pt idx="145">
                        <c:v>3.6639999999999997</c:v>
                      </c:pt>
                      <c:pt idx="146">
                        <c:v>5.1260000000000003</c:v>
                      </c:pt>
                      <c:pt idx="147">
                        <c:v>3.2009999999999996</c:v>
                      </c:pt>
                      <c:pt idx="148">
                        <c:v>3.794</c:v>
                      </c:pt>
                      <c:pt idx="149">
                        <c:v>3.927</c:v>
                      </c:pt>
                      <c:pt idx="150">
                        <c:v>2.548</c:v>
                      </c:pt>
                      <c:pt idx="151">
                        <c:v>2.3529999999999998</c:v>
                      </c:pt>
                      <c:pt idx="152">
                        <c:v>2.8079999999999998</c:v>
                      </c:pt>
                      <c:pt idx="153">
                        <c:v>7.2389999999999999</c:v>
                      </c:pt>
                      <c:pt idx="154">
                        <c:v>14.062999999999999</c:v>
                      </c:pt>
                      <c:pt idx="155">
                        <c:v>8.6490000000000009</c:v>
                      </c:pt>
                      <c:pt idx="156">
                        <c:v>2.4050000000000002</c:v>
                      </c:pt>
                      <c:pt idx="157">
                        <c:v>7.032</c:v>
                      </c:pt>
                      <c:pt idx="158">
                        <c:v>12.308</c:v>
                      </c:pt>
                      <c:pt idx="159">
                        <c:v>8.3640000000000008</c:v>
                      </c:pt>
                      <c:pt idx="160">
                        <c:v>13.899000000000001</c:v>
                      </c:pt>
                      <c:pt idx="161">
                        <c:v>9.8359999999999985</c:v>
                      </c:pt>
                      <c:pt idx="162">
                        <c:v>7.2430000000000003</c:v>
                      </c:pt>
                      <c:pt idx="163">
                        <c:v>6.1539999999999999</c:v>
                      </c:pt>
                      <c:pt idx="164">
                        <c:v>15.859</c:v>
                      </c:pt>
                      <c:pt idx="165">
                        <c:v>4.867</c:v>
                      </c:pt>
                      <c:pt idx="166">
                        <c:v>6.758</c:v>
                      </c:pt>
                      <c:pt idx="167">
                        <c:v>5.0419999999999998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7F5-463E-9205-049092961BA1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strRef>
              <c:f>Graphs!$S$5</c:f>
              <c:strCache>
                <c:ptCount val="1"/>
                <c:pt idx="0">
                  <c:v>Grid Availibilty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0">
                <a:solidFill>
                  <a:srgbClr val="C00000"/>
                </a:solidFill>
              </a:ln>
              <a:effectLst/>
            </c:spPr>
          </c:marker>
          <c:xVal>
            <c:numRef>
              <c:f>Graphs!$A$6:$A$173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xVal>
          <c:yVal>
            <c:numRef>
              <c:f>Graphs!$S$6:$S$173</c:f>
              <c:numCache>
                <c:formatCode>0</c:formatCode>
                <c:ptCount val="1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F5-463E-9205-049092961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86256"/>
        <c:axId val="255685936"/>
      </c:scatterChart>
      <c:catAx>
        <c:axId val="2511577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55856"/>
        <c:crosses val="autoZero"/>
        <c:auto val="1"/>
        <c:lblAlgn val="ctr"/>
        <c:lblOffset val="100"/>
        <c:noMultiLvlLbl val="1"/>
      </c:catAx>
      <c:valAx>
        <c:axId val="251155856"/>
        <c:scaling>
          <c:orientation val="minMax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57776"/>
        <c:crosses val="autoZero"/>
        <c:crossBetween val="between"/>
      </c:valAx>
      <c:valAx>
        <c:axId val="255685936"/>
        <c:scaling>
          <c:orientation val="minMax"/>
          <c:max val="4"/>
          <c:min val="-3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86256"/>
        <c:crosses val="max"/>
        <c:crossBetween val="midCat"/>
        <c:majorUnit val="1"/>
      </c:valAx>
      <c:valAx>
        <c:axId val="25568625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5568593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National Grid Node Balance</a:t>
            </a:r>
            <a:br>
              <a:rPr lang="fr-FR" sz="1600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</a:br>
            <a:r>
              <a:rPr lang="fr-FR" sz="1400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48h</a:t>
            </a:r>
            <a:endParaRPr lang="fr-FR" sz="1600" b="1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Graphs!$M$5</c:f>
              <c:strCache>
                <c:ptCount val="1"/>
                <c:pt idx="0">
                  <c:v>Grid_Export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Graphs!$A$6:$A$173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Graphs!$M$6:$M$52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-3.0630000000000006</c:v>
                </c:pt>
                <c:pt idx="13">
                  <c:v>-3.8120000000000012</c:v>
                </c:pt>
                <c:pt idx="14">
                  <c:v>0</c:v>
                </c:pt>
                <c:pt idx="15">
                  <c:v>-1.0723424315551586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-23.961000000449999</c:v>
                </c:pt>
                <c:pt idx="31">
                  <c:v>-2.7388443445182631</c:v>
                </c:pt>
                <c:pt idx="32">
                  <c:v>-4.1129999999999995</c:v>
                </c:pt>
                <c:pt idx="33">
                  <c:v>-7.8539999999999992</c:v>
                </c:pt>
                <c:pt idx="34">
                  <c:v>-21.567</c:v>
                </c:pt>
                <c:pt idx="35">
                  <c:v>-20.302</c:v>
                </c:pt>
                <c:pt idx="36">
                  <c:v>-22.829000000000001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F-4F95-85DF-65729DE55E8E}"/>
            </c:ext>
          </c:extLst>
        </c:ser>
        <c:ser>
          <c:idx val="5"/>
          <c:order val="5"/>
          <c:tx>
            <c:strRef>
              <c:f>Graphs!$R$5</c:f>
              <c:strCache>
                <c:ptCount val="1"/>
                <c:pt idx="0">
                  <c:v>Grid_imp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Graphs!$A$6:$A$173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Graphs!$R$6:$R$52</c:f>
              <c:numCache>
                <c:formatCode>0.00</c:formatCode>
                <c:ptCount val="47"/>
                <c:pt idx="0">
                  <c:v>5.3399999995499998</c:v>
                </c:pt>
                <c:pt idx="1">
                  <c:v>3.69699999955</c:v>
                </c:pt>
                <c:pt idx="2">
                  <c:v>6.3317080478592676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4.7879999995500002</c:v>
                </c:pt>
                <c:pt idx="7">
                  <c:v>2.1909999999999998</c:v>
                </c:pt>
                <c:pt idx="8">
                  <c:v>0.38699999999999957</c:v>
                </c:pt>
                <c:pt idx="9">
                  <c:v>8.3230000000000004</c:v>
                </c:pt>
                <c:pt idx="10">
                  <c:v>7.6340000000000003</c:v>
                </c:pt>
                <c:pt idx="11">
                  <c:v>3.1270000000000007</c:v>
                </c:pt>
                <c:pt idx="12">
                  <c:v>0</c:v>
                </c:pt>
                <c:pt idx="13">
                  <c:v>0</c:v>
                </c:pt>
                <c:pt idx="14">
                  <c:v>2.9510000000000005</c:v>
                </c:pt>
                <c:pt idx="15">
                  <c:v>0</c:v>
                </c:pt>
                <c:pt idx="16">
                  <c:v>4.6310000000000002</c:v>
                </c:pt>
                <c:pt idx="17">
                  <c:v>8.4875381894747726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6.6878812985421572</c:v>
                </c:pt>
                <c:pt idx="25">
                  <c:v>3.8918812985421578</c:v>
                </c:pt>
                <c:pt idx="26">
                  <c:v>17.291946162757107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F-4F95-85DF-65729DE55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157776"/>
        <c:axId val="25115585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Graphs!$N$5</c15:sqref>
                        </c15:formulaRef>
                      </c:ext>
                    </c:extLst>
                    <c:strCache>
                      <c:ptCount val="1"/>
                      <c:pt idx="0">
                        <c:v>Diesel_output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Graphs!$A$6:$A$173</c15:sqref>
                        </c15:formulaRef>
                      </c:ext>
                    </c:extLst>
                    <c:numCache>
                      <c:formatCode>General</c:formatCode>
                      <c:ptCount val="16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Graphs!$N$6:$N$52</c15:sqref>
                        </c15:formulaRef>
                      </c:ext>
                    </c:extLst>
                    <c:numCache>
                      <c:formatCode>0.00</c:formatCode>
                      <c:ptCount val="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7.7458824778439643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B2F-4F95-85DF-65729DE55E8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Graphs!$G$5</c:f>
              <c:strCache>
                <c:ptCount val="1"/>
                <c:pt idx="0">
                  <c:v>PV_output</c:v>
                </c:pt>
              </c:strCache>
            </c:strRef>
          </c:tx>
          <c:spPr>
            <a:ln w="12700" cap="rnd">
              <a:solidFill>
                <a:schemeClr val="accent2">
                  <a:alpha val="78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Graphs!$A$6:$A$173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Graphs!$G$6:$G$52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1.87</c:v>
                </c:pt>
                <c:pt idx="8">
                  <c:v>3.66</c:v>
                </c:pt>
                <c:pt idx="9">
                  <c:v>4</c:v>
                </c:pt>
                <c:pt idx="10">
                  <c:v>5.43</c:v>
                </c:pt>
                <c:pt idx="11">
                  <c:v>13.81</c:v>
                </c:pt>
                <c:pt idx="12">
                  <c:v>12.38</c:v>
                </c:pt>
                <c:pt idx="13">
                  <c:v>17.25</c:v>
                </c:pt>
                <c:pt idx="14">
                  <c:v>15.7</c:v>
                </c:pt>
                <c:pt idx="15">
                  <c:v>9.6199999999999992</c:v>
                </c:pt>
                <c:pt idx="16">
                  <c:v>9.92</c:v>
                </c:pt>
                <c:pt idx="17">
                  <c:v>3.97</c:v>
                </c:pt>
                <c:pt idx="18">
                  <c:v>2.06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4.96</c:v>
                </c:pt>
                <c:pt idx="32">
                  <c:v>7.22</c:v>
                </c:pt>
                <c:pt idx="33">
                  <c:v>16.11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25.37</c:v>
                </c:pt>
                <c:pt idx="38">
                  <c:v>22.46</c:v>
                </c:pt>
                <c:pt idx="39">
                  <c:v>22.96</c:v>
                </c:pt>
                <c:pt idx="40">
                  <c:v>13.04</c:v>
                </c:pt>
                <c:pt idx="41">
                  <c:v>8.49</c:v>
                </c:pt>
                <c:pt idx="42">
                  <c:v>2.61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2F-4F95-85DF-65729DE55E8E}"/>
            </c:ext>
          </c:extLst>
        </c:ser>
        <c:ser>
          <c:idx val="6"/>
          <c:order val="6"/>
          <c:tx>
            <c:strRef>
              <c:f>Graphs!$E$5</c:f>
              <c:strCache>
                <c:ptCount val="1"/>
                <c:pt idx="0">
                  <c:v>P_Export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Graphs!$E$6:$E$52</c:f>
              <c:numCache>
                <c:formatCode>0.00</c:formatCode>
                <c:ptCount val="47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2F-4F95-85DF-65729DE55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157776"/>
        <c:axId val="251155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Graphs!$B$5</c15:sqref>
                        </c15:formulaRef>
                      </c:ext>
                    </c:extLst>
                    <c:strCache>
                      <c:ptCount val="1"/>
                      <c:pt idx="0">
                        <c:v>Load A+B</c:v>
                      </c:pt>
                    </c:strCache>
                  </c:strRef>
                </c:tx>
                <c:spPr>
                  <a:ln w="28575" cap="rnd">
                    <a:solidFill>
                      <a:schemeClr val="tx1">
                        <a:lumMod val="65000"/>
                        <a:lumOff val="3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Graphs!$A$6:$A$173</c15:sqref>
                        </c15:formulaRef>
                      </c:ext>
                    </c:extLst>
                    <c:numCache>
                      <c:formatCode>General</c:formatCode>
                      <c:ptCount val="16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Graphs!$B$6:$B$52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5.34</c:v>
                      </c:pt>
                      <c:pt idx="1">
                        <c:v>3.6970000000000001</c:v>
                      </c:pt>
                      <c:pt idx="2">
                        <c:v>5.4369999999999994</c:v>
                      </c:pt>
                      <c:pt idx="3">
                        <c:v>6.6880000000000006</c:v>
                      </c:pt>
                      <c:pt idx="4">
                        <c:v>6.7219999999999995</c:v>
                      </c:pt>
                      <c:pt idx="5">
                        <c:v>6.48</c:v>
                      </c:pt>
                      <c:pt idx="6">
                        <c:v>4.7880000000000003</c:v>
                      </c:pt>
                      <c:pt idx="7">
                        <c:v>4.0609999999999999</c:v>
                      </c:pt>
                      <c:pt idx="8">
                        <c:v>4.0469999999999997</c:v>
                      </c:pt>
                      <c:pt idx="9">
                        <c:v>12.323</c:v>
                      </c:pt>
                      <c:pt idx="10">
                        <c:v>13.064</c:v>
                      </c:pt>
                      <c:pt idx="11">
                        <c:v>16.937000000000001</c:v>
                      </c:pt>
                      <c:pt idx="12">
                        <c:v>9.3170000000000002</c:v>
                      </c:pt>
                      <c:pt idx="13">
                        <c:v>13.437999999999999</c:v>
                      </c:pt>
                      <c:pt idx="14">
                        <c:v>18.651</c:v>
                      </c:pt>
                      <c:pt idx="15">
                        <c:v>8.4860000000000007</c:v>
                      </c:pt>
                      <c:pt idx="16">
                        <c:v>14.551</c:v>
                      </c:pt>
                      <c:pt idx="17">
                        <c:v>12.445</c:v>
                      </c:pt>
                      <c:pt idx="18">
                        <c:v>15.521000000000001</c:v>
                      </c:pt>
                      <c:pt idx="19">
                        <c:v>9.0039999999999996</c:v>
                      </c:pt>
                      <c:pt idx="20">
                        <c:v>25.151</c:v>
                      </c:pt>
                      <c:pt idx="21">
                        <c:v>25.984999999999999</c:v>
                      </c:pt>
                      <c:pt idx="22">
                        <c:v>8.2759999999999998</c:v>
                      </c:pt>
                      <c:pt idx="23">
                        <c:v>7.6020000000000003</c:v>
                      </c:pt>
                      <c:pt idx="24">
                        <c:v>6.6859999999999999</c:v>
                      </c:pt>
                      <c:pt idx="25">
                        <c:v>3.89</c:v>
                      </c:pt>
                      <c:pt idx="26">
                        <c:v>1.649</c:v>
                      </c:pt>
                      <c:pt idx="27">
                        <c:v>5.4889999999999999</c:v>
                      </c:pt>
                      <c:pt idx="28">
                        <c:v>3.1379999999999999</c:v>
                      </c:pt>
                      <c:pt idx="29">
                        <c:v>3.62</c:v>
                      </c:pt>
                      <c:pt idx="30">
                        <c:v>3.0390000000000001</c:v>
                      </c:pt>
                      <c:pt idx="31">
                        <c:v>3.2569999999999997</c:v>
                      </c:pt>
                      <c:pt idx="32">
                        <c:v>3.1070000000000002</c:v>
                      </c:pt>
                      <c:pt idx="33">
                        <c:v>8.2560000000000002</c:v>
                      </c:pt>
                      <c:pt idx="34">
                        <c:v>8.4329999999999998</c:v>
                      </c:pt>
                      <c:pt idx="35">
                        <c:v>9.6980000000000004</c:v>
                      </c:pt>
                      <c:pt idx="36">
                        <c:v>7.1709999999999994</c:v>
                      </c:pt>
                      <c:pt idx="37">
                        <c:v>13.058999999999999</c:v>
                      </c:pt>
                      <c:pt idx="38">
                        <c:v>19.658999999999999</c:v>
                      </c:pt>
                      <c:pt idx="39">
                        <c:v>11.02</c:v>
                      </c:pt>
                      <c:pt idx="40">
                        <c:v>12.731999999999999</c:v>
                      </c:pt>
                      <c:pt idx="41">
                        <c:v>15.163</c:v>
                      </c:pt>
                      <c:pt idx="42">
                        <c:v>8.5949999999999989</c:v>
                      </c:pt>
                      <c:pt idx="43">
                        <c:v>6.4190000000000005</c:v>
                      </c:pt>
                      <c:pt idx="44">
                        <c:v>18.837</c:v>
                      </c:pt>
                      <c:pt idx="45">
                        <c:v>12.815000000000001</c:v>
                      </c:pt>
                      <c:pt idx="46">
                        <c:v>6.157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B2F-4F95-85DF-65729DE55E8E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strRef>
              <c:f>Graphs!$S$5</c:f>
              <c:strCache>
                <c:ptCount val="1"/>
                <c:pt idx="0">
                  <c:v>Grid Availibilty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0">
                <a:solidFill>
                  <a:srgbClr val="C00000"/>
                </a:solidFill>
              </a:ln>
              <a:effectLst/>
            </c:spPr>
          </c:marker>
          <c:xVal>
            <c:numRef>
              <c:f>Graphs!$A$6:$A$52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Graphs!$S$6:$S$52</c:f>
              <c:numCache>
                <c:formatCode>0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2F-4F95-85DF-65729DE55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86256"/>
        <c:axId val="255685936"/>
      </c:scatterChart>
      <c:catAx>
        <c:axId val="2511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55856"/>
        <c:crosses val="autoZero"/>
        <c:auto val="1"/>
        <c:lblAlgn val="ctr"/>
        <c:lblOffset val="100"/>
        <c:noMultiLvlLbl val="1"/>
      </c:catAx>
      <c:valAx>
        <c:axId val="251155856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57776"/>
        <c:crosses val="autoZero"/>
        <c:crossBetween val="between"/>
      </c:valAx>
      <c:valAx>
        <c:axId val="255685936"/>
        <c:scaling>
          <c:orientation val="minMax"/>
          <c:max val="3.5"/>
          <c:min val="-1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86256"/>
        <c:crosses val="max"/>
        <c:crossBetween val="midCat"/>
        <c:majorUnit val="1"/>
      </c:valAx>
      <c:valAx>
        <c:axId val="25568625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5568593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>
                <a:solidFill>
                  <a:schemeClr val="tx1">
                    <a:lumMod val="50000"/>
                    <a:lumOff val="50000"/>
                  </a:schemeClr>
                </a:solidFill>
              </a:rPr>
              <a:t>Loads</a:t>
            </a:r>
            <a:r>
              <a:rPr lang="fr-FR" sz="1600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and  Generations</a:t>
            </a:r>
            <a:br>
              <a:rPr lang="fr-FR" sz="1600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</a:br>
            <a:r>
              <a:rPr lang="fr-FR" sz="1400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48h</a:t>
            </a:r>
            <a:endParaRPr lang="fr-FR" sz="1600" b="1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2"/>
          <c:tx>
            <c:strRef>
              <c:f>Graphs!$H$5</c:f>
              <c:strCache>
                <c:ptCount val="1"/>
                <c:pt idx="0">
                  <c:v>PV_output_load_A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Graphs!$A$6:$A$53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Graphs!$H$6:$H$53</c:f>
              <c:numCache>
                <c:formatCode>0.00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1.84</c:v>
                </c:pt>
                <c:pt idx="8">
                  <c:v>1.82</c:v>
                </c:pt>
                <c:pt idx="9">
                  <c:v>4</c:v>
                </c:pt>
                <c:pt idx="10">
                  <c:v>5.43</c:v>
                </c:pt>
                <c:pt idx="11">
                  <c:v>8.14</c:v>
                </c:pt>
                <c:pt idx="12">
                  <c:v>7.82</c:v>
                </c:pt>
                <c:pt idx="13">
                  <c:v>12.04</c:v>
                </c:pt>
                <c:pt idx="14">
                  <c:v>11.46</c:v>
                </c:pt>
                <c:pt idx="15">
                  <c:v>4.08</c:v>
                </c:pt>
                <c:pt idx="16">
                  <c:v>7</c:v>
                </c:pt>
                <c:pt idx="17">
                  <c:v>3.97</c:v>
                </c:pt>
                <c:pt idx="18">
                  <c:v>2.06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1.48</c:v>
                </c:pt>
                <c:pt idx="32">
                  <c:v>2.62</c:v>
                </c:pt>
                <c:pt idx="33">
                  <c:v>2.68</c:v>
                </c:pt>
                <c:pt idx="34">
                  <c:v>4.0599999999999996</c:v>
                </c:pt>
                <c:pt idx="35">
                  <c:v>4.66</c:v>
                </c:pt>
                <c:pt idx="36">
                  <c:v>6.02</c:v>
                </c:pt>
                <c:pt idx="37">
                  <c:v>11.7</c:v>
                </c:pt>
                <c:pt idx="38">
                  <c:v>12.08</c:v>
                </c:pt>
                <c:pt idx="39">
                  <c:v>5.3</c:v>
                </c:pt>
                <c:pt idx="40">
                  <c:v>6.12</c:v>
                </c:pt>
                <c:pt idx="41">
                  <c:v>7.92</c:v>
                </c:pt>
                <c:pt idx="42">
                  <c:v>2.61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E-4BBD-AB4B-1BE5F73D5204}"/>
            </c:ext>
          </c:extLst>
        </c:ser>
        <c:ser>
          <c:idx val="4"/>
          <c:order val="3"/>
          <c:tx>
            <c:strRef>
              <c:f>Graphs!$U$5</c:f>
              <c:strCache>
                <c:ptCount val="1"/>
                <c:pt idx="0">
                  <c:v>Bat_discharge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Graphs!$A$6:$A$53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Graphs!$U$6:$U$53</c:f>
              <c:numCache>
                <c:formatCode>0.00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8.9600000000000026</c:v>
                </c:pt>
                <c:pt idx="19">
                  <c:v>5.4199999995499999</c:v>
                </c:pt>
                <c:pt idx="20">
                  <c:v>21.279999999550004</c:v>
                </c:pt>
                <c:pt idx="21">
                  <c:v>15.534117521706035</c:v>
                </c:pt>
                <c:pt idx="22">
                  <c:v>6.3199999995500002</c:v>
                </c:pt>
                <c:pt idx="23">
                  <c:v>5.4599999995500008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27</c:v>
                </c:pt>
                <c:pt idx="31">
                  <c:v>1.035844344518263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6.6730000000000009</c:v>
                </c:pt>
                <c:pt idx="42">
                  <c:v>5.9849999999999985</c:v>
                </c:pt>
                <c:pt idx="43">
                  <c:v>6.4189999993600013</c:v>
                </c:pt>
                <c:pt idx="44">
                  <c:v>18.83699999936</c:v>
                </c:pt>
                <c:pt idx="45">
                  <c:v>12.814999999360001</c:v>
                </c:pt>
                <c:pt idx="46">
                  <c:v>6.15699999936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E-4BBD-AB4B-1BE5F73D5204}"/>
            </c:ext>
          </c:extLst>
        </c:ser>
        <c:ser>
          <c:idx val="5"/>
          <c:order val="4"/>
          <c:tx>
            <c:strRef>
              <c:f>Graphs!$R$5</c:f>
              <c:strCache>
                <c:ptCount val="1"/>
                <c:pt idx="0">
                  <c:v>Grid_imp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Graphs!$A$6:$A$53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Graphs!$R$6:$R$53</c:f>
              <c:numCache>
                <c:formatCode>0.00</c:formatCode>
                <c:ptCount val="48"/>
                <c:pt idx="0">
                  <c:v>5.3399999995499998</c:v>
                </c:pt>
                <c:pt idx="1">
                  <c:v>3.69699999955</c:v>
                </c:pt>
                <c:pt idx="2">
                  <c:v>6.3317080478592676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4.7879999995500002</c:v>
                </c:pt>
                <c:pt idx="7">
                  <c:v>2.1909999999999998</c:v>
                </c:pt>
                <c:pt idx="8">
                  <c:v>0.38699999999999957</c:v>
                </c:pt>
                <c:pt idx="9">
                  <c:v>8.3230000000000004</c:v>
                </c:pt>
                <c:pt idx="10">
                  <c:v>7.6340000000000003</c:v>
                </c:pt>
                <c:pt idx="11">
                  <c:v>3.1270000000000007</c:v>
                </c:pt>
                <c:pt idx="12">
                  <c:v>0</c:v>
                </c:pt>
                <c:pt idx="13">
                  <c:v>0</c:v>
                </c:pt>
                <c:pt idx="14">
                  <c:v>2.9510000000000005</c:v>
                </c:pt>
                <c:pt idx="15">
                  <c:v>0</c:v>
                </c:pt>
                <c:pt idx="16">
                  <c:v>4.6310000000000002</c:v>
                </c:pt>
                <c:pt idx="17">
                  <c:v>8.4875381894747726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6.6878812985421572</c:v>
                </c:pt>
                <c:pt idx="25">
                  <c:v>3.8918812985421578</c:v>
                </c:pt>
                <c:pt idx="26">
                  <c:v>17.291946162757107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7.801881298352157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10E-4BBD-AB4B-1BE5F73D5204}"/>
            </c:ext>
          </c:extLst>
        </c:ser>
        <c:ser>
          <c:idx val="2"/>
          <c:order val="5"/>
          <c:tx>
            <c:strRef>
              <c:f>Graphs!$O$5</c:f>
              <c:strCache>
                <c:ptCount val="1"/>
                <c:pt idx="0">
                  <c:v>Diesel_output_Load 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Graphs!$A$6:$A$53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Graphs!$O$6:$O$53</c:f>
              <c:numCache>
                <c:formatCode>0.00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7.7458824778439643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0E-4BBD-AB4B-1BE5F73D5204}"/>
            </c:ext>
          </c:extLst>
        </c:ser>
        <c:ser>
          <c:idx val="10"/>
          <c:order val="6"/>
          <c:tx>
            <c:strRef>
              <c:f>Graphs!$L$5</c:f>
              <c:strCache>
                <c:ptCount val="1"/>
                <c:pt idx="0">
                  <c:v>Shortage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Graphs!$A$6:$A$53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Graphs!$L$6:$L$53</c:f>
              <c:numCache>
                <c:formatCode>0.00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4.5010000000000003</c:v>
                </c:pt>
                <c:pt idx="19">
                  <c:v>3.5840000000000001</c:v>
                </c:pt>
                <c:pt idx="20">
                  <c:v>3.871</c:v>
                </c:pt>
                <c:pt idx="21">
                  <c:v>2.7050000000000001</c:v>
                </c:pt>
                <c:pt idx="22">
                  <c:v>1.956</c:v>
                </c:pt>
                <c:pt idx="23">
                  <c:v>2.1419999999999999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0E-4BBD-AB4B-1BE5F73D5204}"/>
            </c:ext>
          </c:extLst>
        </c:ser>
        <c:ser>
          <c:idx val="1"/>
          <c:order val="7"/>
          <c:tx>
            <c:strRef>
              <c:f>Graphs!$I$5</c:f>
              <c:strCache>
                <c:ptCount val="1"/>
                <c:pt idx="0">
                  <c:v>PV_output_other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Graphs!$A$6:$A$53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Graphs!$I$6:$I$53</c:f>
              <c:numCache>
                <c:formatCode>0.00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3.0000000000000027E-2</c:v>
                </c:pt>
                <c:pt idx="8">
                  <c:v>1.84</c:v>
                </c:pt>
                <c:pt idx="9">
                  <c:v>0</c:v>
                </c:pt>
                <c:pt idx="10">
                  <c:v>0</c:v>
                </c:pt>
                <c:pt idx="11">
                  <c:v>5.67</c:v>
                </c:pt>
                <c:pt idx="12">
                  <c:v>4.5600000000000005</c:v>
                </c:pt>
                <c:pt idx="13">
                  <c:v>5.2100000000000009</c:v>
                </c:pt>
                <c:pt idx="14">
                  <c:v>4.2399999999999984</c:v>
                </c:pt>
                <c:pt idx="15">
                  <c:v>5.5399999999999991</c:v>
                </c:pt>
                <c:pt idx="16">
                  <c:v>2.92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3.48</c:v>
                </c:pt>
                <c:pt idx="32">
                  <c:v>4.5999999999999996</c:v>
                </c:pt>
                <c:pt idx="33">
                  <c:v>13.43</c:v>
                </c:pt>
                <c:pt idx="34">
                  <c:v>25.94</c:v>
                </c:pt>
                <c:pt idx="35">
                  <c:v>25.34</c:v>
                </c:pt>
                <c:pt idx="36">
                  <c:v>23.98</c:v>
                </c:pt>
                <c:pt idx="37">
                  <c:v>13.670000000000002</c:v>
                </c:pt>
                <c:pt idx="38">
                  <c:v>10.38</c:v>
                </c:pt>
                <c:pt idx="39">
                  <c:v>17.66</c:v>
                </c:pt>
                <c:pt idx="40">
                  <c:v>6.919999999999999</c:v>
                </c:pt>
                <c:pt idx="41">
                  <c:v>0.57000000000000028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0E-4BBD-AB4B-1BE5F73D5204}"/>
            </c:ext>
          </c:extLst>
        </c:ser>
        <c:ser>
          <c:idx val="3"/>
          <c:order val="8"/>
          <c:tx>
            <c:strRef>
              <c:f>Graphs!$T$5</c:f>
              <c:strCache>
                <c:ptCount val="1"/>
                <c:pt idx="0">
                  <c:v>Bat_charge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Graphs!$A$6:$A$53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Graphs!$T$6:$T$53</c:f>
              <c:numCache>
                <c:formatCode>0.00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-0.75902557278316707</c:v>
                </c:pt>
                <c:pt idx="3">
                  <c:v>-15.534985200381755</c:v>
                </c:pt>
                <c:pt idx="4">
                  <c:v>-15.506141300381755</c:v>
                </c:pt>
                <c:pt idx="5">
                  <c:v>-15.711442000381759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-5.2307198190180058E-2</c:v>
                </c:pt>
                <c:pt idx="16">
                  <c:v>0</c:v>
                </c:pt>
                <c:pt idx="17">
                  <c:v>-1.063677304092323E-2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-1.5959999999969553E-3</c:v>
                </c:pt>
                <c:pt idx="25">
                  <c:v>-1.5959999999969553E-3</c:v>
                </c:pt>
                <c:pt idx="26">
                  <c:v>-13.270693377556745</c:v>
                </c:pt>
                <c:pt idx="27">
                  <c:v>-16.552156850381756</c:v>
                </c:pt>
                <c:pt idx="28">
                  <c:v>-18.546627700381759</c:v>
                </c:pt>
                <c:pt idx="29">
                  <c:v>-18.137723000381758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-10.44403685</c:v>
                </c:pt>
                <c:pt idx="38">
                  <c:v>-2.3762283500000039</c:v>
                </c:pt>
                <c:pt idx="39">
                  <c:v>-10.129299</c:v>
                </c:pt>
                <c:pt idx="40">
                  <c:v>-0.26129179999999941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-1.5959999999969553E-3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0E-4BBD-AB4B-1BE5F73D5204}"/>
            </c:ext>
          </c:extLst>
        </c:ser>
        <c:ser>
          <c:idx val="8"/>
          <c:order val="9"/>
          <c:tx>
            <c:strRef>
              <c:f>Graphs!$M$5</c:f>
              <c:strCache>
                <c:ptCount val="1"/>
                <c:pt idx="0">
                  <c:v>Grid_Export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Graphs!$A$6:$A$53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Graphs!$M$6:$M$53</c:f>
              <c:numCache>
                <c:formatCode>0.00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-3.0630000000000006</c:v>
                </c:pt>
                <c:pt idx="13">
                  <c:v>-3.8120000000000012</c:v>
                </c:pt>
                <c:pt idx="14">
                  <c:v>0</c:v>
                </c:pt>
                <c:pt idx="15">
                  <c:v>-1.0723424315551586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-23.961000000449999</c:v>
                </c:pt>
                <c:pt idx="31">
                  <c:v>-2.7388443445182631</c:v>
                </c:pt>
                <c:pt idx="32">
                  <c:v>-4.1129999999999995</c:v>
                </c:pt>
                <c:pt idx="33">
                  <c:v>-7.8539999999999992</c:v>
                </c:pt>
                <c:pt idx="34">
                  <c:v>-21.567</c:v>
                </c:pt>
                <c:pt idx="35">
                  <c:v>-20.302</c:v>
                </c:pt>
                <c:pt idx="36">
                  <c:v>-22.829000000000001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0E-4BBD-AB4B-1BE5F73D5204}"/>
            </c:ext>
          </c:extLst>
        </c:ser>
        <c:ser>
          <c:idx val="6"/>
          <c:order val="10"/>
          <c:tx>
            <c:strRef>
              <c:f>Graphs!$P$5</c:f>
              <c:strCache>
                <c:ptCount val="1"/>
                <c:pt idx="0">
                  <c:v>Diesel_output_Other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Graphs!$A$6:$A$53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  <c:extLst xmlns:c15="http://schemas.microsoft.com/office/drawing/2012/chart"/>
            </c:numRef>
          </c:cat>
          <c:val>
            <c:numRef>
              <c:f>Graphs!$P$6:$P$53</c:f>
              <c:numCache>
                <c:formatCode>0.00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10E-4BBD-AB4B-1BE5F73D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51157776"/>
        <c:axId val="251155856"/>
      </c:barChart>
      <c:lineChart>
        <c:grouping val="standard"/>
        <c:varyColors val="0"/>
        <c:ser>
          <c:idx val="9"/>
          <c:order val="0"/>
          <c:tx>
            <c:strRef>
              <c:f>Graphs!$C$5</c:f>
              <c:strCache>
                <c:ptCount val="1"/>
                <c:pt idx="0">
                  <c:v>Load A</c:v>
                </c:pt>
              </c:strCache>
            </c:strRef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Graphs!$A$6:$A$53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Graphs!$C$6:$C$53</c:f>
              <c:numCache>
                <c:formatCode>General</c:formatCode>
                <c:ptCount val="48"/>
                <c:pt idx="0">
                  <c:v>3.5</c:v>
                </c:pt>
                <c:pt idx="1">
                  <c:v>1.92</c:v>
                </c:pt>
                <c:pt idx="2">
                  <c:v>2.82</c:v>
                </c:pt>
                <c:pt idx="3">
                  <c:v>3.46</c:v>
                </c:pt>
                <c:pt idx="4">
                  <c:v>3.48</c:v>
                </c:pt>
                <c:pt idx="5">
                  <c:v>3.36</c:v>
                </c:pt>
                <c:pt idx="6">
                  <c:v>2.48</c:v>
                </c:pt>
                <c:pt idx="7">
                  <c:v>1.84</c:v>
                </c:pt>
                <c:pt idx="8">
                  <c:v>1.82</c:v>
                </c:pt>
                <c:pt idx="9">
                  <c:v>4</c:v>
                </c:pt>
                <c:pt idx="10">
                  <c:v>6.28</c:v>
                </c:pt>
                <c:pt idx="11">
                  <c:v>8.14</c:v>
                </c:pt>
                <c:pt idx="12">
                  <c:v>7.82</c:v>
                </c:pt>
                <c:pt idx="13">
                  <c:v>12.04</c:v>
                </c:pt>
                <c:pt idx="14">
                  <c:v>11.46</c:v>
                </c:pt>
                <c:pt idx="15">
                  <c:v>4.08</c:v>
                </c:pt>
                <c:pt idx="16">
                  <c:v>7</c:v>
                </c:pt>
                <c:pt idx="17">
                  <c:v>6.5</c:v>
                </c:pt>
                <c:pt idx="18">
                  <c:v>11.02</c:v>
                </c:pt>
                <c:pt idx="19">
                  <c:v>5.42</c:v>
                </c:pt>
                <c:pt idx="20">
                  <c:v>21.28</c:v>
                </c:pt>
                <c:pt idx="21">
                  <c:v>23.28</c:v>
                </c:pt>
                <c:pt idx="22">
                  <c:v>6.32</c:v>
                </c:pt>
                <c:pt idx="23">
                  <c:v>5.46</c:v>
                </c:pt>
                <c:pt idx="24">
                  <c:v>4.38</c:v>
                </c:pt>
                <c:pt idx="25">
                  <c:v>2.02</c:v>
                </c:pt>
                <c:pt idx="26">
                  <c:v>0.86</c:v>
                </c:pt>
                <c:pt idx="27">
                  <c:v>2.84</c:v>
                </c:pt>
                <c:pt idx="28">
                  <c:v>1.62</c:v>
                </c:pt>
                <c:pt idx="29">
                  <c:v>1.88</c:v>
                </c:pt>
                <c:pt idx="30">
                  <c:v>1.58</c:v>
                </c:pt>
                <c:pt idx="31">
                  <c:v>1.48</c:v>
                </c:pt>
                <c:pt idx="32">
                  <c:v>2.62</c:v>
                </c:pt>
                <c:pt idx="33">
                  <c:v>2.68</c:v>
                </c:pt>
                <c:pt idx="34">
                  <c:v>4.0599999999999996</c:v>
                </c:pt>
                <c:pt idx="35">
                  <c:v>4.66</c:v>
                </c:pt>
                <c:pt idx="36">
                  <c:v>6.02</c:v>
                </c:pt>
                <c:pt idx="37">
                  <c:v>11.7</c:v>
                </c:pt>
                <c:pt idx="38">
                  <c:v>12.08</c:v>
                </c:pt>
                <c:pt idx="39">
                  <c:v>5.3</c:v>
                </c:pt>
                <c:pt idx="40">
                  <c:v>6.12</c:v>
                </c:pt>
                <c:pt idx="41">
                  <c:v>7.92</c:v>
                </c:pt>
                <c:pt idx="42">
                  <c:v>6.1</c:v>
                </c:pt>
                <c:pt idx="43">
                  <c:v>3.86</c:v>
                </c:pt>
                <c:pt idx="44">
                  <c:v>15.94</c:v>
                </c:pt>
                <c:pt idx="45">
                  <c:v>11.48</c:v>
                </c:pt>
                <c:pt idx="46">
                  <c:v>4.7</c:v>
                </c:pt>
                <c:pt idx="47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0E-4BBD-AB4B-1BE5F73D5204}"/>
            </c:ext>
          </c:extLst>
        </c:ser>
        <c:ser>
          <c:idx val="0"/>
          <c:order val="1"/>
          <c:tx>
            <c:strRef>
              <c:f>Graphs!$B$5</c:f>
              <c:strCache>
                <c:ptCount val="1"/>
                <c:pt idx="0">
                  <c:v>Load A+B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Graphs!$A$6:$A$53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Graphs!$B$6:$B$53</c:f>
              <c:numCache>
                <c:formatCode>General</c:formatCode>
                <c:ptCount val="48"/>
                <c:pt idx="0">
                  <c:v>5.34</c:v>
                </c:pt>
                <c:pt idx="1">
                  <c:v>3.6970000000000001</c:v>
                </c:pt>
                <c:pt idx="2">
                  <c:v>5.4369999999999994</c:v>
                </c:pt>
                <c:pt idx="3">
                  <c:v>6.6880000000000006</c:v>
                </c:pt>
                <c:pt idx="4">
                  <c:v>6.7219999999999995</c:v>
                </c:pt>
                <c:pt idx="5">
                  <c:v>6.48</c:v>
                </c:pt>
                <c:pt idx="6">
                  <c:v>4.7880000000000003</c:v>
                </c:pt>
                <c:pt idx="7">
                  <c:v>4.0609999999999999</c:v>
                </c:pt>
                <c:pt idx="8">
                  <c:v>4.0469999999999997</c:v>
                </c:pt>
                <c:pt idx="9">
                  <c:v>12.323</c:v>
                </c:pt>
                <c:pt idx="10">
                  <c:v>13.064</c:v>
                </c:pt>
                <c:pt idx="11">
                  <c:v>16.937000000000001</c:v>
                </c:pt>
                <c:pt idx="12">
                  <c:v>9.3170000000000002</c:v>
                </c:pt>
                <c:pt idx="13">
                  <c:v>13.437999999999999</c:v>
                </c:pt>
                <c:pt idx="14">
                  <c:v>18.651</c:v>
                </c:pt>
                <c:pt idx="15">
                  <c:v>8.4860000000000007</c:v>
                </c:pt>
                <c:pt idx="16">
                  <c:v>14.551</c:v>
                </c:pt>
                <c:pt idx="17">
                  <c:v>12.445</c:v>
                </c:pt>
                <c:pt idx="18">
                  <c:v>15.521000000000001</c:v>
                </c:pt>
                <c:pt idx="19">
                  <c:v>9.0039999999999996</c:v>
                </c:pt>
                <c:pt idx="20">
                  <c:v>25.151</c:v>
                </c:pt>
                <c:pt idx="21">
                  <c:v>25.984999999999999</c:v>
                </c:pt>
                <c:pt idx="22">
                  <c:v>8.2759999999999998</c:v>
                </c:pt>
                <c:pt idx="23">
                  <c:v>7.6020000000000003</c:v>
                </c:pt>
                <c:pt idx="24">
                  <c:v>6.6859999999999999</c:v>
                </c:pt>
                <c:pt idx="25">
                  <c:v>3.89</c:v>
                </c:pt>
                <c:pt idx="26">
                  <c:v>1.649</c:v>
                </c:pt>
                <c:pt idx="27">
                  <c:v>5.4889999999999999</c:v>
                </c:pt>
                <c:pt idx="28">
                  <c:v>3.1379999999999999</c:v>
                </c:pt>
                <c:pt idx="29">
                  <c:v>3.62</c:v>
                </c:pt>
                <c:pt idx="30">
                  <c:v>3.0390000000000001</c:v>
                </c:pt>
                <c:pt idx="31">
                  <c:v>3.2569999999999997</c:v>
                </c:pt>
                <c:pt idx="32">
                  <c:v>3.1070000000000002</c:v>
                </c:pt>
                <c:pt idx="33">
                  <c:v>8.2560000000000002</c:v>
                </c:pt>
                <c:pt idx="34">
                  <c:v>8.4329999999999998</c:v>
                </c:pt>
                <c:pt idx="35">
                  <c:v>9.6980000000000004</c:v>
                </c:pt>
                <c:pt idx="36">
                  <c:v>7.1709999999999994</c:v>
                </c:pt>
                <c:pt idx="37">
                  <c:v>13.058999999999999</c:v>
                </c:pt>
                <c:pt idx="38">
                  <c:v>19.658999999999999</c:v>
                </c:pt>
                <c:pt idx="39">
                  <c:v>11.02</c:v>
                </c:pt>
                <c:pt idx="40">
                  <c:v>12.731999999999999</c:v>
                </c:pt>
                <c:pt idx="41">
                  <c:v>15.163</c:v>
                </c:pt>
                <c:pt idx="42">
                  <c:v>8.5949999999999989</c:v>
                </c:pt>
                <c:pt idx="43">
                  <c:v>6.4190000000000005</c:v>
                </c:pt>
                <c:pt idx="44">
                  <c:v>18.837</c:v>
                </c:pt>
                <c:pt idx="45">
                  <c:v>12.815000000000001</c:v>
                </c:pt>
                <c:pt idx="46">
                  <c:v>6.157</c:v>
                </c:pt>
                <c:pt idx="47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0E-4BBD-AB4B-1BE5F73D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157776"/>
        <c:axId val="251155856"/>
        <c:extLst/>
      </c:lineChart>
      <c:scatterChart>
        <c:scatterStyle val="lineMarker"/>
        <c:varyColors val="0"/>
        <c:ser>
          <c:idx val="11"/>
          <c:order val="11"/>
          <c:tx>
            <c:strRef>
              <c:f>Graphs!$S$5</c:f>
              <c:strCache>
                <c:ptCount val="1"/>
                <c:pt idx="0">
                  <c:v>Grid Availibilty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yVal>
            <c:numRef>
              <c:f>Graphs!$S$6:$S$53</c:f>
              <c:numCache>
                <c:formatCode>0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3-4C8A-84AA-194E0E9B3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606623"/>
        <c:axId val="1355604959"/>
      </c:scatterChart>
      <c:catAx>
        <c:axId val="2511577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55856"/>
        <c:crosses val="autoZero"/>
        <c:auto val="1"/>
        <c:lblAlgn val="ctr"/>
        <c:lblOffset val="100"/>
        <c:noMultiLvlLbl val="1"/>
      </c:catAx>
      <c:valAx>
        <c:axId val="251155856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57776"/>
        <c:crosses val="autoZero"/>
        <c:crossBetween val="between"/>
      </c:valAx>
      <c:valAx>
        <c:axId val="1355604959"/>
        <c:scaling>
          <c:orientation val="minMax"/>
          <c:max val="1"/>
          <c:min val="-1"/>
        </c:scaling>
        <c:delete val="0"/>
        <c:axPos val="r"/>
        <c:numFmt formatCode="0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606623"/>
        <c:crosses val="max"/>
        <c:crossBetween val="midCat"/>
      </c:valAx>
      <c:valAx>
        <c:axId val="1355606623"/>
        <c:scaling>
          <c:orientation val="minMax"/>
        </c:scaling>
        <c:delete val="1"/>
        <c:axPos val="b"/>
        <c:majorTickMark val="out"/>
        <c:minorTickMark val="none"/>
        <c:tickLblPos val="nextTo"/>
        <c:crossAx val="135560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60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rPr>
              <a:t>Total Generation</a:t>
            </a:r>
            <a:br>
              <a:rPr lang="fr-FR" sz="160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rPr>
            </a:br>
            <a:r>
              <a:rPr lang="fr-FR" sz="140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rPr>
              <a:t>week</a:t>
            </a:r>
            <a:endParaRPr lang="fr-FR" sz="1600" b="1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47449172327745709"/>
          <c:y val="3.3678864338087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600" b="1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Graphs!$G$5</c:f>
              <c:strCache>
                <c:ptCount val="1"/>
                <c:pt idx="0">
                  <c:v>PV_output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Graphs!$A$6:$A$173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Graphs!$G$6:$G$173</c:f>
              <c:numCache>
                <c:formatCode>0.00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1.87</c:v>
                </c:pt>
                <c:pt idx="8">
                  <c:v>3.66</c:v>
                </c:pt>
                <c:pt idx="9">
                  <c:v>4</c:v>
                </c:pt>
                <c:pt idx="10">
                  <c:v>5.43</c:v>
                </c:pt>
                <c:pt idx="11">
                  <c:v>13.81</c:v>
                </c:pt>
                <c:pt idx="12">
                  <c:v>12.38</c:v>
                </c:pt>
                <c:pt idx="13">
                  <c:v>17.25</c:v>
                </c:pt>
                <c:pt idx="14">
                  <c:v>15.7</c:v>
                </c:pt>
                <c:pt idx="15">
                  <c:v>9.6199999999999992</c:v>
                </c:pt>
                <c:pt idx="16">
                  <c:v>9.92</c:v>
                </c:pt>
                <c:pt idx="17">
                  <c:v>3.97</c:v>
                </c:pt>
                <c:pt idx="18">
                  <c:v>2.06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4.96</c:v>
                </c:pt>
                <c:pt idx="32">
                  <c:v>7.22</c:v>
                </c:pt>
                <c:pt idx="33">
                  <c:v>16.11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25.37</c:v>
                </c:pt>
                <c:pt idx="38">
                  <c:v>22.46</c:v>
                </c:pt>
                <c:pt idx="39">
                  <c:v>22.96</c:v>
                </c:pt>
                <c:pt idx="40">
                  <c:v>13.04</c:v>
                </c:pt>
                <c:pt idx="41">
                  <c:v>8.49</c:v>
                </c:pt>
                <c:pt idx="42">
                  <c:v>2.61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7.59</c:v>
                </c:pt>
                <c:pt idx="57">
                  <c:v>7.15</c:v>
                </c:pt>
                <c:pt idx="58">
                  <c:v>9.9499999999999993</c:v>
                </c:pt>
                <c:pt idx="59">
                  <c:v>10.63</c:v>
                </c:pt>
                <c:pt idx="60">
                  <c:v>10.66</c:v>
                </c:pt>
                <c:pt idx="61">
                  <c:v>11.91</c:v>
                </c:pt>
                <c:pt idx="62">
                  <c:v>11.57</c:v>
                </c:pt>
                <c:pt idx="63">
                  <c:v>5.25</c:v>
                </c:pt>
                <c:pt idx="64">
                  <c:v>5.15</c:v>
                </c:pt>
                <c:pt idx="65">
                  <c:v>5.38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5.74</c:v>
                </c:pt>
                <c:pt idx="80">
                  <c:v>9.41</c:v>
                </c:pt>
                <c:pt idx="81">
                  <c:v>7.42</c:v>
                </c:pt>
                <c:pt idx="82">
                  <c:v>22.66</c:v>
                </c:pt>
                <c:pt idx="83">
                  <c:v>30</c:v>
                </c:pt>
                <c:pt idx="84">
                  <c:v>30</c:v>
                </c:pt>
                <c:pt idx="85">
                  <c:v>20.59</c:v>
                </c:pt>
                <c:pt idx="86">
                  <c:v>8.7799999999999994</c:v>
                </c:pt>
                <c:pt idx="87">
                  <c:v>12.08</c:v>
                </c:pt>
                <c:pt idx="88">
                  <c:v>11.3</c:v>
                </c:pt>
                <c:pt idx="89">
                  <c:v>7.89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10.220000000000001</c:v>
                </c:pt>
                <c:pt idx="105">
                  <c:v>5.77</c:v>
                </c:pt>
                <c:pt idx="106">
                  <c:v>4.68</c:v>
                </c:pt>
                <c:pt idx="107">
                  <c:v>5.47</c:v>
                </c:pt>
                <c:pt idx="108">
                  <c:v>6.01</c:v>
                </c:pt>
                <c:pt idx="109">
                  <c:v>15.97</c:v>
                </c:pt>
                <c:pt idx="110">
                  <c:v>7.89</c:v>
                </c:pt>
                <c:pt idx="111">
                  <c:v>7.55</c:v>
                </c:pt>
                <c:pt idx="112">
                  <c:v>5.68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4.9800000000000004</c:v>
                </c:pt>
                <c:pt idx="131">
                  <c:v>4.91</c:v>
                </c:pt>
                <c:pt idx="132">
                  <c:v>6.47</c:v>
                </c:pt>
                <c:pt idx="133">
                  <c:v>10.87</c:v>
                </c:pt>
                <c:pt idx="134">
                  <c:v>4.5199999999999996</c:v>
                </c:pt>
                <c:pt idx="135">
                  <c:v>7.59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9.2799999999999994</c:v>
                </c:pt>
                <c:pt idx="154">
                  <c:v>11.87</c:v>
                </c:pt>
                <c:pt idx="155">
                  <c:v>7.63</c:v>
                </c:pt>
                <c:pt idx="156">
                  <c:v>9.48</c:v>
                </c:pt>
                <c:pt idx="157">
                  <c:v>6.32</c:v>
                </c:pt>
                <c:pt idx="158">
                  <c:v>8.3699999999999992</c:v>
                </c:pt>
                <c:pt idx="159">
                  <c:v>10.28</c:v>
                </c:pt>
                <c:pt idx="160">
                  <c:v>5.61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F-41FB-9C16-6DE95074DAEB}"/>
            </c:ext>
          </c:extLst>
        </c:ser>
        <c:ser>
          <c:idx val="2"/>
          <c:order val="1"/>
          <c:tx>
            <c:strRef>
              <c:f>Graphs!$N$5</c:f>
              <c:strCache>
                <c:ptCount val="1"/>
                <c:pt idx="0">
                  <c:v>Diesel_output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Graphs!$A$6:$A$173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Graphs!$N$6:$N$173</c:f>
              <c:numCache>
                <c:formatCode>0.00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7.7458824778439643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F-41FB-9C16-6DE95074D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157776"/>
        <c:axId val="251155856"/>
        <c:extLst>
          <c:ext xmlns:c15="http://schemas.microsoft.com/office/drawing/2012/chart" uri="{02D57815-91ED-43cb-92C2-25804820EDAC}">
            <c15:filteredBa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Graphs!$T$5</c15:sqref>
                        </c15:formulaRef>
                      </c:ext>
                    </c:extLst>
                    <c:strCache>
                      <c:ptCount val="1"/>
                      <c:pt idx="0">
                        <c:v>Bat_charge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Graphs!$A$6:$A$173</c15:sqref>
                        </c15:formulaRef>
                      </c:ext>
                    </c:extLst>
                    <c:numCache>
                      <c:formatCode>General</c:formatCode>
                      <c:ptCount val="16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Graphs!$T$6:$T$173</c15:sqref>
                        </c15:formulaRef>
                      </c:ext>
                    </c:extLst>
                    <c:numCache>
                      <c:formatCode>0.00</c:formatCode>
                      <c:ptCount val="1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-0.75902557278316707</c:v>
                      </c:pt>
                      <c:pt idx="3">
                        <c:v>-15.534985200381755</c:v>
                      </c:pt>
                      <c:pt idx="4">
                        <c:v>-15.506141300381755</c:v>
                      </c:pt>
                      <c:pt idx="5">
                        <c:v>-15.711442000381759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-5.2307198190180058E-2</c:v>
                      </c:pt>
                      <c:pt idx="16">
                        <c:v>0</c:v>
                      </c:pt>
                      <c:pt idx="17">
                        <c:v>-1.063677304092323E-2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-1.5959999999969553E-3</c:v>
                      </c:pt>
                      <c:pt idx="25">
                        <c:v>-1.5959999999969553E-3</c:v>
                      </c:pt>
                      <c:pt idx="26">
                        <c:v>-13.270693377556745</c:v>
                      </c:pt>
                      <c:pt idx="27">
                        <c:v>-16.552156850381756</c:v>
                      </c:pt>
                      <c:pt idx="28">
                        <c:v>-18.546627700381759</c:v>
                      </c:pt>
                      <c:pt idx="29">
                        <c:v>-18.137723000381758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-10.44403685</c:v>
                      </c:pt>
                      <c:pt idx="38">
                        <c:v>-2.3762283500000039</c:v>
                      </c:pt>
                      <c:pt idx="39">
                        <c:v>-10.129299</c:v>
                      </c:pt>
                      <c:pt idx="40">
                        <c:v>-0.26129179999999941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-1.5959999999969553E-3</c:v>
                      </c:pt>
                      <c:pt idx="48">
                        <c:v>-1.5959999999969553E-3</c:v>
                      </c:pt>
                      <c:pt idx="49">
                        <c:v>-7.0746329296555457E-2</c:v>
                      </c:pt>
                      <c:pt idx="50">
                        <c:v>-17.680462350542943</c:v>
                      </c:pt>
                      <c:pt idx="51">
                        <c:v>-16.090654450542942</c:v>
                      </c:pt>
                      <c:pt idx="52">
                        <c:v>-16.686196150542944</c:v>
                      </c:pt>
                      <c:pt idx="53">
                        <c:v>-15.981217300542943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-2.8776032000000002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-1.5959999999969553E-3</c:v>
                      </c:pt>
                      <c:pt idx="71">
                        <c:v>-1.5959999999969553E-3</c:v>
                      </c:pt>
                      <c:pt idx="72">
                        <c:v>-1.5959999999969553E-3</c:v>
                      </c:pt>
                      <c:pt idx="73">
                        <c:v>-1.5959999999969553E-3</c:v>
                      </c:pt>
                      <c:pt idx="74">
                        <c:v>-12.972963104041833</c:v>
                      </c:pt>
                      <c:pt idx="75">
                        <c:v>-17.872189450542944</c:v>
                      </c:pt>
                      <c:pt idx="76">
                        <c:v>-18.221709650542945</c:v>
                      </c:pt>
                      <c:pt idx="77">
                        <c:v>-17.440379300542943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-3.3145034500000001</c:v>
                      </c:pt>
                      <c:pt idx="83">
                        <c:v>-13.524395699999998</c:v>
                      </c:pt>
                      <c:pt idx="84">
                        <c:v>-19.891262449999996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-1.5959999999969553E-3</c:v>
                      </c:pt>
                      <c:pt idx="96">
                        <c:v>-1.5959999999969553E-3</c:v>
                      </c:pt>
                      <c:pt idx="97">
                        <c:v>-1.5959999999969553E-3</c:v>
                      </c:pt>
                      <c:pt idx="98">
                        <c:v>-15.759162151996495</c:v>
                      </c:pt>
                      <c:pt idx="99">
                        <c:v>-16.186518000542943</c:v>
                      </c:pt>
                      <c:pt idx="100">
                        <c:v>-18.092760450542944</c:v>
                      </c:pt>
                      <c:pt idx="101">
                        <c:v>-16.469018550542941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-5.5872330999999997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-1.3997774999999992</c:v>
                      </c:pt>
                      <c:pt idx="109">
                        <c:v>-1.901152349999998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-1.5959999999969553E-3</c:v>
                      </c:pt>
                      <c:pt idx="119">
                        <c:v>-1.5959999999969553E-3</c:v>
                      </c:pt>
                      <c:pt idx="120">
                        <c:v>-1.5959999999969553E-3</c:v>
                      </c:pt>
                      <c:pt idx="121">
                        <c:v>-1.5959999999969553E-3</c:v>
                      </c:pt>
                      <c:pt idx="122">
                        <c:v>-15.478443351006321</c:v>
                      </c:pt>
                      <c:pt idx="123">
                        <c:v>-18.266672200542942</c:v>
                      </c:pt>
                      <c:pt idx="124">
                        <c:v>-16.036360050542942</c:v>
                      </c:pt>
                      <c:pt idx="125">
                        <c:v>-16.726068600542945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-1.4455883999999997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-1.5959999999969553E-3</c:v>
                      </c:pt>
                      <c:pt idx="143">
                        <c:v>-1.5959999999969553E-3</c:v>
                      </c:pt>
                      <c:pt idx="144">
                        <c:v>-1.5959999999969553E-3</c:v>
                      </c:pt>
                      <c:pt idx="145">
                        <c:v>-1.5959999999969553E-3</c:v>
                      </c:pt>
                      <c:pt idx="146">
                        <c:v>-12.146612430921076</c:v>
                      </c:pt>
                      <c:pt idx="147">
                        <c:v>-18.493181650542944</c:v>
                      </c:pt>
                      <c:pt idx="148">
                        <c:v>-17.990110100542942</c:v>
                      </c:pt>
                      <c:pt idx="149">
                        <c:v>-17.877279550542944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-1.5959999999969553E-3</c:v>
                      </c:pt>
                      <c:pt idx="167">
                        <c:v>-1.5959999999969553E-3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09F-41FB-9C16-6DE95074DAEB}"/>
                  </c:ext>
                </c:extLst>
              </c15:ser>
            </c15:filteredBarSeries>
            <c15:filteredBa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Graphs!$Q$5</c15:sqref>
                        </c15:formulaRef>
                      </c:ext>
                    </c:extLst>
                    <c:strCache>
                      <c:ptCount val="1"/>
                      <c:pt idx="0">
                        <c:v>Grid_imp</c:v>
                      </c:pt>
                    </c:strCache>
                  </c:strRef>
                </c:tx>
                <c:spPr>
                  <a:solidFill>
                    <a:schemeClr val="accent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Graphs!$A$6:$A$173</c15:sqref>
                        </c15:formulaRef>
                      </c:ext>
                    </c:extLst>
                    <c:numCache>
                      <c:formatCode>General</c:formatCode>
                      <c:ptCount val="16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Graphs!$Q$6:$Q$173</c15:sqref>
                        </c15:formulaRef>
                      </c:ext>
                    </c:extLst>
                    <c:numCache>
                      <c:formatCode>0.00</c:formatCode>
                      <c:ptCount val="168"/>
                      <c:pt idx="0">
                        <c:v>-5.3399999995499998</c:v>
                      </c:pt>
                      <c:pt idx="1">
                        <c:v>-3.69699999955</c:v>
                      </c:pt>
                      <c:pt idx="2">
                        <c:v>-6.3317080478592676</c:v>
                      </c:pt>
                      <c:pt idx="3">
                        <c:v>-25</c:v>
                      </c:pt>
                      <c:pt idx="4">
                        <c:v>-25</c:v>
                      </c:pt>
                      <c:pt idx="5">
                        <c:v>-25</c:v>
                      </c:pt>
                      <c:pt idx="6">
                        <c:v>-4.7879999995500002</c:v>
                      </c:pt>
                      <c:pt idx="7">
                        <c:v>-2.1909999999999998</c:v>
                      </c:pt>
                      <c:pt idx="8">
                        <c:v>-0.38699999999999957</c:v>
                      </c:pt>
                      <c:pt idx="9">
                        <c:v>-8.3230000000000004</c:v>
                      </c:pt>
                      <c:pt idx="10">
                        <c:v>-7.6340000000000003</c:v>
                      </c:pt>
                      <c:pt idx="11">
                        <c:v>-3.1270000000000007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-2.9510000000000005</c:v>
                      </c:pt>
                      <c:pt idx="15">
                        <c:v>0</c:v>
                      </c:pt>
                      <c:pt idx="16">
                        <c:v>-4.6310000000000002</c:v>
                      </c:pt>
                      <c:pt idx="17">
                        <c:v>-8.4875381894747726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-6.6878812985421572</c:v>
                      </c:pt>
                      <c:pt idx="25">
                        <c:v>-3.8918812985421578</c:v>
                      </c:pt>
                      <c:pt idx="26">
                        <c:v>-17.291946162757107</c:v>
                      </c:pt>
                      <c:pt idx="27">
                        <c:v>-25</c:v>
                      </c:pt>
                      <c:pt idx="28">
                        <c:v>-25</c:v>
                      </c:pt>
                      <c:pt idx="29">
                        <c:v>-25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-7.801881298352157</c:v>
                      </c:pt>
                      <c:pt idx="48">
                        <c:v>-7.4268812983521579</c:v>
                      </c:pt>
                      <c:pt idx="49">
                        <c:v>-3.9803928552526808</c:v>
                      </c:pt>
                      <c:pt idx="50">
                        <c:v>-25</c:v>
                      </c:pt>
                      <c:pt idx="51">
                        <c:v>-25</c:v>
                      </c:pt>
                      <c:pt idx="52">
                        <c:v>-25</c:v>
                      </c:pt>
                      <c:pt idx="53">
                        <c:v>-25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-2.8384346848337589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-5.5859999999999985</c:v>
                      </c:pt>
                      <c:pt idx="63">
                        <c:v>-10.302</c:v>
                      </c:pt>
                      <c:pt idx="64">
                        <c:v>-9.7329999999999988</c:v>
                      </c:pt>
                      <c:pt idx="65">
                        <c:v>-16.416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-22.970999999359996</c:v>
                      </c:pt>
                      <c:pt idx="70">
                        <c:v>-12.863881298352158</c:v>
                      </c:pt>
                      <c:pt idx="71">
                        <c:v>-9.2718812983521577</c:v>
                      </c:pt>
                      <c:pt idx="72">
                        <c:v>-5.7718812983521568</c:v>
                      </c:pt>
                      <c:pt idx="73">
                        <c:v>-5.8288812983521572</c:v>
                      </c:pt>
                      <c:pt idx="74">
                        <c:v>-20.807993992454637</c:v>
                      </c:pt>
                      <c:pt idx="75">
                        <c:v>-25</c:v>
                      </c:pt>
                      <c:pt idx="76">
                        <c:v>-25</c:v>
                      </c:pt>
                      <c:pt idx="77">
                        <c:v>-25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-4.2980228365982978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-4.7150000000000007</c:v>
                      </c:pt>
                      <c:pt idx="90">
                        <c:v>-16.50299999936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-8.3538812983521584</c:v>
                      </c:pt>
                      <c:pt idx="96">
                        <c:v>-4.7388812983521573</c:v>
                      </c:pt>
                      <c:pt idx="97">
                        <c:v>-4.2858812983521579</c:v>
                      </c:pt>
                      <c:pt idx="98">
                        <c:v>-22.512250546889319</c:v>
                      </c:pt>
                      <c:pt idx="99">
                        <c:v>-25</c:v>
                      </c:pt>
                      <c:pt idx="100">
                        <c:v>-25</c:v>
                      </c:pt>
                      <c:pt idx="101">
                        <c:v>-25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-15.524991326485805</c:v>
                      </c:pt>
                      <c:pt idx="117">
                        <c:v>-12.47999999936</c:v>
                      </c:pt>
                      <c:pt idx="118">
                        <c:v>-8.4398812983521587</c:v>
                      </c:pt>
                      <c:pt idx="119">
                        <c:v>-7.604881298352157</c:v>
                      </c:pt>
                      <c:pt idx="120">
                        <c:v>-7.0538812983521568</c:v>
                      </c:pt>
                      <c:pt idx="121">
                        <c:v>-4.2418812983521574</c:v>
                      </c:pt>
                      <c:pt idx="122">
                        <c:v>-22.903350799155277</c:v>
                      </c:pt>
                      <c:pt idx="123">
                        <c:v>-25</c:v>
                      </c:pt>
                      <c:pt idx="124">
                        <c:v>-25</c:v>
                      </c:pt>
                      <c:pt idx="125">
                        <c:v>-25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-0.42323416053634372</c:v>
                      </c:pt>
                      <c:pt idx="129">
                        <c:v>-7.3319999992799998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-7.6820000000000004</c:v>
                      </c:pt>
                      <c:pt idx="136">
                        <c:v>-11.61199999938</c:v>
                      </c:pt>
                      <c:pt idx="137">
                        <c:v>-14.046999999240001</c:v>
                      </c:pt>
                      <c:pt idx="138">
                        <c:v>-9.2359999993600006</c:v>
                      </c:pt>
                      <c:pt idx="139">
                        <c:v>-7.4179999993600001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-9.7178812983521574</c:v>
                      </c:pt>
                      <c:pt idx="143">
                        <c:v>-6.543881298352157</c:v>
                      </c:pt>
                      <c:pt idx="144">
                        <c:v>-4.4258812983521567</c:v>
                      </c:pt>
                      <c:pt idx="145">
                        <c:v>-3.6658812983521574</c:v>
                      </c:pt>
                      <c:pt idx="146">
                        <c:v>-19.443925891882046</c:v>
                      </c:pt>
                      <c:pt idx="147">
                        <c:v>-25</c:v>
                      </c:pt>
                      <c:pt idx="148">
                        <c:v>-25</c:v>
                      </c:pt>
                      <c:pt idx="149">
                        <c:v>-25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-4.8876604948411693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-6.7598812983521572</c:v>
                      </c:pt>
                      <c:pt idx="167">
                        <c:v>-5.043881298352157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09F-41FB-9C16-6DE95074DAEB}"/>
                  </c:ext>
                </c:extLst>
              </c15:ser>
            </c15:filteredBarSeries>
          </c:ext>
        </c:extLst>
      </c:barChart>
      <c:catAx>
        <c:axId val="2511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55856"/>
        <c:crosses val="autoZero"/>
        <c:auto val="1"/>
        <c:lblAlgn val="ctr"/>
        <c:lblOffset val="100"/>
        <c:noMultiLvlLbl val="1"/>
      </c:catAx>
      <c:valAx>
        <c:axId val="251155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5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>
                <a:solidFill>
                  <a:schemeClr val="tx1">
                    <a:lumMod val="50000"/>
                    <a:lumOff val="50000"/>
                  </a:schemeClr>
                </a:solidFill>
              </a:rPr>
              <a:t>Loads</a:t>
            </a:r>
            <a:r>
              <a:rPr lang="fr-FR" sz="1600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and  Generations</a:t>
            </a:r>
            <a:br>
              <a:rPr lang="fr-FR" sz="1600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</a:br>
            <a:r>
              <a:rPr lang="fr-FR" sz="1400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week</a:t>
            </a:r>
            <a:endParaRPr lang="fr-FR" sz="1600" b="1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2"/>
          <c:tx>
            <c:strRef>
              <c:f>Graphs!$H$5</c:f>
              <c:strCache>
                <c:ptCount val="1"/>
                <c:pt idx="0">
                  <c:v>PV_output_load_A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Graphs!$H$6:$H$173</c:f>
              <c:numCache>
                <c:formatCode>0.00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1.84</c:v>
                </c:pt>
                <c:pt idx="8">
                  <c:v>1.82</c:v>
                </c:pt>
                <c:pt idx="9">
                  <c:v>4</c:v>
                </c:pt>
                <c:pt idx="10">
                  <c:v>5.43</c:v>
                </c:pt>
                <c:pt idx="11">
                  <c:v>8.14</c:v>
                </c:pt>
                <c:pt idx="12">
                  <c:v>7.82</c:v>
                </c:pt>
                <c:pt idx="13">
                  <c:v>12.04</c:v>
                </c:pt>
                <c:pt idx="14">
                  <c:v>11.46</c:v>
                </c:pt>
                <c:pt idx="15">
                  <c:v>4.08</c:v>
                </c:pt>
                <c:pt idx="16">
                  <c:v>7</c:v>
                </c:pt>
                <c:pt idx="17">
                  <c:v>3.97</c:v>
                </c:pt>
                <c:pt idx="18">
                  <c:v>2.06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1.48</c:v>
                </c:pt>
                <c:pt idx="32">
                  <c:v>2.62</c:v>
                </c:pt>
                <c:pt idx="33">
                  <c:v>2.68</c:v>
                </c:pt>
                <c:pt idx="34">
                  <c:v>4.0599999999999996</c:v>
                </c:pt>
                <c:pt idx="35">
                  <c:v>4.66</c:v>
                </c:pt>
                <c:pt idx="36">
                  <c:v>6.02</c:v>
                </c:pt>
                <c:pt idx="37">
                  <c:v>11.7</c:v>
                </c:pt>
                <c:pt idx="38">
                  <c:v>12.08</c:v>
                </c:pt>
                <c:pt idx="39">
                  <c:v>5.3</c:v>
                </c:pt>
                <c:pt idx="40">
                  <c:v>6.12</c:v>
                </c:pt>
                <c:pt idx="41">
                  <c:v>7.92</c:v>
                </c:pt>
                <c:pt idx="42">
                  <c:v>2.61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1.84</c:v>
                </c:pt>
                <c:pt idx="57">
                  <c:v>3.7</c:v>
                </c:pt>
                <c:pt idx="58">
                  <c:v>6.56</c:v>
                </c:pt>
                <c:pt idx="59">
                  <c:v>8.8000000000000007</c:v>
                </c:pt>
                <c:pt idx="60">
                  <c:v>6.1</c:v>
                </c:pt>
                <c:pt idx="61">
                  <c:v>10.82</c:v>
                </c:pt>
                <c:pt idx="62">
                  <c:v>10.54</c:v>
                </c:pt>
                <c:pt idx="63">
                  <c:v>5.25</c:v>
                </c:pt>
                <c:pt idx="64">
                  <c:v>5.15</c:v>
                </c:pt>
                <c:pt idx="65">
                  <c:v>5.38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1.28</c:v>
                </c:pt>
                <c:pt idx="80">
                  <c:v>1.4</c:v>
                </c:pt>
                <c:pt idx="81">
                  <c:v>2.44</c:v>
                </c:pt>
                <c:pt idx="82">
                  <c:v>9.02</c:v>
                </c:pt>
                <c:pt idx="83">
                  <c:v>6.76</c:v>
                </c:pt>
                <c:pt idx="84">
                  <c:v>5.5</c:v>
                </c:pt>
                <c:pt idx="85">
                  <c:v>10.64</c:v>
                </c:pt>
                <c:pt idx="86">
                  <c:v>8.7799999999999994</c:v>
                </c:pt>
                <c:pt idx="87">
                  <c:v>5.64</c:v>
                </c:pt>
                <c:pt idx="88">
                  <c:v>4.0599999999999996</c:v>
                </c:pt>
                <c:pt idx="89">
                  <c:v>6.58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1.64</c:v>
                </c:pt>
                <c:pt idx="105">
                  <c:v>3.04</c:v>
                </c:pt>
                <c:pt idx="106">
                  <c:v>4.68</c:v>
                </c:pt>
                <c:pt idx="107">
                  <c:v>4.88</c:v>
                </c:pt>
                <c:pt idx="108">
                  <c:v>3.66</c:v>
                </c:pt>
                <c:pt idx="109">
                  <c:v>12.3</c:v>
                </c:pt>
                <c:pt idx="110">
                  <c:v>7.88</c:v>
                </c:pt>
                <c:pt idx="111">
                  <c:v>7.55</c:v>
                </c:pt>
                <c:pt idx="112">
                  <c:v>3.98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4.9800000000000004</c:v>
                </c:pt>
                <c:pt idx="131">
                  <c:v>4.5199999999999996</c:v>
                </c:pt>
                <c:pt idx="132">
                  <c:v>4</c:v>
                </c:pt>
                <c:pt idx="133">
                  <c:v>10.8</c:v>
                </c:pt>
                <c:pt idx="134">
                  <c:v>4.5199999999999996</c:v>
                </c:pt>
                <c:pt idx="135">
                  <c:v>7.34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2.34</c:v>
                </c:pt>
                <c:pt idx="154">
                  <c:v>6.76</c:v>
                </c:pt>
                <c:pt idx="155">
                  <c:v>4.16</c:v>
                </c:pt>
                <c:pt idx="156">
                  <c:v>2.02</c:v>
                </c:pt>
                <c:pt idx="157">
                  <c:v>6.3</c:v>
                </c:pt>
                <c:pt idx="158">
                  <c:v>7.56</c:v>
                </c:pt>
                <c:pt idx="159">
                  <c:v>4.0199999999999996</c:v>
                </c:pt>
                <c:pt idx="160">
                  <c:v>5.61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1-482B-9EE0-64B0AED75C08}"/>
            </c:ext>
          </c:extLst>
        </c:ser>
        <c:ser>
          <c:idx val="4"/>
          <c:order val="3"/>
          <c:tx>
            <c:strRef>
              <c:f>Graphs!$W$5</c:f>
              <c:strCache>
                <c:ptCount val="1"/>
                <c:pt idx="0">
                  <c:v>Bat_dis_MG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Graphs!$A$6:$A$173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Graphs!$W$6:$W$173</c:f>
              <c:numCache>
                <c:formatCode>0.00</c:formatCode>
                <c:ptCount val="168"/>
                <c:pt idx="0">
                  <c:v>5.34</c:v>
                </c:pt>
                <c:pt idx="1">
                  <c:v>3.6970000000000001</c:v>
                </c:pt>
                <c:pt idx="2">
                  <c:v>5.4369999999999994</c:v>
                </c:pt>
                <c:pt idx="3">
                  <c:v>6.6880000000000006</c:v>
                </c:pt>
                <c:pt idx="4">
                  <c:v>6.7219999999999995</c:v>
                </c:pt>
                <c:pt idx="5">
                  <c:v>6.48</c:v>
                </c:pt>
                <c:pt idx="6">
                  <c:v>4.7880000000000003</c:v>
                </c:pt>
                <c:pt idx="7">
                  <c:v>2.2210000000000001</c:v>
                </c:pt>
                <c:pt idx="8">
                  <c:v>2.2269999999999994</c:v>
                </c:pt>
                <c:pt idx="9">
                  <c:v>8.3230000000000004</c:v>
                </c:pt>
                <c:pt idx="10">
                  <c:v>7.6340000000000003</c:v>
                </c:pt>
                <c:pt idx="11">
                  <c:v>8.7970000000000006</c:v>
                </c:pt>
                <c:pt idx="12">
                  <c:v>1.4969999999999999</c:v>
                </c:pt>
                <c:pt idx="13">
                  <c:v>1.3979999999999997</c:v>
                </c:pt>
                <c:pt idx="14">
                  <c:v>7.1909999999999989</c:v>
                </c:pt>
                <c:pt idx="15">
                  <c:v>4.4060000000000006</c:v>
                </c:pt>
                <c:pt idx="16">
                  <c:v>7.5510000000000002</c:v>
                </c:pt>
                <c:pt idx="17">
                  <c:v>8.4749999999999996</c:v>
                </c:pt>
                <c:pt idx="18">
                  <c:v>13.461</c:v>
                </c:pt>
                <c:pt idx="19">
                  <c:v>9.0039999999999996</c:v>
                </c:pt>
                <c:pt idx="20">
                  <c:v>25.151</c:v>
                </c:pt>
                <c:pt idx="21">
                  <c:v>18.239117522156036</c:v>
                </c:pt>
                <c:pt idx="22">
                  <c:v>8.2759999999999998</c:v>
                </c:pt>
                <c:pt idx="23">
                  <c:v>7.6020000000000003</c:v>
                </c:pt>
                <c:pt idx="24">
                  <c:v>6.6859999999999999</c:v>
                </c:pt>
                <c:pt idx="25">
                  <c:v>3.89</c:v>
                </c:pt>
                <c:pt idx="26">
                  <c:v>1.649</c:v>
                </c:pt>
                <c:pt idx="27">
                  <c:v>5.4889999999999999</c:v>
                </c:pt>
                <c:pt idx="28">
                  <c:v>3.1379999999999999</c:v>
                </c:pt>
                <c:pt idx="29">
                  <c:v>3.62</c:v>
                </c:pt>
                <c:pt idx="30">
                  <c:v>3.0390000000000001</c:v>
                </c:pt>
                <c:pt idx="31">
                  <c:v>1.7769999999999997</c:v>
                </c:pt>
                <c:pt idx="32">
                  <c:v>0.4870000000000001</c:v>
                </c:pt>
                <c:pt idx="33">
                  <c:v>5.5760000000000005</c:v>
                </c:pt>
                <c:pt idx="34">
                  <c:v>4.3730000000000002</c:v>
                </c:pt>
                <c:pt idx="35">
                  <c:v>5.0380000000000003</c:v>
                </c:pt>
                <c:pt idx="36">
                  <c:v>1.1509999999999998</c:v>
                </c:pt>
                <c:pt idx="37">
                  <c:v>1.359</c:v>
                </c:pt>
                <c:pt idx="38">
                  <c:v>7.5789999999999988</c:v>
                </c:pt>
                <c:pt idx="39">
                  <c:v>5.72</c:v>
                </c:pt>
                <c:pt idx="40">
                  <c:v>6.6119999999999992</c:v>
                </c:pt>
                <c:pt idx="41">
                  <c:v>7.2430000000000003</c:v>
                </c:pt>
                <c:pt idx="42">
                  <c:v>5.9849999999999994</c:v>
                </c:pt>
                <c:pt idx="43">
                  <c:v>6.4190000000000005</c:v>
                </c:pt>
                <c:pt idx="44">
                  <c:v>18.837</c:v>
                </c:pt>
                <c:pt idx="45">
                  <c:v>12.815000000000001</c:v>
                </c:pt>
                <c:pt idx="46">
                  <c:v>6.157</c:v>
                </c:pt>
                <c:pt idx="47">
                  <c:v>7.8</c:v>
                </c:pt>
                <c:pt idx="48">
                  <c:v>7.4250000000000007</c:v>
                </c:pt>
                <c:pt idx="49">
                  <c:v>3.8970000000000002</c:v>
                </c:pt>
                <c:pt idx="50">
                  <c:v>4.1590000000000007</c:v>
                </c:pt>
                <c:pt idx="51">
                  <c:v>6.0329999999999995</c:v>
                </c:pt>
                <c:pt idx="52">
                  <c:v>5.3309999999999995</c:v>
                </c:pt>
                <c:pt idx="53">
                  <c:v>6.1620000000000008</c:v>
                </c:pt>
                <c:pt idx="54">
                  <c:v>4.6669999999999998</c:v>
                </c:pt>
                <c:pt idx="55">
                  <c:v>3.0510000000000002</c:v>
                </c:pt>
                <c:pt idx="56">
                  <c:v>2.2440000000000007</c:v>
                </c:pt>
                <c:pt idx="57">
                  <c:v>7.72</c:v>
                </c:pt>
                <c:pt idx="58">
                  <c:v>7.0890000000000013</c:v>
                </c:pt>
                <c:pt idx="59">
                  <c:v>9.4929999999999986</c:v>
                </c:pt>
                <c:pt idx="60">
                  <c:v>1.1680000000000001</c:v>
                </c:pt>
                <c:pt idx="61">
                  <c:v>1.2579999999999991</c:v>
                </c:pt>
                <c:pt idx="62">
                  <c:v>6.6159999999999997</c:v>
                </c:pt>
                <c:pt idx="63">
                  <c:v>10.302</c:v>
                </c:pt>
                <c:pt idx="64">
                  <c:v>9.7329999999999988</c:v>
                </c:pt>
                <c:pt idx="65">
                  <c:v>16.416</c:v>
                </c:pt>
                <c:pt idx="66">
                  <c:v>16.169</c:v>
                </c:pt>
                <c:pt idx="67">
                  <c:v>6.0460000000000003</c:v>
                </c:pt>
                <c:pt idx="68">
                  <c:v>22.764000000000003</c:v>
                </c:pt>
                <c:pt idx="69">
                  <c:v>22.970999999999997</c:v>
                </c:pt>
                <c:pt idx="70">
                  <c:v>12.862</c:v>
                </c:pt>
                <c:pt idx="71">
                  <c:v>9.27</c:v>
                </c:pt>
                <c:pt idx="72">
                  <c:v>5.77</c:v>
                </c:pt>
                <c:pt idx="73">
                  <c:v>5.827</c:v>
                </c:pt>
                <c:pt idx="74">
                  <c:v>5.516</c:v>
                </c:pt>
                <c:pt idx="75">
                  <c:v>3.9329999999999998</c:v>
                </c:pt>
                <c:pt idx="76">
                  <c:v>3.5209999999999999</c:v>
                </c:pt>
                <c:pt idx="77">
                  <c:v>4.4420000000000002</c:v>
                </c:pt>
                <c:pt idx="78">
                  <c:v>5.0969999999999995</c:v>
                </c:pt>
                <c:pt idx="79">
                  <c:v>1.5409999999999997</c:v>
                </c:pt>
                <c:pt idx="80">
                  <c:v>1.702</c:v>
                </c:pt>
                <c:pt idx="81">
                  <c:v>5.0739999999999998</c:v>
                </c:pt>
                <c:pt idx="82">
                  <c:v>9.7330000000000005</c:v>
                </c:pt>
                <c:pt idx="83">
                  <c:v>7.298</c:v>
                </c:pt>
                <c:pt idx="84">
                  <c:v>1.0529999999999999</c:v>
                </c:pt>
                <c:pt idx="85">
                  <c:v>1.2349999999999994</c:v>
                </c:pt>
                <c:pt idx="86">
                  <c:v>10.680000000000001</c:v>
                </c:pt>
                <c:pt idx="87">
                  <c:v>6.0859999999999994</c:v>
                </c:pt>
                <c:pt idx="88">
                  <c:v>4.3929999999999998</c:v>
                </c:pt>
                <c:pt idx="89">
                  <c:v>6.0250000000000004</c:v>
                </c:pt>
                <c:pt idx="90">
                  <c:v>16.503</c:v>
                </c:pt>
                <c:pt idx="91">
                  <c:v>8.0090000000000003</c:v>
                </c:pt>
                <c:pt idx="92">
                  <c:v>17.492000000000001</c:v>
                </c:pt>
                <c:pt idx="93">
                  <c:v>21.141000000000002</c:v>
                </c:pt>
                <c:pt idx="94">
                  <c:v>9.9290000000000003</c:v>
                </c:pt>
                <c:pt idx="95">
                  <c:v>8.3520000000000003</c:v>
                </c:pt>
                <c:pt idx="96">
                  <c:v>4.7370000000000001</c:v>
                </c:pt>
                <c:pt idx="97">
                  <c:v>4.2840000000000007</c:v>
                </c:pt>
                <c:pt idx="98">
                  <c:v>3.9359999999999999</c:v>
                </c:pt>
                <c:pt idx="99">
                  <c:v>5.92</c:v>
                </c:pt>
                <c:pt idx="100">
                  <c:v>3.673</c:v>
                </c:pt>
                <c:pt idx="101">
                  <c:v>5.5869999999999997</c:v>
                </c:pt>
                <c:pt idx="102">
                  <c:v>3.7050000000000001</c:v>
                </c:pt>
                <c:pt idx="103">
                  <c:v>2.3360000000000003</c:v>
                </c:pt>
                <c:pt idx="104">
                  <c:v>1.994</c:v>
                </c:pt>
                <c:pt idx="105">
                  <c:v>6.3280000000000003</c:v>
                </c:pt>
                <c:pt idx="106">
                  <c:v>6.766</c:v>
                </c:pt>
                <c:pt idx="107">
                  <c:v>5.2679999999999998</c:v>
                </c:pt>
                <c:pt idx="108">
                  <c:v>0.70000000000000018</c:v>
                </c:pt>
                <c:pt idx="109">
                  <c:v>1.4290000000000003</c:v>
                </c:pt>
                <c:pt idx="110">
                  <c:v>4.95</c:v>
                </c:pt>
                <c:pt idx="111">
                  <c:v>9.7510000000000012</c:v>
                </c:pt>
                <c:pt idx="112">
                  <c:v>4.2969999999999988</c:v>
                </c:pt>
                <c:pt idx="113">
                  <c:v>12.975999999999999</c:v>
                </c:pt>
                <c:pt idx="114">
                  <c:v>11.073</c:v>
                </c:pt>
                <c:pt idx="115">
                  <c:v>6.9450000000000003</c:v>
                </c:pt>
                <c:pt idx="116">
                  <c:v>17.516000000000002</c:v>
                </c:pt>
                <c:pt idx="117">
                  <c:v>12.48</c:v>
                </c:pt>
                <c:pt idx="118">
                  <c:v>8.4380000000000006</c:v>
                </c:pt>
                <c:pt idx="119">
                  <c:v>7.6029999999999998</c:v>
                </c:pt>
                <c:pt idx="120">
                  <c:v>7.0519999999999996</c:v>
                </c:pt>
                <c:pt idx="121">
                  <c:v>4.24</c:v>
                </c:pt>
                <c:pt idx="122">
                  <c:v>4.6579999999999995</c:v>
                </c:pt>
                <c:pt idx="123">
                  <c:v>3.468</c:v>
                </c:pt>
                <c:pt idx="124">
                  <c:v>6.0969999999999995</c:v>
                </c:pt>
                <c:pt idx="125">
                  <c:v>5.2840000000000007</c:v>
                </c:pt>
                <c:pt idx="126">
                  <c:v>5.0169999999999995</c:v>
                </c:pt>
                <c:pt idx="127">
                  <c:v>3.0949999999999998</c:v>
                </c:pt>
                <c:pt idx="128">
                  <c:v>2.62</c:v>
                </c:pt>
                <c:pt idx="129">
                  <c:v>7.3319999999999999</c:v>
                </c:pt>
                <c:pt idx="130">
                  <c:v>7.57</c:v>
                </c:pt>
                <c:pt idx="131">
                  <c:v>4.8680000000000003</c:v>
                </c:pt>
                <c:pt idx="132">
                  <c:v>0.76600000000000001</c:v>
                </c:pt>
                <c:pt idx="133">
                  <c:v>1.2539999999999996</c:v>
                </c:pt>
                <c:pt idx="134">
                  <c:v>9.8640000000000008</c:v>
                </c:pt>
                <c:pt idx="135">
                  <c:v>7.9320000000000004</c:v>
                </c:pt>
                <c:pt idx="136">
                  <c:v>11.612</c:v>
                </c:pt>
                <c:pt idx="137">
                  <c:v>14.047000000000001</c:v>
                </c:pt>
                <c:pt idx="138">
                  <c:v>9.2360000000000007</c:v>
                </c:pt>
                <c:pt idx="139">
                  <c:v>7.4180000000000001</c:v>
                </c:pt>
                <c:pt idx="140">
                  <c:v>16.143000000000001</c:v>
                </c:pt>
                <c:pt idx="141">
                  <c:v>14.757000000000001</c:v>
                </c:pt>
                <c:pt idx="142">
                  <c:v>9.7159999999999993</c:v>
                </c:pt>
                <c:pt idx="143">
                  <c:v>6.5419999999999998</c:v>
                </c:pt>
                <c:pt idx="144">
                  <c:v>4.4239999999999995</c:v>
                </c:pt>
                <c:pt idx="145">
                  <c:v>3.6639999999999997</c:v>
                </c:pt>
                <c:pt idx="146">
                  <c:v>5.1260000000000003</c:v>
                </c:pt>
                <c:pt idx="147">
                  <c:v>3.2009999999999996</c:v>
                </c:pt>
                <c:pt idx="148">
                  <c:v>3.794</c:v>
                </c:pt>
                <c:pt idx="149">
                  <c:v>3.927</c:v>
                </c:pt>
                <c:pt idx="150">
                  <c:v>2.548</c:v>
                </c:pt>
                <c:pt idx="151">
                  <c:v>2.3529999999999998</c:v>
                </c:pt>
                <c:pt idx="152">
                  <c:v>2.8079999999999998</c:v>
                </c:pt>
                <c:pt idx="153">
                  <c:v>4.899</c:v>
                </c:pt>
                <c:pt idx="154">
                  <c:v>7.302999999999999</c:v>
                </c:pt>
                <c:pt idx="155">
                  <c:v>4.4890000000000008</c:v>
                </c:pt>
                <c:pt idx="156">
                  <c:v>0.38500000000000023</c:v>
                </c:pt>
                <c:pt idx="157">
                  <c:v>0.73200000000000021</c:v>
                </c:pt>
                <c:pt idx="158">
                  <c:v>4.7480000000000002</c:v>
                </c:pt>
                <c:pt idx="159">
                  <c:v>4.3440000000000012</c:v>
                </c:pt>
                <c:pt idx="160">
                  <c:v>8.2890000000000015</c:v>
                </c:pt>
                <c:pt idx="161">
                  <c:v>9.8359999999999985</c:v>
                </c:pt>
                <c:pt idx="162">
                  <c:v>7.2430000000000003</c:v>
                </c:pt>
                <c:pt idx="163">
                  <c:v>6.1539999999999999</c:v>
                </c:pt>
                <c:pt idx="164">
                  <c:v>15.859</c:v>
                </c:pt>
                <c:pt idx="165">
                  <c:v>4.867</c:v>
                </c:pt>
                <c:pt idx="166">
                  <c:v>6.758</c:v>
                </c:pt>
                <c:pt idx="167">
                  <c:v>5.0419999999999998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11-482B-9EE0-64B0AED75C08}"/>
            </c:ext>
          </c:extLst>
        </c:ser>
        <c:ser>
          <c:idx val="2"/>
          <c:order val="5"/>
          <c:tx>
            <c:strRef>
              <c:f>Graphs!$N$5</c:f>
              <c:strCache>
                <c:ptCount val="1"/>
                <c:pt idx="0">
                  <c:v>Diesel_output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Graphs!$A$6:$A$173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Graphs!$N$6:$N$53</c:f>
              <c:numCache>
                <c:formatCode>0.00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7.7458824778439643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11-482B-9EE0-64B0AED75C08}"/>
            </c:ext>
          </c:extLst>
        </c:ser>
        <c:ser>
          <c:idx val="1"/>
          <c:order val="6"/>
          <c:tx>
            <c:strRef>
              <c:f>Graphs!$K$5</c:f>
              <c:strCache>
                <c:ptCount val="1"/>
                <c:pt idx="0">
                  <c:v>PV_Excess_MG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Graphs!$A$6:$A$173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Graphs!$K$6:$K$173</c:f>
              <c:numCache>
                <c:formatCode>0.00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3.0000000000000027E-2</c:v>
                </c:pt>
                <c:pt idx="8">
                  <c:v>1.84</c:v>
                </c:pt>
                <c:pt idx="9">
                  <c:v>0</c:v>
                </c:pt>
                <c:pt idx="10">
                  <c:v>0</c:v>
                </c:pt>
                <c:pt idx="11">
                  <c:v>5.67</c:v>
                </c:pt>
                <c:pt idx="12">
                  <c:v>4.5600000000000005</c:v>
                </c:pt>
                <c:pt idx="13">
                  <c:v>5.2100000000000009</c:v>
                </c:pt>
                <c:pt idx="14">
                  <c:v>4.2399999999999984</c:v>
                </c:pt>
                <c:pt idx="15">
                  <c:v>5.5399999999999991</c:v>
                </c:pt>
                <c:pt idx="16">
                  <c:v>2.92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3.48</c:v>
                </c:pt>
                <c:pt idx="32">
                  <c:v>4.5999999999999996</c:v>
                </c:pt>
                <c:pt idx="33">
                  <c:v>13.43</c:v>
                </c:pt>
                <c:pt idx="34">
                  <c:v>25.94</c:v>
                </c:pt>
                <c:pt idx="35">
                  <c:v>25.34</c:v>
                </c:pt>
                <c:pt idx="36">
                  <c:v>23.98</c:v>
                </c:pt>
                <c:pt idx="37">
                  <c:v>13.670000000000002</c:v>
                </c:pt>
                <c:pt idx="38">
                  <c:v>10.38</c:v>
                </c:pt>
                <c:pt idx="39">
                  <c:v>17.66</c:v>
                </c:pt>
                <c:pt idx="40">
                  <c:v>6.919999999999999</c:v>
                </c:pt>
                <c:pt idx="41">
                  <c:v>0.57000000000000028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5.75</c:v>
                </c:pt>
                <c:pt idx="57">
                  <c:v>3.45</c:v>
                </c:pt>
                <c:pt idx="58">
                  <c:v>3.3899999999999997</c:v>
                </c:pt>
                <c:pt idx="59">
                  <c:v>1.83</c:v>
                </c:pt>
                <c:pt idx="60">
                  <c:v>4.5600000000000005</c:v>
                </c:pt>
                <c:pt idx="61">
                  <c:v>1.0899999999999999</c:v>
                </c:pt>
                <c:pt idx="62">
                  <c:v>1.0300000000000011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4.46</c:v>
                </c:pt>
                <c:pt idx="80">
                  <c:v>8.01</c:v>
                </c:pt>
                <c:pt idx="81">
                  <c:v>4.9800000000000004</c:v>
                </c:pt>
                <c:pt idx="82">
                  <c:v>13.64</c:v>
                </c:pt>
                <c:pt idx="83">
                  <c:v>23.240000000000002</c:v>
                </c:pt>
                <c:pt idx="84">
                  <c:v>24.5</c:v>
                </c:pt>
                <c:pt idx="85">
                  <c:v>9.9499999999999993</c:v>
                </c:pt>
                <c:pt idx="86">
                  <c:v>0</c:v>
                </c:pt>
                <c:pt idx="87">
                  <c:v>6.44</c:v>
                </c:pt>
                <c:pt idx="88">
                  <c:v>7.2400000000000011</c:v>
                </c:pt>
                <c:pt idx="89">
                  <c:v>1.3099999999999996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8.58</c:v>
                </c:pt>
                <c:pt idx="105">
                  <c:v>2.7299999999999995</c:v>
                </c:pt>
                <c:pt idx="106">
                  <c:v>0</c:v>
                </c:pt>
                <c:pt idx="107">
                  <c:v>0.58999999999999986</c:v>
                </c:pt>
                <c:pt idx="108">
                  <c:v>2.3499999999999996</c:v>
                </c:pt>
                <c:pt idx="109">
                  <c:v>3.67</c:v>
                </c:pt>
                <c:pt idx="110">
                  <c:v>9.9999999999997868E-3</c:v>
                </c:pt>
                <c:pt idx="111">
                  <c:v>0</c:v>
                </c:pt>
                <c:pt idx="112">
                  <c:v>1.6999999999999997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0.39000000000000057</c:v>
                </c:pt>
                <c:pt idx="132">
                  <c:v>2.4699999999999998</c:v>
                </c:pt>
                <c:pt idx="133">
                  <c:v>6.9999999999998508E-2</c:v>
                </c:pt>
                <c:pt idx="134">
                  <c:v>0</c:v>
                </c:pt>
                <c:pt idx="135">
                  <c:v>0.25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6.9399999999999995</c:v>
                </c:pt>
                <c:pt idx="154">
                  <c:v>5.1099999999999994</c:v>
                </c:pt>
                <c:pt idx="155">
                  <c:v>3.4699999999999998</c:v>
                </c:pt>
                <c:pt idx="156">
                  <c:v>7.4600000000000009</c:v>
                </c:pt>
                <c:pt idx="157">
                  <c:v>2.0000000000000462E-2</c:v>
                </c:pt>
                <c:pt idx="158">
                  <c:v>0.80999999999999961</c:v>
                </c:pt>
                <c:pt idx="159">
                  <c:v>6.26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11-482B-9EE0-64B0AED75C08}"/>
            </c:ext>
          </c:extLst>
        </c:ser>
        <c:ser>
          <c:idx val="10"/>
          <c:order val="10"/>
          <c:tx>
            <c:strRef>
              <c:f>Graphs!$L$5</c:f>
              <c:strCache>
                <c:ptCount val="1"/>
                <c:pt idx="0">
                  <c:v>Shortage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Graphs!$L$6:$L$53</c:f>
              <c:numCache>
                <c:formatCode>0.00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4.5010000000000003</c:v>
                </c:pt>
                <c:pt idx="19">
                  <c:v>3.5840000000000001</c:v>
                </c:pt>
                <c:pt idx="20">
                  <c:v>3.871</c:v>
                </c:pt>
                <c:pt idx="21">
                  <c:v>2.7050000000000001</c:v>
                </c:pt>
                <c:pt idx="22">
                  <c:v>1.956</c:v>
                </c:pt>
                <c:pt idx="23">
                  <c:v>2.1419999999999999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11-482B-9EE0-64B0AED75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157776"/>
        <c:axId val="251155856"/>
        <c:extLst>
          <c:ext xmlns:c15="http://schemas.microsoft.com/office/drawing/2012/chart" uri="{02D57815-91ED-43cb-92C2-25804820EDAC}">
            <c15:filteredBar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Graphs!$R$5</c15:sqref>
                        </c15:formulaRef>
                      </c:ext>
                    </c:extLst>
                    <c:strCache>
                      <c:ptCount val="1"/>
                      <c:pt idx="0">
                        <c:v>Grid_imp</c:v>
                      </c:pt>
                    </c:strCache>
                  </c:strRef>
                </c:tx>
                <c:spPr>
                  <a:solidFill>
                    <a:schemeClr val="accent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Graphs!$A$6:$A$173</c15:sqref>
                        </c15:formulaRef>
                      </c:ext>
                    </c:extLst>
                    <c:numCache>
                      <c:formatCode>General</c:formatCode>
                      <c:ptCount val="16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Graphs!$R$6:$R$173</c15:sqref>
                        </c15:formulaRef>
                      </c:ext>
                    </c:extLst>
                    <c:numCache>
                      <c:formatCode>0.00</c:formatCode>
                      <c:ptCount val="168"/>
                      <c:pt idx="0">
                        <c:v>5.3399999995499998</c:v>
                      </c:pt>
                      <c:pt idx="1">
                        <c:v>3.69699999955</c:v>
                      </c:pt>
                      <c:pt idx="2">
                        <c:v>6.3317080478592676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4.7879999995500002</c:v>
                      </c:pt>
                      <c:pt idx="7">
                        <c:v>2.1909999999999998</c:v>
                      </c:pt>
                      <c:pt idx="8">
                        <c:v>0.38699999999999957</c:v>
                      </c:pt>
                      <c:pt idx="9">
                        <c:v>8.3230000000000004</c:v>
                      </c:pt>
                      <c:pt idx="10">
                        <c:v>7.6340000000000003</c:v>
                      </c:pt>
                      <c:pt idx="11">
                        <c:v>3.1270000000000007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2.9510000000000005</c:v>
                      </c:pt>
                      <c:pt idx="15">
                        <c:v>0</c:v>
                      </c:pt>
                      <c:pt idx="16">
                        <c:v>4.6310000000000002</c:v>
                      </c:pt>
                      <c:pt idx="17">
                        <c:v>8.4875381894747726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6.6878812985421572</c:v>
                      </c:pt>
                      <c:pt idx="25">
                        <c:v>3.8918812985421578</c:v>
                      </c:pt>
                      <c:pt idx="26">
                        <c:v>17.291946162757107</c:v>
                      </c:pt>
                      <c:pt idx="27">
                        <c:v>25</c:v>
                      </c:pt>
                      <c:pt idx="28">
                        <c:v>25</c:v>
                      </c:pt>
                      <c:pt idx="29">
                        <c:v>25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7.801881298352157</c:v>
                      </c:pt>
                      <c:pt idx="48">
                        <c:v>7.4268812983521579</c:v>
                      </c:pt>
                      <c:pt idx="49">
                        <c:v>3.9803928552526808</c:v>
                      </c:pt>
                      <c:pt idx="50">
                        <c:v>25</c:v>
                      </c:pt>
                      <c:pt idx="51">
                        <c:v>25</c:v>
                      </c:pt>
                      <c:pt idx="52">
                        <c:v>25</c:v>
                      </c:pt>
                      <c:pt idx="53">
                        <c:v>25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2.8384346848337589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5.5859999999999985</c:v>
                      </c:pt>
                      <c:pt idx="63">
                        <c:v>10.302</c:v>
                      </c:pt>
                      <c:pt idx="64">
                        <c:v>9.7329999999999988</c:v>
                      </c:pt>
                      <c:pt idx="65">
                        <c:v>16.416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22.970999999359996</c:v>
                      </c:pt>
                      <c:pt idx="70">
                        <c:v>12.863881298352158</c:v>
                      </c:pt>
                      <c:pt idx="71">
                        <c:v>9.2718812983521577</c:v>
                      </c:pt>
                      <c:pt idx="72">
                        <c:v>5.7718812983521568</c:v>
                      </c:pt>
                      <c:pt idx="73">
                        <c:v>5.8288812983521572</c:v>
                      </c:pt>
                      <c:pt idx="74">
                        <c:v>20.807993992454637</c:v>
                      </c:pt>
                      <c:pt idx="75">
                        <c:v>25</c:v>
                      </c:pt>
                      <c:pt idx="76">
                        <c:v>25</c:v>
                      </c:pt>
                      <c:pt idx="77">
                        <c:v>25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4.2980228365982978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4.7150000000000007</c:v>
                      </c:pt>
                      <c:pt idx="90">
                        <c:v>16.50299999936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8.3538812983521584</c:v>
                      </c:pt>
                      <c:pt idx="96">
                        <c:v>4.7388812983521573</c:v>
                      </c:pt>
                      <c:pt idx="97">
                        <c:v>4.2858812983521579</c:v>
                      </c:pt>
                      <c:pt idx="98">
                        <c:v>22.512250546889319</c:v>
                      </c:pt>
                      <c:pt idx="99">
                        <c:v>25</c:v>
                      </c:pt>
                      <c:pt idx="100">
                        <c:v>25</c:v>
                      </c:pt>
                      <c:pt idx="101">
                        <c:v>25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15.524991326485805</c:v>
                      </c:pt>
                      <c:pt idx="117">
                        <c:v>12.47999999936</c:v>
                      </c:pt>
                      <c:pt idx="118">
                        <c:v>8.4398812983521587</c:v>
                      </c:pt>
                      <c:pt idx="119">
                        <c:v>7.604881298352157</c:v>
                      </c:pt>
                      <c:pt idx="120">
                        <c:v>7.0538812983521568</c:v>
                      </c:pt>
                      <c:pt idx="121">
                        <c:v>4.2418812983521574</c:v>
                      </c:pt>
                      <c:pt idx="122">
                        <c:v>22.903350799155277</c:v>
                      </c:pt>
                      <c:pt idx="123">
                        <c:v>25</c:v>
                      </c:pt>
                      <c:pt idx="124">
                        <c:v>25</c:v>
                      </c:pt>
                      <c:pt idx="125">
                        <c:v>25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0.42323416053634372</c:v>
                      </c:pt>
                      <c:pt idx="129">
                        <c:v>7.3319999992799998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7.6820000000000004</c:v>
                      </c:pt>
                      <c:pt idx="136">
                        <c:v>11.61199999938</c:v>
                      </c:pt>
                      <c:pt idx="137">
                        <c:v>14.046999999240001</c:v>
                      </c:pt>
                      <c:pt idx="138">
                        <c:v>9.2359999993600006</c:v>
                      </c:pt>
                      <c:pt idx="139">
                        <c:v>7.4179999993600001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9.7178812983521574</c:v>
                      </c:pt>
                      <c:pt idx="143">
                        <c:v>6.543881298352157</c:v>
                      </c:pt>
                      <c:pt idx="144">
                        <c:v>4.4258812983521567</c:v>
                      </c:pt>
                      <c:pt idx="145">
                        <c:v>3.6658812983521574</c:v>
                      </c:pt>
                      <c:pt idx="146">
                        <c:v>19.443925891882046</c:v>
                      </c:pt>
                      <c:pt idx="147">
                        <c:v>25</c:v>
                      </c:pt>
                      <c:pt idx="148">
                        <c:v>25</c:v>
                      </c:pt>
                      <c:pt idx="149">
                        <c:v>25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4.8876604948411693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6.7598812983521572</c:v>
                      </c:pt>
                      <c:pt idx="167">
                        <c:v>5.043881298352157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511-482B-9EE0-64B0AED75C08}"/>
                  </c:ext>
                </c:extLst>
              </c15:ser>
            </c15:filteredBarSeries>
            <c15:filteredBa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Graphs!$T$5</c15:sqref>
                        </c15:formulaRef>
                      </c:ext>
                    </c:extLst>
                    <c:strCache>
                      <c:ptCount val="1"/>
                      <c:pt idx="0">
                        <c:v>Bat_charge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Graphs!$A$6:$A$173</c15:sqref>
                        </c15:formulaRef>
                      </c:ext>
                    </c:extLst>
                    <c:numCache>
                      <c:formatCode>General</c:formatCode>
                      <c:ptCount val="16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Graphs!$T$6:$T$173</c15:sqref>
                        </c15:formulaRef>
                      </c:ext>
                    </c:extLst>
                    <c:numCache>
                      <c:formatCode>0.00</c:formatCode>
                      <c:ptCount val="1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-0.75902557278316707</c:v>
                      </c:pt>
                      <c:pt idx="3">
                        <c:v>-15.534985200381755</c:v>
                      </c:pt>
                      <c:pt idx="4">
                        <c:v>-15.506141300381755</c:v>
                      </c:pt>
                      <c:pt idx="5">
                        <c:v>-15.711442000381759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-5.2307198190180058E-2</c:v>
                      </c:pt>
                      <c:pt idx="16">
                        <c:v>0</c:v>
                      </c:pt>
                      <c:pt idx="17">
                        <c:v>-1.063677304092323E-2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-1.5959999999969553E-3</c:v>
                      </c:pt>
                      <c:pt idx="25">
                        <c:v>-1.5959999999969553E-3</c:v>
                      </c:pt>
                      <c:pt idx="26">
                        <c:v>-13.270693377556745</c:v>
                      </c:pt>
                      <c:pt idx="27">
                        <c:v>-16.552156850381756</c:v>
                      </c:pt>
                      <c:pt idx="28">
                        <c:v>-18.546627700381759</c:v>
                      </c:pt>
                      <c:pt idx="29">
                        <c:v>-18.137723000381758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-10.44403685</c:v>
                      </c:pt>
                      <c:pt idx="38">
                        <c:v>-2.3762283500000039</c:v>
                      </c:pt>
                      <c:pt idx="39">
                        <c:v>-10.129299</c:v>
                      </c:pt>
                      <c:pt idx="40">
                        <c:v>-0.26129179999999941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-1.5959999999969553E-3</c:v>
                      </c:pt>
                      <c:pt idx="48">
                        <c:v>-1.5959999999969553E-3</c:v>
                      </c:pt>
                      <c:pt idx="49">
                        <c:v>-7.0746329296555457E-2</c:v>
                      </c:pt>
                      <c:pt idx="50">
                        <c:v>-17.680462350542943</c:v>
                      </c:pt>
                      <c:pt idx="51">
                        <c:v>-16.090654450542942</c:v>
                      </c:pt>
                      <c:pt idx="52">
                        <c:v>-16.686196150542944</c:v>
                      </c:pt>
                      <c:pt idx="53">
                        <c:v>-15.981217300542943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-2.8776032000000002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-1.5959999999969553E-3</c:v>
                      </c:pt>
                      <c:pt idx="71">
                        <c:v>-1.5959999999969553E-3</c:v>
                      </c:pt>
                      <c:pt idx="72">
                        <c:v>-1.5959999999969553E-3</c:v>
                      </c:pt>
                      <c:pt idx="73">
                        <c:v>-1.5959999999969553E-3</c:v>
                      </c:pt>
                      <c:pt idx="74">
                        <c:v>-12.972963104041833</c:v>
                      </c:pt>
                      <c:pt idx="75">
                        <c:v>-17.872189450542944</c:v>
                      </c:pt>
                      <c:pt idx="76">
                        <c:v>-18.221709650542945</c:v>
                      </c:pt>
                      <c:pt idx="77">
                        <c:v>-17.440379300542943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-3.3145034500000001</c:v>
                      </c:pt>
                      <c:pt idx="83">
                        <c:v>-13.524395699999998</c:v>
                      </c:pt>
                      <c:pt idx="84">
                        <c:v>-19.891262449999996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-1.5959999999969553E-3</c:v>
                      </c:pt>
                      <c:pt idx="96">
                        <c:v>-1.5959999999969553E-3</c:v>
                      </c:pt>
                      <c:pt idx="97">
                        <c:v>-1.5959999999969553E-3</c:v>
                      </c:pt>
                      <c:pt idx="98">
                        <c:v>-15.759162151996495</c:v>
                      </c:pt>
                      <c:pt idx="99">
                        <c:v>-16.186518000542943</c:v>
                      </c:pt>
                      <c:pt idx="100">
                        <c:v>-18.092760450542944</c:v>
                      </c:pt>
                      <c:pt idx="101">
                        <c:v>-16.469018550542941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-5.5872330999999997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-1.3997774999999992</c:v>
                      </c:pt>
                      <c:pt idx="109">
                        <c:v>-1.901152349999998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-1.5959999999969553E-3</c:v>
                      </c:pt>
                      <c:pt idx="119">
                        <c:v>-1.5959999999969553E-3</c:v>
                      </c:pt>
                      <c:pt idx="120">
                        <c:v>-1.5959999999969553E-3</c:v>
                      </c:pt>
                      <c:pt idx="121">
                        <c:v>-1.5959999999969553E-3</c:v>
                      </c:pt>
                      <c:pt idx="122">
                        <c:v>-15.478443351006321</c:v>
                      </c:pt>
                      <c:pt idx="123">
                        <c:v>-18.266672200542942</c:v>
                      </c:pt>
                      <c:pt idx="124">
                        <c:v>-16.036360050542942</c:v>
                      </c:pt>
                      <c:pt idx="125">
                        <c:v>-16.726068600542945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-1.4455883999999997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-1.5959999999969553E-3</c:v>
                      </c:pt>
                      <c:pt idx="143">
                        <c:v>-1.5959999999969553E-3</c:v>
                      </c:pt>
                      <c:pt idx="144">
                        <c:v>-1.5959999999969553E-3</c:v>
                      </c:pt>
                      <c:pt idx="145">
                        <c:v>-1.5959999999969553E-3</c:v>
                      </c:pt>
                      <c:pt idx="146">
                        <c:v>-12.146612430921076</c:v>
                      </c:pt>
                      <c:pt idx="147">
                        <c:v>-18.493181650542944</c:v>
                      </c:pt>
                      <c:pt idx="148">
                        <c:v>-17.990110100542942</c:v>
                      </c:pt>
                      <c:pt idx="149">
                        <c:v>-17.877279550542944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-1.5959999999969553E-3</c:v>
                      </c:pt>
                      <c:pt idx="167">
                        <c:v>-1.5959999999969553E-3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11-482B-9EE0-64B0AED75C0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Graphs!$M$5</c15:sqref>
                        </c15:formulaRef>
                      </c:ext>
                    </c:extLst>
                    <c:strCache>
                      <c:ptCount val="1"/>
                      <c:pt idx="0">
                        <c:v>Grid_Export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Graphs!$M$6:$M$173</c15:sqref>
                        </c15:formulaRef>
                      </c:ext>
                    </c:extLst>
                    <c:numCache>
                      <c:formatCode>0.00</c:formatCode>
                      <c:ptCount val="1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-3.0630000000000006</c:v>
                      </c:pt>
                      <c:pt idx="13">
                        <c:v>-3.8120000000000012</c:v>
                      </c:pt>
                      <c:pt idx="14">
                        <c:v>0</c:v>
                      </c:pt>
                      <c:pt idx="15">
                        <c:v>-1.0723424315551586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-23.961000000449999</c:v>
                      </c:pt>
                      <c:pt idx="31">
                        <c:v>-2.7388443445182631</c:v>
                      </c:pt>
                      <c:pt idx="32">
                        <c:v>-4.1129999999999995</c:v>
                      </c:pt>
                      <c:pt idx="33">
                        <c:v>-7.8539999999999992</c:v>
                      </c:pt>
                      <c:pt idx="34">
                        <c:v>-21.567</c:v>
                      </c:pt>
                      <c:pt idx="35">
                        <c:v>-20.302</c:v>
                      </c:pt>
                      <c:pt idx="36">
                        <c:v>-22.829000000000001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-3.5059999999999993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-21.903000000639999</c:v>
                      </c:pt>
                      <c:pt idx="79">
                        <c:v>-10.596759585251313</c:v>
                      </c:pt>
                      <c:pt idx="80">
                        <c:v>-6.3079999999999998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-8.7149999999999999</c:v>
                      </c:pt>
                      <c:pt idx="86">
                        <c:v>0</c:v>
                      </c:pt>
                      <c:pt idx="87">
                        <c:v>-0.35400000000000098</c:v>
                      </c:pt>
                      <c:pt idx="88">
                        <c:v>-2.8470000000000013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-2.0409999999999995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-7.0750000000000002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-1.9159999999999986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511-482B-9EE0-64B0AED75C0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9"/>
          <c:order val="0"/>
          <c:tx>
            <c:strRef>
              <c:f>Graphs!$C$5</c:f>
              <c:strCache>
                <c:ptCount val="1"/>
                <c:pt idx="0">
                  <c:v>Load A</c:v>
                </c:pt>
              </c:strCache>
            </c:strRef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Graphs!$C$6:$C$173</c:f>
              <c:numCache>
                <c:formatCode>General</c:formatCode>
                <c:ptCount val="168"/>
                <c:pt idx="0">
                  <c:v>3.5</c:v>
                </c:pt>
                <c:pt idx="1">
                  <c:v>1.92</c:v>
                </c:pt>
                <c:pt idx="2">
                  <c:v>2.82</c:v>
                </c:pt>
                <c:pt idx="3">
                  <c:v>3.46</c:v>
                </c:pt>
                <c:pt idx="4">
                  <c:v>3.48</c:v>
                </c:pt>
                <c:pt idx="5">
                  <c:v>3.36</c:v>
                </c:pt>
                <c:pt idx="6">
                  <c:v>2.48</c:v>
                </c:pt>
                <c:pt idx="7">
                  <c:v>1.84</c:v>
                </c:pt>
                <c:pt idx="8">
                  <c:v>1.82</c:v>
                </c:pt>
                <c:pt idx="9">
                  <c:v>4</c:v>
                </c:pt>
                <c:pt idx="10">
                  <c:v>6.28</c:v>
                </c:pt>
                <c:pt idx="11">
                  <c:v>8.14</c:v>
                </c:pt>
                <c:pt idx="12">
                  <c:v>7.82</c:v>
                </c:pt>
                <c:pt idx="13">
                  <c:v>12.04</c:v>
                </c:pt>
                <c:pt idx="14">
                  <c:v>11.46</c:v>
                </c:pt>
                <c:pt idx="15">
                  <c:v>4.08</c:v>
                </c:pt>
                <c:pt idx="16">
                  <c:v>7</c:v>
                </c:pt>
                <c:pt idx="17">
                  <c:v>6.5</c:v>
                </c:pt>
                <c:pt idx="18">
                  <c:v>11.02</c:v>
                </c:pt>
                <c:pt idx="19">
                  <c:v>5.42</c:v>
                </c:pt>
                <c:pt idx="20">
                  <c:v>21.28</c:v>
                </c:pt>
                <c:pt idx="21">
                  <c:v>23.28</c:v>
                </c:pt>
                <c:pt idx="22">
                  <c:v>6.32</c:v>
                </c:pt>
                <c:pt idx="23">
                  <c:v>5.46</c:v>
                </c:pt>
                <c:pt idx="24">
                  <c:v>4.38</c:v>
                </c:pt>
                <c:pt idx="25">
                  <c:v>2.02</c:v>
                </c:pt>
                <c:pt idx="26">
                  <c:v>0.86</c:v>
                </c:pt>
                <c:pt idx="27">
                  <c:v>2.84</c:v>
                </c:pt>
                <c:pt idx="28">
                  <c:v>1.62</c:v>
                </c:pt>
                <c:pt idx="29">
                  <c:v>1.88</c:v>
                </c:pt>
                <c:pt idx="30">
                  <c:v>1.58</c:v>
                </c:pt>
                <c:pt idx="31">
                  <c:v>1.48</c:v>
                </c:pt>
                <c:pt idx="32">
                  <c:v>2.62</c:v>
                </c:pt>
                <c:pt idx="33">
                  <c:v>2.68</c:v>
                </c:pt>
                <c:pt idx="34">
                  <c:v>4.0599999999999996</c:v>
                </c:pt>
                <c:pt idx="35">
                  <c:v>4.66</c:v>
                </c:pt>
                <c:pt idx="36">
                  <c:v>6.02</c:v>
                </c:pt>
                <c:pt idx="37">
                  <c:v>11.7</c:v>
                </c:pt>
                <c:pt idx="38">
                  <c:v>12.08</c:v>
                </c:pt>
                <c:pt idx="39">
                  <c:v>5.3</c:v>
                </c:pt>
                <c:pt idx="40">
                  <c:v>6.12</c:v>
                </c:pt>
                <c:pt idx="41">
                  <c:v>7.92</c:v>
                </c:pt>
                <c:pt idx="42">
                  <c:v>6.1</c:v>
                </c:pt>
                <c:pt idx="43">
                  <c:v>3.86</c:v>
                </c:pt>
                <c:pt idx="44">
                  <c:v>15.94</c:v>
                </c:pt>
                <c:pt idx="45">
                  <c:v>11.48</c:v>
                </c:pt>
                <c:pt idx="46">
                  <c:v>4.7</c:v>
                </c:pt>
                <c:pt idx="47">
                  <c:v>5.6</c:v>
                </c:pt>
                <c:pt idx="48">
                  <c:v>4.8600000000000003</c:v>
                </c:pt>
                <c:pt idx="49">
                  <c:v>2.02</c:v>
                </c:pt>
                <c:pt idx="50">
                  <c:v>2.16</c:v>
                </c:pt>
                <c:pt idx="51">
                  <c:v>3.12</c:v>
                </c:pt>
                <c:pt idx="52">
                  <c:v>2.76</c:v>
                </c:pt>
                <c:pt idx="53">
                  <c:v>3.2</c:v>
                </c:pt>
                <c:pt idx="54">
                  <c:v>2.42</c:v>
                </c:pt>
                <c:pt idx="55">
                  <c:v>1.38</c:v>
                </c:pt>
                <c:pt idx="56">
                  <c:v>1.84</c:v>
                </c:pt>
                <c:pt idx="57">
                  <c:v>3.7</c:v>
                </c:pt>
                <c:pt idx="58">
                  <c:v>6.56</c:v>
                </c:pt>
                <c:pt idx="59">
                  <c:v>8.8000000000000007</c:v>
                </c:pt>
                <c:pt idx="60">
                  <c:v>6.1</c:v>
                </c:pt>
                <c:pt idx="61">
                  <c:v>10.82</c:v>
                </c:pt>
                <c:pt idx="62">
                  <c:v>10.54</c:v>
                </c:pt>
                <c:pt idx="63">
                  <c:v>7.48</c:v>
                </c:pt>
                <c:pt idx="64">
                  <c:v>7.16</c:v>
                </c:pt>
                <c:pt idx="65">
                  <c:v>11.38</c:v>
                </c:pt>
                <c:pt idx="66">
                  <c:v>11.48</c:v>
                </c:pt>
                <c:pt idx="67">
                  <c:v>3.64</c:v>
                </c:pt>
                <c:pt idx="68">
                  <c:v>19.260000000000002</c:v>
                </c:pt>
                <c:pt idx="69">
                  <c:v>20.58</c:v>
                </c:pt>
                <c:pt idx="70">
                  <c:v>9.82</c:v>
                </c:pt>
                <c:pt idx="71">
                  <c:v>6.66</c:v>
                </c:pt>
                <c:pt idx="72">
                  <c:v>3.78</c:v>
                </c:pt>
                <c:pt idx="73">
                  <c:v>3.02</c:v>
                </c:pt>
                <c:pt idx="74">
                  <c:v>2.86</c:v>
                </c:pt>
                <c:pt idx="75">
                  <c:v>2.04</c:v>
                </c:pt>
                <c:pt idx="76">
                  <c:v>1.82</c:v>
                </c:pt>
                <c:pt idx="77">
                  <c:v>2.2999999999999998</c:v>
                </c:pt>
                <c:pt idx="78">
                  <c:v>2.64</c:v>
                </c:pt>
                <c:pt idx="79">
                  <c:v>1.28</c:v>
                </c:pt>
                <c:pt idx="80">
                  <c:v>1.4</c:v>
                </c:pt>
                <c:pt idx="81">
                  <c:v>2.44</c:v>
                </c:pt>
                <c:pt idx="82">
                  <c:v>9.02</c:v>
                </c:pt>
                <c:pt idx="83">
                  <c:v>6.76</c:v>
                </c:pt>
                <c:pt idx="84">
                  <c:v>5.5</c:v>
                </c:pt>
                <c:pt idx="85">
                  <c:v>10.64</c:v>
                </c:pt>
                <c:pt idx="86">
                  <c:v>11.96</c:v>
                </c:pt>
                <c:pt idx="87">
                  <c:v>5.64</c:v>
                </c:pt>
                <c:pt idx="88">
                  <c:v>4.0599999999999996</c:v>
                </c:pt>
                <c:pt idx="89">
                  <c:v>6.58</c:v>
                </c:pt>
                <c:pt idx="90">
                  <c:v>11.72</c:v>
                </c:pt>
                <c:pt idx="91">
                  <c:v>4.82</c:v>
                </c:pt>
                <c:pt idx="92">
                  <c:v>14.8</c:v>
                </c:pt>
                <c:pt idx="93">
                  <c:v>18.940000000000001</c:v>
                </c:pt>
                <c:pt idx="94">
                  <c:v>7.58</c:v>
                </c:pt>
                <c:pt idx="95">
                  <c:v>6</c:v>
                </c:pt>
                <c:pt idx="96">
                  <c:v>3.1</c:v>
                </c:pt>
                <c:pt idx="97">
                  <c:v>2.2200000000000002</c:v>
                </c:pt>
                <c:pt idx="98">
                  <c:v>2.04</c:v>
                </c:pt>
                <c:pt idx="99">
                  <c:v>3.06</c:v>
                </c:pt>
                <c:pt idx="100">
                  <c:v>1.9</c:v>
                </c:pt>
                <c:pt idx="101">
                  <c:v>2.9</c:v>
                </c:pt>
                <c:pt idx="102">
                  <c:v>1.92</c:v>
                </c:pt>
                <c:pt idx="103">
                  <c:v>1.06</c:v>
                </c:pt>
                <c:pt idx="104">
                  <c:v>1.64</c:v>
                </c:pt>
                <c:pt idx="105">
                  <c:v>3.04</c:v>
                </c:pt>
                <c:pt idx="106">
                  <c:v>5.5</c:v>
                </c:pt>
                <c:pt idx="107">
                  <c:v>4.88</c:v>
                </c:pt>
                <c:pt idx="108">
                  <c:v>3.66</c:v>
                </c:pt>
                <c:pt idx="109">
                  <c:v>12.3</c:v>
                </c:pt>
                <c:pt idx="110">
                  <c:v>7.88</c:v>
                </c:pt>
                <c:pt idx="111">
                  <c:v>8.32</c:v>
                </c:pt>
                <c:pt idx="112">
                  <c:v>3.98</c:v>
                </c:pt>
                <c:pt idx="113">
                  <c:v>6.78</c:v>
                </c:pt>
                <c:pt idx="114">
                  <c:v>7.86</c:v>
                </c:pt>
                <c:pt idx="115">
                  <c:v>4.18</c:v>
                </c:pt>
                <c:pt idx="116">
                  <c:v>14.82</c:v>
                </c:pt>
                <c:pt idx="117">
                  <c:v>11.18</c:v>
                </c:pt>
                <c:pt idx="118">
                  <c:v>6.44</c:v>
                </c:pt>
                <c:pt idx="119">
                  <c:v>5.46</c:v>
                </c:pt>
                <c:pt idx="120">
                  <c:v>4.62</c:v>
                </c:pt>
                <c:pt idx="121">
                  <c:v>2.2000000000000002</c:v>
                </c:pt>
                <c:pt idx="122">
                  <c:v>2.42</c:v>
                </c:pt>
                <c:pt idx="123">
                  <c:v>1.8</c:v>
                </c:pt>
                <c:pt idx="124">
                  <c:v>3.16</c:v>
                </c:pt>
                <c:pt idx="125">
                  <c:v>2.74</c:v>
                </c:pt>
                <c:pt idx="126">
                  <c:v>2.6</c:v>
                </c:pt>
                <c:pt idx="127">
                  <c:v>1.4</c:v>
                </c:pt>
                <c:pt idx="128">
                  <c:v>1.18</c:v>
                </c:pt>
                <c:pt idx="129">
                  <c:v>2.38</c:v>
                </c:pt>
                <c:pt idx="130">
                  <c:v>6.04</c:v>
                </c:pt>
                <c:pt idx="131">
                  <c:v>4.5199999999999996</c:v>
                </c:pt>
                <c:pt idx="132">
                  <c:v>4</c:v>
                </c:pt>
                <c:pt idx="133">
                  <c:v>10.8</c:v>
                </c:pt>
                <c:pt idx="134">
                  <c:v>8.84</c:v>
                </c:pt>
                <c:pt idx="135">
                  <c:v>7.34</c:v>
                </c:pt>
                <c:pt idx="136">
                  <c:v>5.58</c:v>
                </c:pt>
                <c:pt idx="137">
                  <c:v>7.34</c:v>
                </c:pt>
                <c:pt idx="138">
                  <c:v>6.56</c:v>
                </c:pt>
                <c:pt idx="139">
                  <c:v>4.46</c:v>
                </c:pt>
                <c:pt idx="140">
                  <c:v>13.66</c:v>
                </c:pt>
                <c:pt idx="141">
                  <c:v>13.22</c:v>
                </c:pt>
                <c:pt idx="142">
                  <c:v>7.42</c:v>
                </c:pt>
                <c:pt idx="143">
                  <c:v>4.7</c:v>
                </c:pt>
                <c:pt idx="144">
                  <c:v>2.9</c:v>
                </c:pt>
                <c:pt idx="145">
                  <c:v>1.9</c:v>
                </c:pt>
                <c:pt idx="146">
                  <c:v>2.66</c:v>
                </c:pt>
                <c:pt idx="147">
                  <c:v>1.66</c:v>
                </c:pt>
                <c:pt idx="148">
                  <c:v>1.96</c:v>
                </c:pt>
                <c:pt idx="149">
                  <c:v>2.04</c:v>
                </c:pt>
                <c:pt idx="150">
                  <c:v>1.32</c:v>
                </c:pt>
                <c:pt idx="151">
                  <c:v>1.06</c:v>
                </c:pt>
                <c:pt idx="152">
                  <c:v>1.26</c:v>
                </c:pt>
                <c:pt idx="153">
                  <c:v>2.34</c:v>
                </c:pt>
                <c:pt idx="154">
                  <c:v>6.76</c:v>
                </c:pt>
                <c:pt idx="155">
                  <c:v>4.16</c:v>
                </c:pt>
                <c:pt idx="156">
                  <c:v>2.02</c:v>
                </c:pt>
                <c:pt idx="157">
                  <c:v>6.3</c:v>
                </c:pt>
                <c:pt idx="158">
                  <c:v>7.56</c:v>
                </c:pt>
                <c:pt idx="159">
                  <c:v>4.0199999999999996</c:v>
                </c:pt>
                <c:pt idx="160">
                  <c:v>6.68</c:v>
                </c:pt>
                <c:pt idx="161">
                  <c:v>5.14</c:v>
                </c:pt>
                <c:pt idx="162">
                  <c:v>5.14</c:v>
                </c:pt>
                <c:pt idx="163">
                  <c:v>3.7</c:v>
                </c:pt>
                <c:pt idx="164">
                  <c:v>13.42</c:v>
                </c:pt>
                <c:pt idx="165">
                  <c:v>4.3600000000000003</c:v>
                </c:pt>
                <c:pt idx="166">
                  <c:v>5.16</c:v>
                </c:pt>
                <c:pt idx="167">
                  <c:v>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11-482B-9EE0-64B0AED75C08}"/>
            </c:ext>
          </c:extLst>
        </c:ser>
        <c:ser>
          <c:idx val="0"/>
          <c:order val="1"/>
          <c:tx>
            <c:strRef>
              <c:f>Graphs!$B$5</c:f>
              <c:strCache>
                <c:ptCount val="1"/>
                <c:pt idx="0">
                  <c:v>Load A+B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Graphs!$A$6:$A$173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Graphs!$B$6:$B$173</c:f>
              <c:numCache>
                <c:formatCode>General</c:formatCode>
                <c:ptCount val="168"/>
                <c:pt idx="0">
                  <c:v>5.34</c:v>
                </c:pt>
                <c:pt idx="1">
                  <c:v>3.6970000000000001</c:v>
                </c:pt>
                <c:pt idx="2">
                  <c:v>5.4369999999999994</c:v>
                </c:pt>
                <c:pt idx="3">
                  <c:v>6.6880000000000006</c:v>
                </c:pt>
                <c:pt idx="4">
                  <c:v>6.7219999999999995</c:v>
                </c:pt>
                <c:pt idx="5">
                  <c:v>6.48</c:v>
                </c:pt>
                <c:pt idx="6">
                  <c:v>4.7880000000000003</c:v>
                </c:pt>
                <c:pt idx="7">
                  <c:v>4.0609999999999999</c:v>
                </c:pt>
                <c:pt idx="8">
                  <c:v>4.0469999999999997</c:v>
                </c:pt>
                <c:pt idx="9">
                  <c:v>12.323</c:v>
                </c:pt>
                <c:pt idx="10">
                  <c:v>13.064</c:v>
                </c:pt>
                <c:pt idx="11">
                  <c:v>16.937000000000001</c:v>
                </c:pt>
                <c:pt idx="12">
                  <c:v>9.3170000000000002</c:v>
                </c:pt>
                <c:pt idx="13">
                  <c:v>13.437999999999999</c:v>
                </c:pt>
                <c:pt idx="14">
                  <c:v>18.651</c:v>
                </c:pt>
                <c:pt idx="15">
                  <c:v>8.4860000000000007</c:v>
                </c:pt>
                <c:pt idx="16">
                  <c:v>14.551</c:v>
                </c:pt>
                <c:pt idx="17">
                  <c:v>12.445</c:v>
                </c:pt>
                <c:pt idx="18">
                  <c:v>15.521000000000001</c:v>
                </c:pt>
                <c:pt idx="19">
                  <c:v>9.0039999999999996</c:v>
                </c:pt>
                <c:pt idx="20">
                  <c:v>25.151</c:v>
                </c:pt>
                <c:pt idx="21">
                  <c:v>25.984999999999999</c:v>
                </c:pt>
                <c:pt idx="22">
                  <c:v>8.2759999999999998</c:v>
                </c:pt>
                <c:pt idx="23">
                  <c:v>7.6020000000000003</c:v>
                </c:pt>
                <c:pt idx="24">
                  <c:v>6.6859999999999999</c:v>
                </c:pt>
                <c:pt idx="25">
                  <c:v>3.89</c:v>
                </c:pt>
                <c:pt idx="26">
                  <c:v>1.649</c:v>
                </c:pt>
                <c:pt idx="27">
                  <c:v>5.4889999999999999</c:v>
                </c:pt>
                <c:pt idx="28">
                  <c:v>3.1379999999999999</c:v>
                </c:pt>
                <c:pt idx="29">
                  <c:v>3.62</c:v>
                </c:pt>
                <c:pt idx="30">
                  <c:v>3.0390000000000001</c:v>
                </c:pt>
                <c:pt idx="31">
                  <c:v>3.2569999999999997</c:v>
                </c:pt>
                <c:pt idx="32">
                  <c:v>3.1070000000000002</c:v>
                </c:pt>
                <c:pt idx="33">
                  <c:v>8.2560000000000002</c:v>
                </c:pt>
                <c:pt idx="34">
                  <c:v>8.4329999999999998</c:v>
                </c:pt>
                <c:pt idx="35">
                  <c:v>9.6980000000000004</c:v>
                </c:pt>
                <c:pt idx="36">
                  <c:v>7.1709999999999994</c:v>
                </c:pt>
                <c:pt idx="37">
                  <c:v>13.058999999999999</c:v>
                </c:pt>
                <c:pt idx="38">
                  <c:v>19.658999999999999</c:v>
                </c:pt>
                <c:pt idx="39">
                  <c:v>11.02</c:v>
                </c:pt>
                <c:pt idx="40">
                  <c:v>12.731999999999999</c:v>
                </c:pt>
                <c:pt idx="41">
                  <c:v>15.163</c:v>
                </c:pt>
                <c:pt idx="42">
                  <c:v>8.5949999999999989</c:v>
                </c:pt>
                <c:pt idx="43">
                  <c:v>6.4190000000000005</c:v>
                </c:pt>
                <c:pt idx="44">
                  <c:v>18.837</c:v>
                </c:pt>
                <c:pt idx="45">
                  <c:v>12.815000000000001</c:v>
                </c:pt>
                <c:pt idx="46">
                  <c:v>6.157</c:v>
                </c:pt>
                <c:pt idx="47">
                  <c:v>7.8</c:v>
                </c:pt>
                <c:pt idx="48">
                  <c:v>7.4250000000000007</c:v>
                </c:pt>
                <c:pt idx="49">
                  <c:v>3.8970000000000002</c:v>
                </c:pt>
                <c:pt idx="50">
                  <c:v>4.1590000000000007</c:v>
                </c:pt>
                <c:pt idx="51">
                  <c:v>6.0329999999999995</c:v>
                </c:pt>
                <c:pt idx="52">
                  <c:v>5.3309999999999995</c:v>
                </c:pt>
                <c:pt idx="53">
                  <c:v>6.1620000000000008</c:v>
                </c:pt>
                <c:pt idx="54">
                  <c:v>4.6669999999999998</c:v>
                </c:pt>
                <c:pt idx="55">
                  <c:v>3.0510000000000002</c:v>
                </c:pt>
                <c:pt idx="56">
                  <c:v>4.0840000000000005</c:v>
                </c:pt>
                <c:pt idx="57">
                  <c:v>11.42</c:v>
                </c:pt>
                <c:pt idx="58">
                  <c:v>13.649000000000001</c:v>
                </c:pt>
                <c:pt idx="59">
                  <c:v>18.292999999999999</c:v>
                </c:pt>
                <c:pt idx="60">
                  <c:v>7.2679999999999998</c:v>
                </c:pt>
                <c:pt idx="61">
                  <c:v>12.077999999999999</c:v>
                </c:pt>
                <c:pt idx="62">
                  <c:v>17.155999999999999</c:v>
                </c:pt>
                <c:pt idx="63">
                  <c:v>15.552</c:v>
                </c:pt>
                <c:pt idx="64">
                  <c:v>14.882999999999999</c:v>
                </c:pt>
                <c:pt idx="65">
                  <c:v>21.795999999999999</c:v>
                </c:pt>
                <c:pt idx="66">
                  <c:v>16.169</c:v>
                </c:pt>
                <c:pt idx="67">
                  <c:v>6.0460000000000003</c:v>
                </c:pt>
                <c:pt idx="68">
                  <c:v>22.764000000000003</c:v>
                </c:pt>
                <c:pt idx="69">
                  <c:v>22.970999999999997</c:v>
                </c:pt>
                <c:pt idx="70">
                  <c:v>12.862</c:v>
                </c:pt>
                <c:pt idx="71">
                  <c:v>9.27</c:v>
                </c:pt>
                <c:pt idx="72">
                  <c:v>5.77</c:v>
                </c:pt>
                <c:pt idx="73">
                  <c:v>5.827</c:v>
                </c:pt>
                <c:pt idx="74">
                  <c:v>5.516</c:v>
                </c:pt>
                <c:pt idx="75">
                  <c:v>3.9329999999999998</c:v>
                </c:pt>
                <c:pt idx="76">
                  <c:v>3.5209999999999999</c:v>
                </c:pt>
                <c:pt idx="77">
                  <c:v>4.4420000000000002</c:v>
                </c:pt>
                <c:pt idx="78">
                  <c:v>5.0969999999999995</c:v>
                </c:pt>
                <c:pt idx="79">
                  <c:v>2.8209999999999997</c:v>
                </c:pt>
                <c:pt idx="80">
                  <c:v>3.1019999999999999</c:v>
                </c:pt>
                <c:pt idx="81">
                  <c:v>7.5139999999999993</c:v>
                </c:pt>
                <c:pt idx="82">
                  <c:v>18.753</c:v>
                </c:pt>
                <c:pt idx="83">
                  <c:v>14.058</c:v>
                </c:pt>
                <c:pt idx="84">
                  <c:v>6.5529999999999999</c:v>
                </c:pt>
                <c:pt idx="85">
                  <c:v>11.875</c:v>
                </c:pt>
                <c:pt idx="86">
                  <c:v>19.46</c:v>
                </c:pt>
                <c:pt idx="87">
                  <c:v>11.725999999999999</c:v>
                </c:pt>
                <c:pt idx="88">
                  <c:v>8.4529999999999994</c:v>
                </c:pt>
                <c:pt idx="89">
                  <c:v>12.605</c:v>
                </c:pt>
                <c:pt idx="90">
                  <c:v>16.503</c:v>
                </c:pt>
                <c:pt idx="91">
                  <c:v>8.0090000000000003</c:v>
                </c:pt>
                <c:pt idx="92">
                  <c:v>17.492000000000001</c:v>
                </c:pt>
                <c:pt idx="93">
                  <c:v>21.141000000000002</c:v>
                </c:pt>
                <c:pt idx="94">
                  <c:v>9.9290000000000003</c:v>
                </c:pt>
                <c:pt idx="95">
                  <c:v>8.3520000000000003</c:v>
                </c:pt>
                <c:pt idx="96">
                  <c:v>4.7370000000000001</c:v>
                </c:pt>
                <c:pt idx="97">
                  <c:v>4.2840000000000007</c:v>
                </c:pt>
                <c:pt idx="98">
                  <c:v>3.9359999999999999</c:v>
                </c:pt>
                <c:pt idx="99">
                  <c:v>5.92</c:v>
                </c:pt>
                <c:pt idx="100">
                  <c:v>3.673</c:v>
                </c:pt>
                <c:pt idx="101">
                  <c:v>5.5869999999999997</c:v>
                </c:pt>
                <c:pt idx="102">
                  <c:v>3.7050000000000001</c:v>
                </c:pt>
                <c:pt idx="103">
                  <c:v>2.3360000000000003</c:v>
                </c:pt>
                <c:pt idx="104">
                  <c:v>3.6339999999999999</c:v>
                </c:pt>
                <c:pt idx="105">
                  <c:v>9.3680000000000003</c:v>
                </c:pt>
                <c:pt idx="106">
                  <c:v>11.446</c:v>
                </c:pt>
                <c:pt idx="107">
                  <c:v>10.148</c:v>
                </c:pt>
                <c:pt idx="108">
                  <c:v>4.3600000000000003</c:v>
                </c:pt>
                <c:pt idx="109">
                  <c:v>13.729000000000001</c:v>
                </c:pt>
                <c:pt idx="110">
                  <c:v>12.83</c:v>
                </c:pt>
                <c:pt idx="111">
                  <c:v>17.301000000000002</c:v>
                </c:pt>
                <c:pt idx="112">
                  <c:v>8.2769999999999992</c:v>
                </c:pt>
                <c:pt idx="113">
                  <c:v>12.975999999999999</c:v>
                </c:pt>
                <c:pt idx="114">
                  <c:v>11.073</c:v>
                </c:pt>
                <c:pt idx="115">
                  <c:v>6.9450000000000003</c:v>
                </c:pt>
                <c:pt idx="116">
                  <c:v>17.516000000000002</c:v>
                </c:pt>
                <c:pt idx="117">
                  <c:v>12.48</c:v>
                </c:pt>
                <c:pt idx="118">
                  <c:v>8.4380000000000006</c:v>
                </c:pt>
                <c:pt idx="119">
                  <c:v>7.6029999999999998</c:v>
                </c:pt>
                <c:pt idx="120">
                  <c:v>7.0519999999999996</c:v>
                </c:pt>
                <c:pt idx="121">
                  <c:v>4.24</c:v>
                </c:pt>
                <c:pt idx="122">
                  <c:v>4.6579999999999995</c:v>
                </c:pt>
                <c:pt idx="123">
                  <c:v>3.468</c:v>
                </c:pt>
                <c:pt idx="124">
                  <c:v>6.0969999999999995</c:v>
                </c:pt>
                <c:pt idx="125">
                  <c:v>5.2840000000000007</c:v>
                </c:pt>
                <c:pt idx="126">
                  <c:v>5.0169999999999995</c:v>
                </c:pt>
                <c:pt idx="127">
                  <c:v>3.0949999999999998</c:v>
                </c:pt>
                <c:pt idx="128">
                  <c:v>2.62</c:v>
                </c:pt>
                <c:pt idx="129">
                  <c:v>7.3319999999999999</c:v>
                </c:pt>
                <c:pt idx="130">
                  <c:v>12.55</c:v>
                </c:pt>
                <c:pt idx="131">
                  <c:v>9.3879999999999999</c:v>
                </c:pt>
                <c:pt idx="132">
                  <c:v>4.766</c:v>
                </c:pt>
                <c:pt idx="133">
                  <c:v>12.054</c:v>
                </c:pt>
                <c:pt idx="134">
                  <c:v>14.384</c:v>
                </c:pt>
                <c:pt idx="135">
                  <c:v>15.272</c:v>
                </c:pt>
                <c:pt idx="136">
                  <c:v>11.612</c:v>
                </c:pt>
                <c:pt idx="137">
                  <c:v>14.047000000000001</c:v>
                </c:pt>
                <c:pt idx="138">
                  <c:v>9.2360000000000007</c:v>
                </c:pt>
                <c:pt idx="139">
                  <c:v>7.4180000000000001</c:v>
                </c:pt>
                <c:pt idx="140">
                  <c:v>16.143000000000001</c:v>
                </c:pt>
                <c:pt idx="141">
                  <c:v>14.757000000000001</c:v>
                </c:pt>
                <c:pt idx="142">
                  <c:v>9.7159999999999993</c:v>
                </c:pt>
                <c:pt idx="143">
                  <c:v>6.5419999999999998</c:v>
                </c:pt>
                <c:pt idx="144">
                  <c:v>4.4239999999999995</c:v>
                </c:pt>
                <c:pt idx="145">
                  <c:v>3.6639999999999997</c:v>
                </c:pt>
                <c:pt idx="146">
                  <c:v>5.1260000000000003</c:v>
                </c:pt>
                <c:pt idx="147">
                  <c:v>3.2009999999999996</c:v>
                </c:pt>
                <c:pt idx="148">
                  <c:v>3.794</c:v>
                </c:pt>
                <c:pt idx="149">
                  <c:v>3.927</c:v>
                </c:pt>
                <c:pt idx="150">
                  <c:v>2.548</c:v>
                </c:pt>
                <c:pt idx="151">
                  <c:v>2.3529999999999998</c:v>
                </c:pt>
                <c:pt idx="152">
                  <c:v>2.8079999999999998</c:v>
                </c:pt>
                <c:pt idx="153">
                  <c:v>7.2389999999999999</c:v>
                </c:pt>
                <c:pt idx="154">
                  <c:v>14.062999999999999</c:v>
                </c:pt>
                <c:pt idx="155">
                  <c:v>8.6490000000000009</c:v>
                </c:pt>
                <c:pt idx="156">
                  <c:v>2.4050000000000002</c:v>
                </c:pt>
                <c:pt idx="157">
                  <c:v>7.032</c:v>
                </c:pt>
                <c:pt idx="158">
                  <c:v>12.308</c:v>
                </c:pt>
                <c:pt idx="159">
                  <c:v>8.3640000000000008</c:v>
                </c:pt>
                <c:pt idx="160">
                  <c:v>13.899000000000001</c:v>
                </c:pt>
                <c:pt idx="161">
                  <c:v>9.8359999999999985</c:v>
                </c:pt>
                <c:pt idx="162">
                  <c:v>7.2430000000000003</c:v>
                </c:pt>
                <c:pt idx="163">
                  <c:v>6.1539999999999999</c:v>
                </c:pt>
                <c:pt idx="164">
                  <c:v>15.859</c:v>
                </c:pt>
                <c:pt idx="165">
                  <c:v>4.867</c:v>
                </c:pt>
                <c:pt idx="166">
                  <c:v>6.758</c:v>
                </c:pt>
                <c:pt idx="167">
                  <c:v>5.0419999999999998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11-482B-9EE0-64B0AED75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157776"/>
        <c:axId val="251155856"/>
        <c:extLst>
          <c:ext xmlns:c15="http://schemas.microsoft.com/office/drawing/2012/chart" uri="{02D57815-91ED-43cb-92C2-25804820EDAC}">
            <c15:filteredLineSeries>
              <c15:ser>
                <c:idx val="6"/>
                <c:order val="9"/>
                <c:tx>
                  <c:strRef>
                    <c:extLst>
                      <c:ext uri="{02D57815-91ED-43cb-92C2-25804820EDAC}">
                        <c15:formulaRef>
                          <c15:sqref>Graphs!$F$5</c15:sqref>
                        </c15:formulaRef>
                      </c:ext>
                    </c:extLst>
                    <c:strCache>
                      <c:ptCount val="1"/>
                      <c:pt idx="0">
                        <c:v>Total Load</c:v>
                      </c:pt>
                    </c:strCache>
                  </c:strRef>
                </c:tx>
                <c:spPr>
                  <a:ln w="19050" cap="rnd">
                    <a:solidFill>
                      <a:schemeClr val="bg1">
                        <a:lumMod val="5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Graphs!$F$6:$F$173</c15:sqref>
                        </c15:formulaRef>
                      </c:ext>
                    </c:extLst>
                    <c:numCache>
                      <c:formatCode>General</c:formatCode>
                      <c:ptCount val="168"/>
                      <c:pt idx="0">
                        <c:v>5.34</c:v>
                      </c:pt>
                      <c:pt idx="1">
                        <c:v>3.6970000000000001</c:v>
                      </c:pt>
                      <c:pt idx="2">
                        <c:v>6.2359742871401753</c:v>
                      </c:pt>
                      <c:pt idx="3">
                        <c:v>23.040616000401847</c:v>
                      </c:pt>
                      <c:pt idx="4">
                        <c:v>23.04425400040185</c:v>
                      </c:pt>
                      <c:pt idx="5">
                        <c:v>23.018360000401852</c:v>
                      </c:pt>
                      <c:pt idx="6">
                        <c:v>4.7880000000000003</c:v>
                      </c:pt>
                      <c:pt idx="7">
                        <c:v>4.0609999999999999</c:v>
                      </c:pt>
                      <c:pt idx="8">
                        <c:v>4.0469999999999997</c:v>
                      </c:pt>
                      <c:pt idx="9">
                        <c:v>12.323</c:v>
                      </c:pt>
                      <c:pt idx="10">
                        <c:v>13.064</c:v>
                      </c:pt>
                      <c:pt idx="11">
                        <c:v>16.937000000000001</c:v>
                      </c:pt>
                      <c:pt idx="12">
                        <c:v>12.38</c:v>
                      </c:pt>
                      <c:pt idx="13">
                        <c:v>17.25</c:v>
                      </c:pt>
                      <c:pt idx="14">
                        <c:v>18.651</c:v>
                      </c:pt>
                      <c:pt idx="15">
                        <c:v>9.6134026401764014</c:v>
                      </c:pt>
                      <c:pt idx="16">
                        <c:v>14.551</c:v>
                      </c:pt>
                      <c:pt idx="17">
                        <c:v>12.456196603200972</c:v>
                      </c:pt>
                      <c:pt idx="18">
                        <c:v>11.02</c:v>
                      </c:pt>
                      <c:pt idx="19">
                        <c:v>5.42</c:v>
                      </c:pt>
                      <c:pt idx="20">
                        <c:v>21.28</c:v>
                      </c:pt>
                      <c:pt idx="21">
                        <c:v>23.28</c:v>
                      </c:pt>
                      <c:pt idx="22">
                        <c:v>6.32</c:v>
                      </c:pt>
                      <c:pt idx="23">
                        <c:v>5.4600000000000009</c:v>
                      </c:pt>
                      <c:pt idx="24">
                        <c:v>6.6876799999999967</c:v>
                      </c:pt>
                      <c:pt idx="25">
                        <c:v>3.8916799999999969</c:v>
                      </c:pt>
                      <c:pt idx="26">
                        <c:v>15.618150923743944</c:v>
                      </c:pt>
                      <c:pt idx="27">
                        <c:v>22.912323000401852</c:v>
                      </c:pt>
                      <c:pt idx="28">
                        <c:v>22.66076600040185</c:v>
                      </c:pt>
                      <c:pt idx="29">
                        <c:v>22.712340000401852</c:v>
                      </c:pt>
                      <c:pt idx="30">
                        <c:v>27.000000000450001</c:v>
                      </c:pt>
                      <c:pt idx="31">
                        <c:v>5.9958443445182628</c:v>
                      </c:pt>
                      <c:pt idx="32">
                        <c:v>7.22</c:v>
                      </c:pt>
                      <c:pt idx="33">
                        <c:v>16.11</c:v>
                      </c:pt>
                      <c:pt idx="34">
                        <c:v>30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24.052723</c:v>
                      </c:pt>
                      <c:pt idx="38">
                        <c:v>22.160293000000003</c:v>
                      </c:pt>
                      <c:pt idx="39">
                        <c:v>21.68242</c:v>
                      </c:pt>
                      <c:pt idx="40">
                        <c:v>13.007043999999999</c:v>
                      </c:pt>
                      <c:pt idx="41">
                        <c:v>15.163</c:v>
                      </c:pt>
                      <c:pt idx="42">
                        <c:v>8.5949999999999989</c:v>
                      </c:pt>
                      <c:pt idx="43">
                        <c:v>6.4190000000000005</c:v>
                      </c:pt>
                      <c:pt idx="44">
                        <c:v>18.837</c:v>
                      </c:pt>
                      <c:pt idx="45">
                        <c:v>12.815000000000001</c:v>
                      </c:pt>
                      <c:pt idx="46">
                        <c:v>6.157</c:v>
                      </c:pt>
                      <c:pt idx="47">
                        <c:v>7.8016799999999966</c:v>
                      </c:pt>
                      <c:pt idx="48">
                        <c:v>7.4266799999999975</c:v>
                      </c:pt>
                      <c:pt idx="49">
                        <c:v>3.9714698203121639</c:v>
                      </c:pt>
                      <c:pt idx="50">
                        <c:v>22.770013000571517</c:v>
                      </c:pt>
                      <c:pt idx="51">
                        <c:v>22.970531000571519</c:v>
                      </c:pt>
                      <c:pt idx="52">
                        <c:v>22.89541700057152</c:v>
                      </c:pt>
                      <c:pt idx="53">
                        <c:v>22.984334000571522</c:v>
                      </c:pt>
                      <c:pt idx="54">
                        <c:v>4.6669999999999998</c:v>
                      </c:pt>
                      <c:pt idx="55">
                        <c:v>3.0510000000000002</c:v>
                      </c:pt>
                      <c:pt idx="56">
                        <c:v>7.59</c:v>
                      </c:pt>
                      <c:pt idx="57">
                        <c:v>11.42</c:v>
                      </c:pt>
                      <c:pt idx="58">
                        <c:v>13.649000000000001</c:v>
                      </c:pt>
                      <c:pt idx="59">
                        <c:v>18.292999999999999</c:v>
                      </c:pt>
                      <c:pt idx="60">
                        <c:v>10.297056000000001</c:v>
                      </c:pt>
                      <c:pt idx="61">
                        <c:v>12.077999999999999</c:v>
                      </c:pt>
                      <c:pt idx="62">
                        <c:v>17.155999999999999</c:v>
                      </c:pt>
                      <c:pt idx="63">
                        <c:v>15.552</c:v>
                      </c:pt>
                      <c:pt idx="64">
                        <c:v>14.882999999999999</c:v>
                      </c:pt>
                      <c:pt idx="65">
                        <c:v>21.795999999999999</c:v>
                      </c:pt>
                      <c:pt idx="66">
                        <c:v>16.169</c:v>
                      </c:pt>
                      <c:pt idx="67">
                        <c:v>6.0460000000000003</c:v>
                      </c:pt>
                      <c:pt idx="68">
                        <c:v>22.764000000000003</c:v>
                      </c:pt>
                      <c:pt idx="69">
                        <c:v>22.970999999999997</c:v>
                      </c:pt>
                      <c:pt idx="70">
                        <c:v>12.863679999999997</c:v>
                      </c:pt>
                      <c:pt idx="71">
                        <c:v>9.2716799999999964</c:v>
                      </c:pt>
                      <c:pt idx="72">
                        <c:v>5.7716799999999964</c:v>
                      </c:pt>
                      <c:pt idx="73">
                        <c:v>5.8286799999999968</c:v>
                      </c:pt>
                      <c:pt idx="74">
                        <c:v>19.171750635833511</c:v>
                      </c:pt>
                      <c:pt idx="75">
                        <c:v>22.745831000571521</c:v>
                      </c:pt>
                      <c:pt idx="76">
                        <c:v>22.701747000571523</c:v>
                      </c:pt>
                      <c:pt idx="77">
                        <c:v>22.800294000571519</c:v>
                      </c:pt>
                      <c:pt idx="78">
                        <c:v>27.00000000064</c:v>
                      </c:pt>
                      <c:pt idx="79">
                        <c:v>13.417759585251313</c:v>
                      </c:pt>
                      <c:pt idx="80">
                        <c:v>9.41</c:v>
                      </c:pt>
                      <c:pt idx="81">
                        <c:v>7.5139999999999993</c:v>
                      </c:pt>
                      <c:pt idx="82">
                        <c:v>22.241951</c:v>
                      </c:pt>
                      <c:pt idx="83">
                        <c:v>28.294205999999996</c:v>
                      </c:pt>
                      <c:pt idx="84">
                        <c:v>27.491170999999998</c:v>
                      </c:pt>
                      <c:pt idx="85">
                        <c:v>20.59</c:v>
                      </c:pt>
                      <c:pt idx="86">
                        <c:v>19.46</c:v>
                      </c:pt>
                      <c:pt idx="87">
                        <c:v>12.08</c:v>
                      </c:pt>
                      <c:pt idx="88">
                        <c:v>11.3</c:v>
                      </c:pt>
                      <c:pt idx="89">
                        <c:v>12.605</c:v>
                      </c:pt>
                      <c:pt idx="90">
                        <c:v>16.503</c:v>
                      </c:pt>
                      <c:pt idx="91">
                        <c:v>8.0090000000000003</c:v>
                      </c:pt>
                      <c:pt idx="92">
                        <c:v>17.492000000000001</c:v>
                      </c:pt>
                      <c:pt idx="93">
                        <c:v>21.141000000000002</c:v>
                      </c:pt>
                      <c:pt idx="94">
                        <c:v>9.9290000000000003</c:v>
                      </c:pt>
                      <c:pt idx="95">
                        <c:v>8.3536799999999971</c:v>
                      </c:pt>
                      <c:pt idx="96">
                        <c:v>4.7386799999999969</c:v>
                      </c:pt>
                      <c:pt idx="97">
                        <c:v>4.2856799999999975</c:v>
                      </c:pt>
                      <c:pt idx="98">
                        <c:v>20.52459173894368</c:v>
                      </c:pt>
                      <c:pt idx="99">
                        <c:v>22.958440000571521</c:v>
                      </c:pt>
                      <c:pt idx="100">
                        <c:v>22.718011000571522</c:v>
                      </c:pt>
                      <c:pt idx="101">
                        <c:v>22.922809000571519</c:v>
                      </c:pt>
                      <c:pt idx="102">
                        <c:v>3.7050000000000001</c:v>
                      </c:pt>
                      <c:pt idx="103">
                        <c:v>2.3360000000000003</c:v>
                      </c:pt>
                      <c:pt idx="104">
                        <c:v>9.5152979999999996</c:v>
                      </c:pt>
                      <c:pt idx="105">
                        <c:v>9.3680000000000003</c:v>
                      </c:pt>
                      <c:pt idx="106">
                        <c:v>11.446</c:v>
                      </c:pt>
                      <c:pt idx="107">
                        <c:v>10.148</c:v>
                      </c:pt>
                      <c:pt idx="108">
                        <c:v>5.8334499999999991</c:v>
                      </c:pt>
                      <c:pt idx="109">
                        <c:v>15.730212999999999</c:v>
                      </c:pt>
                      <c:pt idx="110">
                        <c:v>12.83</c:v>
                      </c:pt>
                      <c:pt idx="111">
                        <c:v>17.301000000000002</c:v>
                      </c:pt>
                      <c:pt idx="112">
                        <c:v>8.2769999999999992</c:v>
                      </c:pt>
                      <c:pt idx="113">
                        <c:v>12.975999999999999</c:v>
                      </c:pt>
                      <c:pt idx="114">
                        <c:v>11.073</c:v>
                      </c:pt>
                      <c:pt idx="115">
                        <c:v>6.9450000000000003</c:v>
                      </c:pt>
                      <c:pt idx="116">
                        <c:v>17.516000000000002</c:v>
                      </c:pt>
                      <c:pt idx="117">
                        <c:v>12.48</c:v>
                      </c:pt>
                      <c:pt idx="118">
                        <c:v>8.4396799999999974</c:v>
                      </c:pt>
                      <c:pt idx="119">
                        <c:v>7.6046799999999966</c:v>
                      </c:pt>
                      <c:pt idx="120">
                        <c:v>7.0536799999999964</c:v>
                      </c:pt>
                      <c:pt idx="121">
                        <c:v>4.241679999999997</c:v>
                      </c:pt>
                      <c:pt idx="122">
                        <c:v>20.95109826421718</c:v>
                      </c:pt>
                      <c:pt idx="123">
                        <c:v>22.696076000571519</c:v>
                      </c:pt>
                      <c:pt idx="124">
                        <c:v>22.977379000571517</c:v>
                      </c:pt>
                      <c:pt idx="125">
                        <c:v>22.890388000571519</c:v>
                      </c:pt>
                      <c:pt idx="126">
                        <c:v>5.0169999999999995</c:v>
                      </c:pt>
                      <c:pt idx="127">
                        <c:v>3.0949999999999998</c:v>
                      </c:pt>
                      <c:pt idx="128">
                        <c:v>2.62</c:v>
                      </c:pt>
                      <c:pt idx="129">
                        <c:v>7.3319999999999999</c:v>
                      </c:pt>
                      <c:pt idx="130">
                        <c:v>12.55</c:v>
                      </c:pt>
                      <c:pt idx="131">
                        <c:v>9.3879999999999999</c:v>
                      </c:pt>
                      <c:pt idx="132">
                        <c:v>6.2876719999999997</c:v>
                      </c:pt>
                      <c:pt idx="133">
                        <c:v>12.054</c:v>
                      </c:pt>
                      <c:pt idx="134">
                        <c:v>14.384</c:v>
                      </c:pt>
                      <c:pt idx="135">
                        <c:v>15.272</c:v>
                      </c:pt>
                      <c:pt idx="136">
                        <c:v>11.612</c:v>
                      </c:pt>
                      <c:pt idx="137">
                        <c:v>14.047000000000001</c:v>
                      </c:pt>
                      <c:pt idx="138">
                        <c:v>9.2360000000000007</c:v>
                      </c:pt>
                      <c:pt idx="139">
                        <c:v>7.4180000000000001</c:v>
                      </c:pt>
                      <c:pt idx="140">
                        <c:v>16.143000000000001</c:v>
                      </c:pt>
                      <c:pt idx="141">
                        <c:v>14.757000000000001</c:v>
                      </c:pt>
                      <c:pt idx="142">
                        <c:v>9.7176799999999961</c:v>
                      </c:pt>
                      <c:pt idx="143">
                        <c:v>6.5436799999999966</c:v>
                      </c:pt>
                      <c:pt idx="144">
                        <c:v>4.4256799999999963</c:v>
                      </c:pt>
                      <c:pt idx="145">
                        <c:v>3.6656799999999965</c:v>
                      </c:pt>
                      <c:pt idx="146">
                        <c:v>17.911907822022187</c:v>
                      </c:pt>
                      <c:pt idx="147">
                        <c:v>22.667507000571522</c:v>
                      </c:pt>
                      <c:pt idx="148">
                        <c:v>22.730958000571519</c:v>
                      </c:pt>
                      <c:pt idx="149">
                        <c:v>22.745189000571521</c:v>
                      </c:pt>
                      <c:pt idx="150">
                        <c:v>2.548</c:v>
                      </c:pt>
                      <c:pt idx="151">
                        <c:v>2.3529999999999998</c:v>
                      </c:pt>
                      <c:pt idx="152">
                        <c:v>2.8079999999999998</c:v>
                      </c:pt>
                      <c:pt idx="153">
                        <c:v>9.2799999999999994</c:v>
                      </c:pt>
                      <c:pt idx="154">
                        <c:v>14.062999999999999</c:v>
                      </c:pt>
                      <c:pt idx="155">
                        <c:v>8.6490000000000009</c:v>
                      </c:pt>
                      <c:pt idx="156">
                        <c:v>9.48</c:v>
                      </c:pt>
                      <c:pt idx="157">
                        <c:v>7.032</c:v>
                      </c:pt>
                      <c:pt idx="158">
                        <c:v>12.308</c:v>
                      </c:pt>
                      <c:pt idx="159">
                        <c:v>10.28</c:v>
                      </c:pt>
                      <c:pt idx="160">
                        <c:v>13.899000000000001</c:v>
                      </c:pt>
                      <c:pt idx="161">
                        <c:v>9.8359999999999985</c:v>
                      </c:pt>
                      <c:pt idx="162">
                        <c:v>7.2430000000000003</c:v>
                      </c:pt>
                      <c:pt idx="163">
                        <c:v>6.1539999999999999</c:v>
                      </c:pt>
                      <c:pt idx="164">
                        <c:v>15.859</c:v>
                      </c:pt>
                      <c:pt idx="165">
                        <c:v>4.867</c:v>
                      </c:pt>
                      <c:pt idx="166">
                        <c:v>6.7596799999999968</c:v>
                      </c:pt>
                      <c:pt idx="167">
                        <c:v>5.0436799999999966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7511-482B-9EE0-64B0AED75C08}"/>
                  </c:ext>
                </c:extLst>
              </c15:ser>
            </c15:filteredLineSeries>
          </c:ext>
        </c:extLst>
      </c:lineChart>
      <c:catAx>
        <c:axId val="2511577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55856"/>
        <c:crosses val="autoZero"/>
        <c:auto val="1"/>
        <c:lblAlgn val="ctr"/>
        <c:lblOffset val="100"/>
        <c:noMultiLvlLbl val="1"/>
      </c:catAx>
      <c:valAx>
        <c:axId val="2511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5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>
                <a:solidFill>
                  <a:schemeClr val="tx1">
                    <a:lumMod val="50000"/>
                    <a:lumOff val="50000"/>
                  </a:schemeClr>
                </a:solidFill>
              </a:rPr>
              <a:t>Loads</a:t>
            </a:r>
            <a:r>
              <a:rPr lang="fr-FR" sz="1600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and  Generations</a:t>
            </a:r>
            <a:br>
              <a:rPr lang="fr-FR" sz="1600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</a:br>
            <a:r>
              <a:rPr lang="fr-FR" sz="1400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week</a:t>
            </a:r>
            <a:endParaRPr lang="fr-FR" sz="1600" b="1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2"/>
          <c:tx>
            <c:strRef>
              <c:f>Graphs!$H$5</c:f>
              <c:strCache>
                <c:ptCount val="1"/>
                <c:pt idx="0">
                  <c:v>PV_output_load_A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Graphs!$H$6:$H$53</c:f>
              <c:numCache>
                <c:formatCode>0.00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1.84</c:v>
                </c:pt>
                <c:pt idx="8">
                  <c:v>1.82</c:v>
                </c:pt>
                <c:pt idx="9">
                  <c:v>4</c:v>
                </c:pt>
                <c:pt idx="10">
                  <c:v>5.43</c:v>
                </c:pt>
                <c:pt idx="11">
                  <c:v>8.14</c:v>
                </c:pt>
                <c:pt idx="12">
                  <c:v>7.82</c:v>
                </c:pt>
                <c:pt idx="13">
                  <c:v>12.04</c:v>
                </c:pt>
                <c:pt idx="14">
                  <c:v>11.46</c:v>
                </c:pt>
                <c:pt idx="15">
                  <c:v>4.08</c:v>
                </c:pt>
                <c:pt idx="16">
                  <c:v>7</c:v>
                </c:pt>
                <c:pt idx="17">
                  <c:v>3.97</c:v>
                </c:pt>
                <c:pt idx="18">
                  <c:v>2.06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1.48</c:v>
                </c:pt>
                <c:pt idx="32">
                  <c:v>2.62</c:v>
                </c:pt>
                <c:pt idx="33">
                  <c:v>2.68</c:v>
                </c:pt>
                <c:pt idx="34">
                  <c:v>4.0599999999999996</c:v>
                </c:pt>
                <c:pt idx="35">
                  <c:v>4.66</c:v>
                </c:pt>
                <c:pt idx="36">
                  <c:v>6.02</c:v>
                </c:pt>
                <c:pt idx="37">
                  <c:v>11.7</c:v>
                </c:pt>
                <c:pt idx="38">
                  <c:v>12.08</c:v>
                </c:pt>
                <c:pt idx="39">
                  <c:v>5.3</c:v>
                </c:pt>
                <c:pt idx="40">
                  <c:v>6.12</c:v>
                </c:pt>
                <c:pt idx="41">
                  <c:v>7.92</c:v>
                </c:pt>
                <c:pt idx="42">
                  <c:v>2.61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7-42D2-9C87-2007778A5997}"/>
            </c:ext>
          </c:extLst>
        </c:ser>
        <c:ser>
          <c:idx val="4"/>
          <c:order val="3"/>
          <c:tx>
            <c:strRef>
              <c:f>Graphs!$W$5</c:f>
              <c:strCache>
                <c:ptCount val="1"/>
                <c:pt idx="0">
                  <c:v>Bat_dis_MG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Graphs!$A$6:$A$173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Graphs!$W$6:$W$53</c:f>
              <c:numCache>
                <c:formatCode>0.00</c:formatCode>
                <c:ptCount val="48"/>
                <c:pt idx="0">
                  <c:v>5.34</c:v>
                </c:pt>
                <c:pt idx="1">
                  <c:v>3.6970000000000001</c:v>
                </c:pt>
                <c:pt idx="2">
                  <c:v>5.4369999999999994</c:v>
                </c:pt>
                <c:pt idx="3">
                  <c:v>6.6880000000000006</c:v>
                </c:pt>
                <c:pt idx="4">
                  <c:v>6.7219999999999995</c:v>
                </c:pt>
                <c:pt idx="5">
                  <c:v>6.48</c:v>
                </c:pt>
                <c:pt idx="6">
                  <c:v>4.7880000000000003</c:v>
                </c:pt>
                <c:pt idx="7">
                  <c:v>2.2210000000000001</c:v>
                </c:pt>
                <c:pt idx="8">
                  <c:v>2.2269999999999994</c:v>
                </c:pt>
                <c:pt idx="9">
                  <c:v>8.3230000000000004</c:v>
                </c:pt>
                <c:pt idx="10">
                  <c:v>7.6340000000000003</c:v>
                </c:pt>
                <c:pt idx="11">
                  <c:v>8.7970000000000006</c:v>
                </c:pt>
                <c:pt idx="12">
                  <c:v>1.4969999999999999</c:v>
                </c:pt>
                <c:pt idx="13">
                  <c:v>1.3979999999999997</c:v>
                </c:pt>
                <c:pt idx="14">
                  <c:v>7.1909999999999989</c:v>
                </c:pt>
                <c:pt idx="15">
                  <c:v>4.4060000000000006</c:v>
                </c:pt>
                <c:pt idx="16">
                  <c:v>7.5510000000000002</c:v>
                </c:pt>
                <c:pt idx="17">
                  <c:v>8.4749999999999996</c:v>
                </c:pt>
                <c:pt idx="18">
                  <c:v>13.461</c:v>
                </c:pt>
                <c:pt idx="19">
                  <c:v>9.0039999999999996</c:v>
                </c:pt>
                <c:pt idx="20">
                  <c:v>25.151</c:v>
                </c:pt>
                <c:pt idx="21">
                  <c:v>18.239117522156036</c:v>
                </c:pt>
                <c:pt idx="22">
                  <c:v>8.2759999999999998</c:v>
                </c:pt>
                <c:pt idx="23">
                  <c:v>7.6020000000000003</c:v>
                </c:pt>
                <c:pt idx="24">
                  <c:v>6.6859999999999999</c:v>
                </c:pt>
                <c:pt idx="25">
                  <c:v>3.89</c:v>
                </c:pt>
                <c:pt idx="26">
                  <c:v>1.649</c:v>
                </c:pt>
                <c:pt idx="27">
                  <c:v>5.4889999999999999</c:v>
                </c:pt>
                <c:pt idx="28">
                  <c:v>3.1379999999999999</c:v>
                </c:pt>
                <c:pt idx="29">
                  <c:v>3.62</c:v>
                </c:pt>
                <c:pt idx="30">
                  <c:v>3.0390000000000001</c:v>
                </c:pt>
                <c:pt idx="31">
                  <c:v>1.7769999999999997</c:v>
                </c:pt>
                <c:pt idx="32">
                  <c:v>0.4870000000000001</c:v>
                </c:pt>
                <c:pt idx="33">
                  <c:v>5.5760000000000005</c:v>
                </c:pt>
                <c:pt idx="34">
                  <c:v>4.3730000000000002</c:v>
                </c:pt>
                <c:pt idx="35">
                  <c:v>5.0380000000000003</c:v>
                </c:pt>
                <c:pt idx="36">
                  <c:v>1.1509999999999998</c:v>
                </c:pt>
                <c:pt idx="37">
                  <c:v>1.359</c:v>
                </c:pt>
                <c:pt idx="38">
                  <c:v>7.5789999999999988</c:v>
                </c:pt>
                <c:pt idx="39">
                  <c:v>5.72</c:v>
                </c:pt>
                <c:pt idx="40">
                  <c:v>6.6119999999999992</c:v>
                </c:pt>
                <c:pt idx="41">
                  <c:v>7.2430000000000003</c:v>
                </c:pt>
                <c:pt idx="42">
                  <c:v>5.9849999999999994</c:v>
                </c:pt>
                <c:pt idx="43">
                  <c:v>6.4190000000000005</c:v>
                </c:pt>
                <c:pt idx="44">
                  <c:v>18.837</c:v>
                </c:pt>
                <c:pt idx="45">
                  <c:v>12.815000000000001</c:v>
                </c:pt>
                <c:pt idx="46">
                  <c:v>6.157</c:v>
                </c:pt>
                <c:pt idx="47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47-42D2-9C87-2007778A5997}"/>
            </c:ext>
          </c:extLst>
        </c:ser>
        <c:ser>
          <c:idx val="2"/>
          <c:order val="5"/>
          <c:tx>
            <c:strRef>
              <c:f>Graphs!$N$5</c:f>
              <c:strCache>
                <c:ptCount val="1"/>
                <c:pt idx="0">
                  <c:v>Diesel_output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Graphs!$A$6:$A$173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Graphs!$N$6:$N$53</c:f>
              <c:numCache>
                <c:formatCode>0.00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7.7458824778439643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47-42D2-9C87-2007778A5997}"/>
            </c:ext>
          </c:extLst>
        </c:ser>
        <c:ser>
          <c:idx val="1"/>
          <c:order val="6"/>
          <c:tx>
            <c:strRef>
              <c:f>Graphs!$K$5</c:f>
              <c:strCache>
                <c:ptCount val="1"/>
                <c:pt idx="0">
                  <c:v>PV_Excess_MG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Graphs!$A$6:$A$173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Graphs!$K$6:$K$53</c:f>
              <c:numCache>
                <c:formatCode>0.00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3.0000000000000027E-2</c:v>
                </c:pt>
                <c:pt idx="8">
                  <c:v>1.84</c:v>
                </c:pt>
                <c:pt idx="9">
                  <c:v>0</c:v>
                </c:pt>
                <c:pt idx="10">
                  <c:v>0</c:v>
                </c:pt>
                <c:pt idx="11">
                  <c:v>5.67</c:v>
                </c:pt>
                <c:pt idx="12">
                  <c:v>4.5600000000000005</c:v>
                </c:pt>
                <c:pt idx="13">
                  <c:v>5.2100000000000009</c:v>
                </c:pt>
                <c:pt idx="14">
                  <c:v>4.2399999999999984</c:v>
                </c:pt>
                <c:pt idx="15">
                  <c:v>5.5399999999999991</c:v>
                </c:pt>
                <c:pt idx="16">
                  <c:v>2.92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3.48</c:v>
                </c:pt>
                <c:pt idx="32">
                  <c:v>4.5999999999999996</c:v>
                </c:pt>
                <c:pt idx="33">
                  <c:v>13.43</c:v>
                </c:pt>
                <c:pt idx="34">
                  <c:v>25.94</c:v>
                </c:pt>
                <c:pt idx="35">
                  <c:v>25.34</c:v>
                </c:pt>
                <c:pt idx="36">
                  <c:v>23.98</c:v>
                </c:pt>
                <c:pt idx="37">
                  <c:v>13.670000000000002</c:v>
                </c:pt>
                <c:pt idx="38">
                  <c:v>10.38</c:v>
                </c:pt>
                <c:pt idx="39">
                  <c:v>17.66</c:v>
                </c:pt>
                <c:pt idx="40">
                  <c:v>6.919999999999999</c:v>
                </c:pt>
                <c:pt idx="41">
                  <c:v>0.57000000000000028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47-42D2-9C87-2007778A5997}"/>
            </c:ext>
          </c:extLst>
        </c:ser>
        <c:ser>
          <c:idx val="10"/>
          <c:order val="10"/>
          <c:tx>
            <c:strRef>
              <c:f>Graphs!$L$5</c:f>
              <c:strCache>
                <c:ptCount val="1"/>
                <c:pt idx="0">
                  <c:v>Shortage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Graphs!$L$6:$L$53</c:f>
              <c:numCache>
                <c:formatCode>0.00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4.5010000000000003</c:v>
                </c:pt>
                <c:pt idx="19">
                  <c:v>3.5840000000000001</c:v>
                </c:pt>
                <c:pt idx="20">
                  <c:v>3.871</c:v>
                </c:pt>
                <c:pt idx="21">
                  <c:v>2.7050000000000001</c:v>
                </c:pt>
                <c:pt idx="22">
                  <c:v>1.956</c:v>
                </c:pt>
                <c:pt idx="23">
                  <c:v>2.1419999999999999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47-42D2-9C87-2007778A5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157776"/>
        <c:axId val="251155856"/>
        <c:extLst>
          <c:ext xmlns:c15="http://schemas.microsoft.com/office/drawing/2012/chart" uri="{02D57815-91ED-43cb-92C2-25804820EDAC}">
            <c15:filteredBar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Graphs!$R$5</c15:sqref>
                        </c15:formulaRef>
                      </c:ext>
                    </c:extLst>
                    <c:strCache>
                      <c:ptCount val="1"/>
                      <c:pt idx="0">
                        <c:v>Grid_imp</c:v>
                      </c:pt>
                    </c:strCache>
                  </c:strRef>
                </c:tx>
                <c:spPr>
                  <a:solidFill>
                    <a:schemeClr val="accent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Graphs!$A$6:$A$173</c15:sqref>
                        </c15:formulaRef>
                      </c:ext>
                    </c:extLst>
                    <c:numCache>
                      <c:formatCode>General</c:formatCode>
                      <c:ptCount val="16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Graphs!$R$6:$R$53</c15:sqref>
                        </c15:formulaRef>
                      </c:ext>
                    </c:extLst>
                    <c:numCache>
                      <c:formatCode>0.00</c:formatCode>
                      <c:ptCount val="48"/>
                      <c:pt idx="0">
                        <c:v>5.3399999995499998</c:v>
                      </c:pt>
                      <c:pt idx="1">
                        <c:v>3.69699999955</c:v>
                      </c:pt>
                      <c:pt idx="2">
                        <c:v>6.3317080478592676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4.7879999995500002</c:v>
                      </c:pt>
                      <c:pt idx="7">
                        <c:v>2.1909999999999998</c:v>
                      </c:pt>
                      <c:pt idx="8">
                        <c:v>0.38699999999999957</c:v>
                      </c:pt>
                      <c:pt idx="9">
                        <c:v>8.3230000000000004</c:v>
                      </c:pt>
                      <c:pt idx="10">
                        <c:v>7.6340000000000003</c:v>
                      </c:pt>
                      <c:pt idx="11">
                        <c:v>3.1270000000000007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2.9510000000000005</c:v>
                      </c:pt>
                      <c:pt idx="15">
                        <c:v>0</c:v>
                      </c:pt>
                      <c:pt idx="16">
                        <c:v>4.6310000000000002</c:v>
                      </c:pt>
                      <c:pt idx="17">
                        <c:v>8.4875381894747726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6.6878812985421572</c:v>
                      </c:pt>
                      <c:pt idx="25">
                        <c:v>3.8918812985421578</c:v>
                      </c:pt>
                      <c:pt idx="26">
                        <c:v>17.291946162757107</c:v>
                      </c:pt>
                      <c:pt idx="27">
                        <c:v>25</c:v>
                      </c:pt>
                      <c:pt idx="28">
                        <c:v>25</c:v>
                      </c:pt>
                      <c:pt idx="29">
                        <c:v>25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7.801881298352157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347-42D2-9C87-2007778A5997}"/>
                  </c:ext>
                </c:extLst>
              </c15:ser>
            </c15:filteredBarSeries>
            <c15:filteredBa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Graphs!$T$5</c15:sqref>
                        </c15:formulaRef>
                      </c:ext>
                    </c:extLst>
                    <c:strCache>
                      <c:ptCount val="1"/>
                      <c:pt idx="0">
                        <c:v>Bat_charge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Graphs!$A$6:$A$173</c15:sqref>
                        </c15:formulaRef>
                      </c:ext>
                    </c:extLst>
                    <c:numCache>
                      <c:formatCode>General</c:formatCode>
                      <c:ptCount val="16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Graphs!$T$6:$T$53</c15:sqref>
                        </c15:formulaRef>
                      </c:ext>
                    </c:extLst>
                    <c:numCache>
                      <c:formatCode>0.00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-0.75902557278316707</c:v>
                      </c:pt>
                      <c:pt idx="3">
                        <c:v>-15.534985200381755</c:v>
                      </c:pt>
                      <c:pt idx="4">
                        <c:v>-15.506141300381755</c:v>
                      </c:pt>
                      <c:pt idx="5">
                        <c:v>-15.711442000381759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-5.2307198190180058E-2</c:v>
                      </c:pt>
                      <c:pt idx="16">
                        <c:v>0</c:v>
                      </c:pt>
                      <c:pt idx="17">
                        <c:v>-1.063677304092323E-2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-1.5959999999969553E-3</c:v>
                      </c:pt>
                      <c:pt idx="25">
                        <c:v>-1.5959999999969553E-3</c:v>
                      </c:pt>
                      <c:pt idx="26">
                        <c:v>-13.270693377556745</c:v>
                      </c:pt>
                      <c:pt idx="27">
                        <c:v>-16.552156850381756</c:v>
                      </c:pt>
                      <c:pt idx="28">
                        <c:v>-18.546627700381759</c:v>
                      </c:pt>
                      <c:pt idx="29">
                        <c:v>-18.137723000381758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-10.44403685</c:v>
                      </c:pt>
                      <c:pt idx="38">
                        <c:v>-2.3762283500000039</c:v>
                      </c:pt>
                      <c:pt idx="39">
                        <c:v>-10.129299</c:v>
                      </c:pt>
                      <c:pt idx="40">
                        <c:v>-0.26129179999999941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-1.5959999999969553E-3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347-42D2-9C87-2007778A599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Graphs!$M$5</c15:sqref>
                        </c15:formulaRef>
                      </c:ext>
                    </c:extLst>
                    <c:strCache>
                      <c:ptCount val="1"/>
                      <c:pt idx="0">
                        <c:v>Grid_Export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Graphs!$M$6:$M$53</c15:sqref>
                        </c15:formulaRef>
                      </c:ext>
                    </c:extLst>
                    <c:numCache>
                      <c:formatCode>0.00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-3.0630000000000006</c:v>
                      </c:pt>
                      <c:pt idx="13">
                        <c:v>-3.8120000000000012</c:v>
                      </c:pt>
                      <c:pt idx="14">
                        <c:v>0</c:v>
                      </c:pt>
                      <c:pt idx="15">
                        <c:v>-1.0723424315551586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-23.961000000449999</c:v>
                      </c:pt>
                      <c:pt idx="31">
                        <c:v>-2.7388443445182631</c:v>
                      </c:pt>
                      <c:pt idx="32">
                        <c:v>-4.1129999999999995</c:v>
                      </c:pt>
                      <c:pt idx="33">
                        <c:v>-7.8539999999999992</c:v>
                      </c:pt>
                      <c:pt idx="34">
                        <c:v>-21.567</c:v>
                      </c:pt>
                      <c:pt idx="35">
                        <c:v>-20.302</c:v>
                      </c:pt>
                      <c:pt idx="36">
                        <c:v>-22.829000000000001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347-42D2-9C87-2007778A599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9"/>
          <c:order val="0"/>
          <c:tx>
            <c:strRef>
              <c:f>Graphs!$C$5</c:f>
              <c:strCache>
                <c:ptCount val="1"/>
                <c:pt idx="0">
                  <c:v>Load A</c:v>
                </c:pt>
              </c:strCache>
            </c:strRef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Graphs!$C$6:$C$53</c:f>
              <c:numCache>
                <c:formatCode>General</c:formatCode>
                <c:ptCount val="48"/>
                <c:pt idx="0">
                  <c:v>3.5</c:v>
                </c:pt>
                <c:pt idx="1">
                  <c:v>1.92</c:v>
                </c:pt>
                <c:pt idx="2">
                  <c:v>2.82</c:v>
                </c:pt>
                <c:pt idx="3">
                  <c:v>3.46</c:v>
                </c:pt>
                <c:pt idx="4">
                  <c:v>3.48</c:v>
                </c:pt>
                <c:pt idx="5">
                  <c:v>3.36</c:v>
                </c:pt>
                <c:pt idx="6">
                  <c:v>2.48</c:v>
                </c:pt>
                <c:pt idx="7">
                  <c:v>1.84</c:v>
                </c:pt>
                <c:pt idx="8">
                  <c:v>1.82</c:v>
                </c:pt>
                <c:pt idx="9">
                  <c:v>4</c:v>
                </c:pt>
                <c:pt idx="10">
                  <c:v>6.28</c:v>
                </c:pt>
                <c:pt idx="11">
                  <c:v>8.14</c:v>
                </c:pt>
                <c:pt idx="12">
                  <c:v>7.82</c:v>
                </c:pt>
                <c:pt idx="13">
                  <c:v>12.04</c:v>
                </c:pt>
                <c:pt idx="14">
                  <c:v>11.46</c:v>
                </c:pt>
                <c:pt idx="15">
                  <c:v>4.08</c:v>
                </c:pt>
                <c:pt idx="16">
                  <c:v>7</c:v>
                </c:pt>
                <c:pt idx="17">
                  <c:v>6.5</c:v>
                </c:pt>
                <c:pt idx="18">
                  <c:v>11.02</c:v>
                </c:pt>
                <c:pt idx="19">
                  <c:v>5.42</c:v>
                </c:pt>
                <c:pt idx="20">
                  <c:v>21.28</c:v>
                </c:pt>
                <c:pt idx="21">
                  <c:v>23.28</c:v>
                </c:pt>
                <c:pt idx="22">
                  <c:v>6.32</c:v>
                </c:pt>
                <c:pt idx="23">
                  <c:v>5.46</c:v>
                </c:pt>
                <c:pt idx="24">
                  <c:v>4.38</c:v>
                </c:pt>
                <c:pt idx="25">
                  <c:v>2.02</c:v>
                </c:pt>
                <c:pt idx="26">
                  <c:v>0.86</c:v>
                </c:pt>
                <c:pt idx="27">
                  <c:v>2.84</c:v>
                </c:pt>
                <c:pt idx="28">
                  <c:v>1.62</c:v>
                </c:pt>
                <c:pt idx="29">
                  <c:v>1.88</c:v>
                </c:pt>
                <c:pt idx="30">
                  <c:v>1.58</c:v>
                </c:pt>
                <c:pt idx="31">
                  <c:v>1.48</c:v>
                </c:pt>
                <c:pt idx="32">
                  <c:v>2.62</c:v>
                </c:pt>
                <c:pt idx="33">
                  <c:v>2.68</c:v>
                </c:pt>
                <c:pt idx="34">
                  <c:v>4.0599999999999996</c:v>
                </c:pt>
                <c:pt idx="35">
                  <c:v>4.66</c:v>
                </c:pt>
                <c:pt idx="36">
                  <c:v>6.02</c:v>
                </c:pt>
                <c:pt idx="37">
                  <c:v>11.7</c:v>
                </c:pt>
                <c:pt idx="38">
                  <c:v>12.08</c:v>
                </c:pt>
                <c:pt idx="39">
                  <c:v>5.3</c:v>
                </c:pt>
                <c:pt idx="40">
                  <c:v>6.12</c:v>
                </c:pt>
                <c:pt idx="41">
                  <c:v>7.92</c:v>
                </c:pt>
                <c:pt idx="42">
                  <c:v>6.1</c:v>
                </c:pt>
                <c:pt idx="43">
                  <c:v>3.86</c:v>
                </c:pt>
                <c:pt idx="44">
                  <c:v>15.94</c:v>
                </c:pt>
                <c:pt idx="45">
                  <c:v>11.48</c:v>
                </c:pt>
                <c:pt idx="46">
                  <c:v>4.7</c:v>
                </c:pt>
                <c:pt idx="47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47-42D2-9C87-2007778A5997}"/>
            </c:ext>
          </c:extLst>
        </c:ser>
        <c:ser>
          <c:idx val="0"/>
          <c:order val="1"/>
          <c:tx>
            <c:strRef>
              <c:f>Graphs!$B$5</c:f>
              <c:strCache>
                <c:ptCount val="1"/>
                <c:pt idx="0">
                  <c:v>Load A+B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Graphs!$A$6:$A$173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Graphs!$B$6:$B$53</c:f>
              <c:numCache>
                <c:formatCode>General</c:formatCode>
                <c:ptCount val="48"/>
                <c:pt idx="0">
                  <c:v>5.34</c:v>
                </c:pt>
                <c:pt idx="1">
                  <c:v>3.6970000000000001</c:v>
                </c:pt>
                <c:pt idx="2">
                  <c:v>5.4369999999999994</c:v>
                </c:pt>
                <c:pt idx="3">
                  <c:v>6.6880000000000006</c:v>
                </c:pt>
                <c:pt idx="4">
                  <c:v>6.7219999999999995</c:v>
                </c:pt>
                <c:pt idx="5">
                  <c:v>6.48</c:v>
                </c:pt>
                <c:pt idx="6">
                  <c:v>4.7880000000000003</c:v>
                </c:pt>
                <c:pt idx="7">
                  <c:v>4.0609999999999999</c:v>
                </c:pt>
                <c:pt idx="8">
                  <c:v>4.0469999999999997</c:v>
                </c:pt>
                <c:pt idx="9">
                  <c:v>12.323</c:v>
                </c:pt>
                <c:pt idx="10">
                  <c:v>13.064</c:v>
                </c:pt>
                <c:pt idx="11">
                  <c:v>16.937000000000001</c:v>
                </c:pt>
                <c:pt idx="12">
                  <c:v>9.3170000000000002</c:v>
                </c:pt>
                <c:pt idx="13">
                  <c:v>13.437999999999999</c:v>
                </c:pt>
                <c:pt idx="14">
                  <c:v>18.651</c:v>
                </c:pt>
                <c:pt idx="15">
                  <c:v>8.4860000000000007</c:v>
                </c:pt>
                <c:pt idx="16">
                  <c:v>14.551</c:v>
                </c:pt>
                <c:pt idx="17">
                  <c:v>12.445</c:v>
                </c:pt>
                <c:pt idx="18">
                  <c:v>15.521000000000001</c:v>
                </c:pt>
                <c:pt idx="19">
                  <c:v>9.0039999999999996</c:v>
                </c:pt>
                <c:pt idx="20">
                  <c:v>25.151</c:v>
                </c:pt>
                <c:pt idx="21">
                  <c:v>25.984999999999999</c:v>
                </c:pt>
                <c:pt idx="22">
                  <c:v>8.2759999999999998</c:v>
                </c:pt>
                <c:pt idx="23">
                  <c:v>7.6020000000000003</c:v>
                </c:pt>
                <c:pt idx="24">
                  <c:v>6.6859999999999999</c:v>
                </c:pt>
                <c:pt idx="25">
                  <c:v>3.89</c:v>
                </c:pt>
                <c:pt idx="26">
                  <c:v>1.649</c:v>
                </c:pt>
                <c:pt idx="27">
                  <c:v>5.4889999999999999</c:v>
                </c:pt>
                <c:pt idx="28">
                  <c:v>3.1379999999999999</c:v>
                </c:pt>
                <c:pt idx="29">
                  <c:v>3.62</c:v>
                </c:pt>
                <c:pt idx="30">
                  <c:v>3.0390000000000001</c:v>
                </c:pt>
                <c:pt idx="31">
                  <c:v>3.2569999999999997</c:v>
                </c:pt>
                <c:pt idx="32">
                  <c:v>3.1070000000000002</c:v>
                </c:pt>
                <c:pt idx="33">
                  <c:v>8.2560000000000002</c:v>
                </c:pt>
                <c:pt idx="34">
                  <c:v>8.4329999999999998</c:v>
                </c:pt>
                <c:pt idx="35">
                  <c:v>9.6980000000000004</c:v>
                </c:pt>
                <c:pt idx="36">
                  <c:v>7.1709999999999994</c:v>
                </c:pt>
                <c:pt idx="37">
                  <c:v>13.058999999999999</c:v>
                </c:pt>
                <c:pt idx="38">
                  <c:v>19.658999999999999</c:v>
                </c:pt>
                <c:pt idx="39">
                  <c:v>11.02</c:v>
                </c:pt>
                <c:pt idx="40">
                  <c:v>12.731999999999999</c:v>
                </c:pt>
                <c:pt idx="41">
                  <c:v>15.163</c:v>
                </c:pt>
                <c:pt idx="42">
                  <c:v>8.5949999999999989</c:v>
                </c:pt>
                <c:pt idx="43">
                  <c:v>6.4190000000000005</c:v>
                </c:pt>
                <c:pt idx="44">
                  <c:v>18.837</c:v>
                </c:pt>
                <c:pt idx="45">
                  <c:v>12.815000000000001</c:v>
                </c:pt>
                <c:pt idx="46">
                  <c:v>6.157</c:v>
                </c:pt>
                <c:pt idx="47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47-42D2-9C87-2007778A5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157776"/>
        <c:axId val="251155856"/>
        <c:extLst>
          <c:ext xmlns:c15="http://schemas.microsoft.com/office/drawing/2012/chart" uri="{02D57815-91ED-43cb-92C2-25804820EDAC}">
            <c15:filteredLineSeries>
              <c15:ser>
                <c:idx val="6"/>
                <c:order val="9"/>
                <c:tx>
                  <c:strRef>
                    <c:extLst>
                      <c:ext uri="{02D57815-91ED-43cb-92C2-25804820EDAC}">
                        <c15:formulaRef>
                          <c15:sqref>Graphs!$F$5</c15:sqref>
                        </c15:formulaRef>
                      </c:ext>
                    </c:extLst>
                    <c:strCache>
                      <c:ptCount val="1"/>
                      <c:pt idx="0">
                        <c:v>Total Load</c:v>
                      </c:pt>
                    </c:strCache>
                  </c:strRef>
                </c:tx>
                <c:spPr>
                  <a:ln w="19050" cap="rnd">
                    <a:solidFill>
                      <a:schemeClr val="bg1">
                        <a:lumMod val="5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Graphs!$F$6:$F$53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5.34</c:v>
                      </c:pt>
                      <c:pt idx="1">
                        <c:v>3.6970000000000001</c:v>
                      </c:pt>
                      <c:pt idx="2">
                        <c:v>6.2359742871401753</c:v>
                      </c:pt>
                      <c:pt idx="3">
                        <c:v>23.040616000401847</c:v>
                      </c:pt>
                      <c:pt idx="4">
                        <c:v>23.04425400040185</c:v>
                      </c:pt>
                      <c:pt idx="5">
                        <c:v>23.018360000401852</c:v>
                      </c:pt>
                      <c:pt idx="6">
                        <c:v>4.7880000000000003</c:v>
                      </c:pt>
                      <c:pt idx="7">
                        <c:v>4.0609999999999999</c:v>
                      </c:pt>
                      <c:pt idx="8">
                        <c:v>4.0469999999999997</c:v>
                      </c:pt>
                      <c:pt idx="9">
                        <c:v>12.323</c:v>
                      </c:pt>
                      <c:pt idx="10">
                        <c:v>13.064</c:v>
                      </c:pt>
                      <c:pt idx="11">
                        <c:v>16.937000000000001</c:v>
                      </c:pt>
                      <c:pt idx="12">
                        <c:v>12.38</c:v>
                      </c:pt>
                      <c:pt idx="13">
                        <c:v>17.25</c:v>
                      </c:pt>
                      <c:pt idx="14">
                        <c:v>18.651</c:v>
                      </c:pt>
                      <c:pt idx="15">
                        <c:v>9.6134026401764014</c:v>
                      </c:pt>
                      <c:pt idx="16">
                        <c:v>14.551</c:v>
                      </c:pt>
                      <c:pt idx="17">
                        <c:v>12.456196603200972</c:v>
                      </c:pt>
                      <c:pt idx="18">
                        <c:v>11.02</c:v>
                      </c:pt>
                      <c:pt idx="19">
                        <c:v>5.42</c:v>
                      </c:pt>
                      <c:pt idx="20">
                        <c:v>21.28</c:v>
                      </c:pt>
                      <c:pt idx="21">
                        <c:v>23.28</c:v>
                      </c:pt>
                      <c:pt idx="22">
                        <c:v>6.32</c:v>
                      </c:pt>
                      <c:pt idx="23">
                        <c:v>5.4600000000000009</c:v>
                      </c:pt>
                      <c:pt idx="24">
                        <c:v>6.6876799999999967</c:v>
                      </c:pt>
                      <c:pt idx="25">
                        <c:v>3.8916799999999969</c:v>
                      </c:pt>
                      <c:pt idx="26">
                        <c:v>15.618150923743944</c:v>
                      </c:pt>
                      <c:pt idx="27">
                        <c:v>22.912323000401852</c:v>
                      </c:pt>
                      <c:pt idx="28">
                        <c:v>22.66076600040185</c:v>
                      </c:pt>
                      <c:pt idx="29">
                        <c:v>22.712340000401852</c:v>
                      </c:pt>
                      <c:pt idx="30">
                        <c:v>27.000000000450001</c:v>
                      </c:pt>
                      <c:pt idx="31">
                        <c:v>5.9958443445182628</c:v>
                      </c:pt>
                      <c:pt idx="32">
                        <c:v>7.22</c:v>
                      </c:pt>
                      <c:pt idx="33">
                        <c:v>16.11</c:v>
                      </c:pt>
                      <c:pt idx="34">
                        <c:v>30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24.052723</c:v>
                      </c:pt>
                      <c:pt idx="38">
                        <c:v>22.160293000000003</c:v>
                      </c:pt>
                      <c:pt idx="39">
                        <c:v>21.68242</c:v>
                      </c:pt>
                      <c:pt idx="40">
                        <c:v>13.007043999999999</c:v>
                      </c:pt>
                      <c:pt idx="41">
                        <c:v>15.163</c:v>
                      </c:pt>
                      <c:pt idx="42">
                        <c:v>8.5949999999999989</c:v>
                      </c:pt>
                      <c:pt idx="43">
                        <c:v>6.4190000000000005</c:v>
                      </c:pt>
                      <c:pt idx="44">
                        <c:v>18.837</c:v>
                      </c:pt>
                      <c:pt idx="45">
                        <c:v>12.815000000000001</c:v>
                      </c:pt>
                      <c:pt idx="46">
                        <c:v>6.157</c:v>
                      </c:pt>
                      <c:pt idx="47">
                        <c:v>7.8016799999999966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4347-42D2-9C87-2007778A5997}"/>
                  </c:ext>
                </c:extLst>
              </c15:ser>
            </c15:filteredLineSeries>
          </c:ext>
        </c:extLst>
      </c:lineChart>
      <c:catAx>
        <c:axId val="2511577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55856"/>
        <c:crosses val="autoZero"/>
        <c:auto val="1"/>
        <c:lblAlgn val="ctr"/>
        <c:lblOffset val="100"/>
        <c:noMultiLvlLbl val="1"/>
      </c:catAx>
      <c:valAx>
        <c:axId val="2511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5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114300</xdr:colOff>
      <xdr:row>126</xdr:row>
      <xdr:rowOff>42861</xdr:rowOff>
    </xdr:from>
    <xdr:to>
      <xdr:col>46</xdr:col>
      <xdr:colOff>0</xdr:colOff>
      <xdr:row>145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DD7ED3-36AC-4F1F-98A1-57357F6EE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563851</xdr:colOff>
      <xdr:row>5</xdr:row>
      <xdr:rowOff>174594</xdr:rowOff>
    </xdr:from>
    <xdr:to>
      <xdr:col>44</xdr:col>
      <xdr:colOff>46192</xdr:colOff>
      <xdr:row>26</xdr:row>
      <xdr:rowOff>68336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8D567E-19D7-4508-876C-E5F5F48D2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310613</xdr:colOff>
      <xdr:row>27</xdr:row>
      <xdr:rowOff>63336</xdr:rowOff>
    </xdr:from>
    <xdr:to>
      <xdr:col>65</xdr:col>
      <xdr:colOff>329534</xdr:colOff>
      <xdr:row>47</xdr:row>
      <xdr:rowOff>133103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F2A9DC77-1E04-497B-AF44-FC9BE30B5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598137</xdr:colOff>
      <xdr:row>72</xdr:row>
      <xdr:rowOff>102235</xdr:rowOff>
    </xdr:from>
    <xdr:to>
      <xdr:col>44</xdr:col>
      <xdr:colOff>114300</xdr:colOff>
      <xdr:row>93</xdr:row>
      <xdr:rowOff>48488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C17EB11B-D82E-46B4-A70D-64F0D744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414862</xdr:colOff>
      <xdr:row>72</xdr:row>
      <xdr:rowOff>45883</xdr:rowOff>
    </xdr:from>
    <xdr:to>
      <xdr:col>65</xdr:col>
      <xdr:colOff>387968</xdr:colOff>
      <xdr:row>93</xdr:row>
      <xdr:rowOff>3830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DB4D0201-CC34-438F-99C5-1E01F9E75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295835</xdr:colOff>
      <xdr:row>5</xdr:row>
      <xdr:rowOff>150304</xdr:rowOff>
    </xdr:from>
    <xdr:to>
      <xdr:col>66</xdr:col>
      <xdr:colOff>448234</xdr:colOff>
      <xdr:row>25</xdr:row>
      <xdr:rowOff>156243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7997A2-B0DF-4D6E-946D-7C80BBD50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388349</xdr:colOff>
      <xdr:row>27</xdr:row>
      <xdr:rowOff>93518</xdr:rowOff>
    </xdr:from>
    <xdr:to>
      <xdr:col>44</xdr:col>
      <xdr:colOff>433598</xdr:colOff>
      <xdr:row>47</xdr:row>
      <xdr:rowOff>161380</xdr:rowOff>
    </xdr:to>
    <xdr:graphicFrame macro="">
      <xdr:nvGraphicFramePr>
        <xdr:cNvPr id="15" name="Chart 2">
          <a:extLst>
            <a:ext uri="{FF2B5EF4-FFF2-40B4-BE49-F238E27FC236}">
              <a16:creationId xmlns:a16="http://schemas.microsoft.com/office/drawing/2014/main" id="{3B8CC295-390C-4130-AF57-742DBC3DA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598714</xdr:colOff>
      <xdr:row>49</xdr:row>
      <xdr:rowOff>174172</xdr:rowOff>
    </xdr:from>
    <xdr:to>
      <xdr:col>44</xdr:col>
      <xdr:colOff>81055</xdr:colOff>
      <xdr:row>70</xdr:row>
      <xdr:rowOff>67914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5FFD883-95BA-4113-B29A-691F762F6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272142</xdr:colOff>
      <xdr:row>49</xdr:row>
      <xdr:rowOff>157843</xdr:rowOff>
    </xdr:from>
    <xdr:to>
      <xdr:col>65</xdr:col>
      <xdr:colOff>370114</xdr:colOff>
      <xdr:row>70</xdr:row>
      <xdr:rowOff>53762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3D0095F-7ED3-4742-B636-AFE8C0B60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95</xdr:row>
      <xdr:rowOff>0</xdr:rowOff>
    </xdr:from>
    <xdr:to>
      <xdr:col>44</xdr:col>
      <xdr:colOff>55418</xdr:colOff>
      <xdr:row>115</xdr:row>
      <xdr:rowOff>73851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A24D3C-4C88-4CA3-90B2-6AC71649E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117</xdr:row>
      <xdr:rowOff>0</xdr:rowOff>
    </xdr:from>
    <xdr:to>
      <xdr:col>44</xdr:col>
      <xdr:colOff>11206</xdr:colOff>
      <xdr:row>136</xdr:row>
      <xdr:rowOff>33618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FF8152F-3DA1-4825-ABAD-87CC08C8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84</xdr:col>
      <xdr:colOff>224116</xdr:colOff>
      <xdr:row>11</xdr:row>
      <xdr:rowOff>155980</xdr:rowOff>
    </xdr:from>
    <xdr:to>
      <xdr:col>97</xdr:col>
      <xdr:colOff>286868</xdr:colOff>
      <xdr:row>33</xdr:row>
      <xdr:rowOff>112060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62401-1B80-4595-8B89-97CF96164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47625</xdr:colOff>
      <xdr:row>117</xdr:row>
      <xdr:rowOff>129887</xdr:rowOff>
    </xdr:from>
    <xdr:to>
      <xdr:col>65</xdr:col>
      <xdr:colOff>430306</xdr:colOff>
      <xdr:row>136</xdr:row>
      <xdr:rowOff>163505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05D2CB7-D73A-46BD-BF2A-E30ABFC23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70</xdr:col>
      <xdr:colOff>190577</xdr:colOff>
      <xdr:row>10</xdr:row>
      <xdr:rowOff>44506</xdr:rowOff>
    </xdr:from>
    <xdr:to>
      <xdr:col>80</xdr:col>
      <xdr:colOff>495300</xdr:colOff>
      <xdr:row>32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20B8BA0-DAD6-4E42-8BD3-E3924A56C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0</xdr:rowOff>
    </xdr:from>
    <xdr:to>
      <xdr:col>24</xdr:col>
      <xdr:colOff>355148</xdr:colOff>
      <xdr:row>26</xdr:row>
      <xdr:rowOff>40661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43860-98BE-4E62-82C2-91E348199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172345</xdr:colOff>
      <xdr:row>1</xdr:row>
      <xdr:rowOff>142091</xdr:rowOff>
    </xdr:from>
    <xdr:to>
      <xdr:col>20</xdr:col>
      <xdr:colOff>782170</xdr:colOff>
      <xdr:row>21</xdr:row>
      <xdr:rowOff>79786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B87F3F4-F40A-4DC6-9B43-32E340E32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188258</xdr:colOff>
      <xdr:row>22</xdr:row>
      <xdr:rowOff>107577</xdr:rowOff>
    </xdr:from>
    <xdr:to>
      <xdr:col>21</xdr:col>
      <xdr:colOff>9189</xdr:colOff>
      <xdr:row>42</xdr:row>
      <xdr:rowOff>45273</xdr:rowOff>
    </xdr:to>
    <xdr:graphicFrame macro="">
      <xdr:nvGraphicFramePr>
        <xdr:cNvPr id="3" name="Graphique 3">
          <a:extLst>
            <a:ext uri="{FF2B5EF4-FFF2-40B4-BE49-F238E27FC236}">
              <a16:creationId xmlns:a16="http://schemas.microsoft.com/office/drawing/2014/main" id="{06370AC0-1C46-4D8A-8FF5-2BEF45376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225287</xdr:colOff>
      <xdr:row>1</xdr:row>
      <xdr:rowOff>62740</xdr:rowOff>
    </xdr:from>
    <xdr:to>
      <xdr:col>26</xdr:col>
      <xdr:colOff>530087</xdr:colOff>
      <xdr:row>14</xdr:row>
      <xdr:rowOff>74750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6CF07-E4AA-444B-943C-F281F6C94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551207</xdr:colOff>
      <xdr:row>31</xdr:row>
      <xdr:rowOff>70609</xdr:rowOff>
    </xdr:from>
    <xdr:to>
      <xdr:col>24</xdr:col>
      <xdr:colOff>204995</xdr:colOff>
      <xdr:row>45</xdr:row>
      <xdr:rowOff>146809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BFC671-8B18-4FD8-9FD0-CF7A72F74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476249</xdr:colOff>
      <xdr:row>16</xdr:row>
      <xdr:rowOff>123825</xdr:rowOff>
    </xdr:from>
    <xdr:to>
      <xdr:col>32</xdr:col>
      <xdr:colOff>304800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84D645-D090-4CA5-ADC8-9ED67A644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346563</xdr:colOff>
      <xdr:row>1</xdr:row>
      <xdr:rowOff>47624</xdr:rowOff>
    </xdr:from>
    <xdr:to>
      <xdr:col>19</xdr:col>
      <xdr:colOff>110819</xdr:colOff>
      <xdr:row>14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2CE6FF-4474-4C98-9954-7272B4D80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665197</xdr:colOff>
      <xdr:row>26</xdr:row>
      <xdr:rowOff>51938</xdr:rowOff>
    </xdr:from>
    <xdr:to>
      <xdr:col>12</xdr:col>
      <xdr:colOff>246918</xdr:colOff>
      <xdr:row>48</xdr:row>
      <xdr:rowOff>8018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9E2775-3E33-4953-B082-2FFC65038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422638</xdr:colOff>
      <xdr:row>4</xdr:row>
      <xdr:rowOff>141568</xdr:rowOff>
    </xdr:from>
    <xdr:to>
      <xdr:col>23</xdr:col>
      <xdr:colOff>16036</xdr:colOff>
      <xdr:row>24</xdr:row>
      <xdr:rowOff>118094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7CFB415-341F-4AA2-B361-25671A141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10</xdr:row>
      <xdr:rowOff>152400</xdr:rowOff>
    </xdr:from>
    <xdr:to>
      <xdr:col>12</xdr:col>
      <xdr:colOff>160020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0D690-6492-4C59-A8F4-4FFE096FF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ablesales.com.au/blog/diesel-generator-fuel-consumption-chart-in-litr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FD25-F898-4DE4-86EF-D58D0D48D024}">
  <sheetPr codeName="Sheet1"/>
  <dimension ref="B1:B2"/>
  <sheetViews>
    <sheetView workbookViewId="0"/>
  </sheetViews>
  <sheetFormatPr defaultColWidth="8.88671875" defaultRowHeight="14.4" x14ac:dyDescent="0.3"/>
  <cols>
    <col min="2" max="2" width="12.6640625" bestFit="1" customWidth="1"/>
  </cols>
  <sheetData>
    <row r="1" spans="2:2" x14ac:dyDescent="0.3">
      <c r="B1" s="9" t="s">
        <v>179</v>
      </c>
    </row>
    <row r="2" spans="2:2" x14ac:dyDescent="0.3">
      <c r="B2">
        <v>494.73016215807615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7866-3650-40BA-86C0-F5C10575E8A4}">
  <sheetPr codeName="Sheet2"/>
  <dimension ref="B1:AR169"/>
  <sheetViews>
    <sheetView tabSelected="1" topLeftCell="W1" workbookViewId="0">
      <selection activeCell="M3" sqref="M3"/>
    </sheetView>
  </sheetViews>
  <sheetFormatPr defaultColWidth="8.88671875" defaultRowHeight="14.4" x14ac:dyDescent="0.3"/>
  <cols>
    <col min="2" max="2" width="8.88671875" style="5"/>
    <col min="4" max="4" width="0" hidden="1" customWidth="1"/>
    <col min="6" max="6" width="0" hidden="1" customWidth="1"/>
    <col min="7" max="7" width="17.44140625" bestFit="1" customWidth="1"/>
    <col min="8" max="8" width="0" hidden="1" customWidth="1"/>
    <col min="9" max="9" width="17.33203125" bestFit="1" customWidth="1"/>
    <col min="10" max="10" width="6.33203125" hidden="1" customWidth="1"/>
    <col min="12" max="12" width="0" hidden="1" customWidth="1"/>
    <col min="14" max="14" width="0" hidden="1" customWidth="1"/>
    <col min="15" max="15" width="12" bestFit="1" customWidth="1"/>
    <col min="16" max="16" width="0" hidden="1" customWidth="1"/>
    <col min="17" max="17" width="9.44140625" bestFit="1" customWidth="1"/>
    <col min="18" max="18" width="0" hidden="1" customWidth="1"/>
    <col min="19" max="19" width="12.6640625" bestFit="1" customWidth="1"/>
    <col min="20" max="20" width="5" hidden="1" customWidth="1"/>
    <col min="21" max="21" width="14.33203125" bestFit="1" customWidth="1"/>
    <col min="22" max="22" width="0" hidden="1" customWidth="1"/>
    <col min="23" max="23" width="12" bestFit="1" customWidth="1"/>
    <col min="24" max="24" width="0" hidden="1" customWidth="1"/>
    <col min="25" max="25" width="9.6640625" customWidth="1"/>
    <col min="26" max="26" width="0.6640625" customWidth="1"/>
    <col min="27" max="27" width="9.6640625" customWidth="1"/>
    <col min="28" max="28" width="0.5546875" customWidth="1"/>
    <col min="29" max="29" width="9.6640625" customWidth="1"/>
    <col min="30" max="30" width="0.88671875" customWidth="1"/>
    <col min="31" max="31" width="9.6640625" customWidth="1"/>
    <col min="32" max="32" width="9.33203125" hidden="1" customWidth="1"/>
    <col min="33" max="33" width="9.6640625" customWidth="1"/>
    <col min="34" max="34" width="9.6640625" hidden="1" customWidth="1"/>
    <col min="35" max="35" width="9.6640625" customWidth="1"/>
    <col min="38" max="38" width="12" bestFit="1" customWidth="1"/>
    <col min="39" max="39" width="13.6640625" bestFit="1" customWidth="1"/>
    <col min="40" max="40" width="14.44140625" customWidth="1"/>
    <col min="42" max="42" width="37.6640625" customWidth="1"/>
    <col min="43" max="43" width="10.5546875" bestFit="1" customWidth="1"/>
  </cols>
  <sheetData>
    <row r="1" spans="2:43" ht="15" thickBot="1" x14ac:dyDescent="0.35">
      <c r="B1" s="6"/>
      <c r="C1" s="3" t="s">
        <v>168</v>
      </c>
      <c r="D1" s="3"/>
      <c r="E1" s="3" t="s">
        <v>169</v>
      </c>
      <c r="F1" s="3"/>
      <c r="G1" s="3" t="s">
        <v>198</v>
      </c>
      <c r="H1" s="3"/>
      <c r="I1" s="3" t="s">
        <v>199</v>
      </c>
      <c r="J1" s="3"/>
      <c r="K1" s="3" t="s">
        <v>170</v>
      </c>
      <c r="L1" s="3"/>
      <c r="M1" s="3" t="s">
        <v>177</v>
      </c>
      <c r="O1" s="7" t="s">
        <v>171</v>
      </c>
      <c r="P1" s="7"/>
      <c r="Q1" s="7" t="s">
        <v>178</v>
      </c>
      <c r="R1" s="7"/>
      <c r="S1" s="7" t="s">
        <v>172</v>
      </c>
      <c r="T1" s="7"/>
      <c r="U1" s="7" t="s">
        <v>173</v>
      </c>
      <c r="V1" s="7"/>
      <c r="W1" s="7" t="s">
        <v>174</v>
      </c>
      <c r="X1" s="7"/>
      <c r="Y1" s="7" t="s">
        <v>175</v>
      </c>
      <c r="Z1" s="7"/>
      <c r="AA1" s="7" t="s">
        <v>208</v>
      </c>
      <c r="AB1" s="8"/>
      <c r="AC1" s="7" t="s">
        <v>176</v>
      </c>
      <c r="AD1" s="7"/>
      <c r="AE1" s="7" t="s">
        <v>207</v>
      </c>
      <c r="AF1" s="7"/>
      <c r="AG1" s="7" t="s">
        <v>268</v>
      </c>
      <c r="AI1" s="7" t="s">
        <v>267</v>
      </c>
      <c r="AJ1" s="7" t="s">
        <v>192</v>
      </c>
      <c r="AL1" s="2" t="s">
        <v>180</v>
      </c>
      <c r="AM1" s="2" t="s">
        <v>181</v>
      </c>
      <c r="AN1" s="100"/>
    </row>
    <row r="2" spans="2:43" x14ac:dyDescent="0.3">
      <c r="B2" s="4" t="s">
        <v>0</v>
      </c>
      <c r="C2" s="1">
        <v>1.75</v>
      </c>
      <c r="D2" s="1" t="s">
        <v>0</v>
      </c>
      <c r="E2" s="1">
        <v>1.84</v>
      </c>
      <c r="F2" s="1" t="s">
        <v>0</v>
      </c>
      <c r="G2" s="1">
        <v>0.08</v>
      </c>
      <c r="H2" s="1" t="s">
        <v>0</v>
      </c>
      <c r="I2" s="1">
        <v>0.1</v>
      </c>
      <c r="J2" s="1" t="s">
        <v>0</v>
      </c>
      <c r="K2" s="1">
        <v>2</v>
      </c>
      <c r="L2" s="1" t="s">
        <v>0</v>
      </c>
      <c r="M2" s="1">
        <v>4.5E-10</v>
      </c>
      <c r="N2" s="1" t="s">
        <v>0</v>
      </c>
      <c r="O2" s="1">
        <v>0</v>
      </c>
      <c r="P2" s="1" t="s">
        <v>0</v>
      </c>
      <c r="Q2" s="1">
        <v>0</v>
      </c>
      <c r="R2" s="1" t="s">
        <v>0</v>
      </c>
      <c r="S2" s="1">
        <v>0</v>
      </c>
      <c r="T2" s="1" t="s">
        <v>0</v>
      </c>
      <c r="U2" s="1">
        <v>0</v>
      </c>
      <c r="V2" s="1" t="s">
        <v>0</v>
      </c>
      <c r="W2" s="1">
        <v>5.3399999995499998</v>
      </c>
      <c r="X2" s="1" t="s">
        <v>0</v>
      </c>
      <c r="Y2" s="1">
        <v>0</v>
      </c>
      <c r="Z2" s="1" t="s">
        <v>0</v>
      </c>
      <c r="AA2" s="1">
        <v>0</v>
      </c>
      <c r="AB2" s="1" t="s">
        <v>0</v>
      </c>
      <c r="AC2" s="1">
        <v>50</v>
      </c>
      <c r="AD2" s="1" t="s">
        <v>0</v>
      </c>
      <c r="AE2" s="1">
        <v>0</v>
      </c>
      <c r="AF2" s="1" t="s">
        <v>0</v>
      </c>
      <c r="AG2" s="1">
        <v>0</v>
      </c>
      <c r="AH2" s="1" t="s">
        <v>0</v>
      </c>
      <c r="AI2" s="1">
        <v>0</v>
      </c>
      <c r="AJ2" s="14">
        <f>AC2/100</f>
        <v>0.5</v>
      </c>
      <c r="AL2">
        <f>C2*2+E2+Y2-AA2-AE2+O2</f>
        <v>5.34</v>
      </c>
      <c r="AM2">
        <f>Q2+S2+U2+W2</f>
        <v>5.3399999995499998</v>
      </c>
      <c r="AN2" s="100"/>
      <c r="AO2" s="11"/>
      <c r="AP2" s="42" t="s">
        <v>209</v>
      </c>
      <c r="AQ2" s="43">
        <v>0.5</v>
      </c>
    </row>
    <row r="3" spans="2:43" x14ac:dyDescent="0.3">
      <c r="B3" s="4" t="s">
        <v>1</v>
      </c>
      <c r="C3" s="1">
        <v>0.96</v>
      </c>
      <c r="D3" s="1" t="s">
        <v>1</v>
      </c>
      <c r="E3" s="1">
        <v>1.7769999999999999</v>
      </c>
      <c r="F3" s="1" t="s">
        <v>1</v>
      </c>
      <c r="G3" s="1">
        <v>0.08</v>
      </c>
      <c r="H3" s="1" t="s">
        <v>1</v>
      </c>
      <c r="I3" s="1">
        <v>0.1</v>
      </c>
      <c r="J3" s="1" t="s">
        <v>1</v>
      </c>
      <c r="K3" s="1">
        <v>2</v>
      </c>
      <c r="L3" s="1" t="s">
        <v>1</v>
      </c>
      <c r="M3" s="1">
        <v>4.5E-10</v>
      </c>
      <c r="N3" s="1" t="s">
        <v>1</v>
      </c>
      <c r="O3" s="1">
        <v>0</v>
      </c>
      <c r="P3" s="1" t="s">
        <v>1</v>
      </c>
      <c r="Q3" s="1">
        <v>0</v>
      </c>
      <c r="R3" s="1" t="s">
        <v>1</v>
      </c>
      <c r="S3" s="1">
        <v>0</v>
      </c>
      <c r="T3" s="1" t="s">
        <v>1</v>
      </c>
      <c r="U3" s="1">
        <v>0</v>
      </c>
      <c r="V3" s="1" t="s">
        <v>1</v>
      </c>
      <c r="W3" s="1">
        <v>3.69699999955</v>
      </c>
      <c r="X3" s="1" t="s">
        <v>1</v>
      </c>
      <c r="Y3" s="1">
        <v>0</v>
      </c>
      <c r="Z3" s="1" t="s">
        <v>1</v>
      </c>
      <c r="AA3" s="1">
        <v>0</v>
      </c>
      <c r="AB3" s="1" t="s">
        <v>1</v>
      </c>
      <c r="AC3" s="1">
        <v>49.997199999999999</v>
      </c>
      <c r="AD3" s="1" t="s">
        <v>1</v>
      </c>
      <c r="AE3" s="1">
        <v>0</v>
      </c>
      <c r="AF3" s="1" t="s">
        <v>1</v>
      </c>
      <c r="AG3" s="1">
        <v>0</v>
      </c>
      <c r="AH3" s="1" t="s">
        <v>1</v>
      </c>
      <c r="AI3" s="1">
        <v>0</v>
      </c>
      <c r="AJ3" s="14">
        <f t="shared" ref="AJ3:AJ66" si="0">AC3/100</f>
        <v>0.49997199999999997</v>
      </c>
      <c r="AL3">
        <f t="shared" ref="AL3:AL66" si="1">C3*2+E3+Y3-AA3-AE3+O3</f>
        <v>3.6970000000000001</v>
      </c>
      <c r="AM3">
        <f t="shared" ref="AM3:AM66" si="2">Q3+S3+U3+W3</f>
        <v>3.69699999955</v>
      </c>
      <c r="AN3" s="100"/>
      <c r="AO3" s="11"/>
      <c r="AP3" s="44" t="s">
        <v>210</v>
      </c>
      <c r="AQ3" s="45">
        <v>0.14000000000000001</v>
      </c>
    </row>
    <row r="4" spans="2:43" x14ac:dyDescent="0.3">
      <c r="B4" s="4" t="s">
        <v>2</v>
      </c>
      <c r="C4" s="1">
        <v>1.41</v>
      </c>
      <c r="D4" s="1" t="s">
        <v>2</v>
      </c>
      <c r="E4" s="1">
        <v>2.617</v>
      </c>
      <c r="F4" s="1" t="s">
        <v>2</v>
      </c>
      <c r="G4" s="1">
        <v>0.08</v>
      </c>
      <c r="H4" s="1" t="s">
        <v>2</v>
      </c>
      <c r="I4" s="1">
        <v>0.1</v>
      </c>
      <c r="J4" s="1" t="s">
        <v>2</v>
      </c>
      <c r="K4" s="1">
        <v>2</v>
      </c>
      <c r="L4" s="1" t="s">
        <v>2</v>
      </c>
      <c r="M4" s="1">
        <v>4.5E-10</v>
      </c>
      <c r="N4" s="1" t="s">
        <v>2</v>
      </c>
      <c r="O4" s="1">
        <v>0.79897428714017593</v>
      </c>
      <c r="P4" s="1" t="s">
        <v>2</v>
      </c>
      <c r="Q4" s="1">
        <v>0</v>
      </c>
      <c r="R4" s="1" t="s">
        <v>2</v>
      </c>
      <c r="S4" s="1">
        <v>0</v>
      </c>
      <c r="T4" s="1" t="s">
        <v>2</v>
      </c>
      <c r="U4" s="1">
        <v>0</v>
      </c>
      <c r="V4" s="1" t="s">
        <v>2</v>
      </c>
      <c r="W4" s="1">
        <v>6.3317080478592676</v>
      </c>
      <c r="X4" s="1" t="s">
        <v>2</v>
      </c>
      <c r="Y4" s="1">
        <v>0</v>
      </c>
      <c r="Z4" s="1" t="s">
        <v>2</v>
      </c>
      <c r="AA4" s="1">
        <v>0</v>
      </c>
      <c r="AB4" s="1" t="s">
        <v>2</v>
      </c>
      <c r="AC4" s="1">
        <v>50.793374443940181</v>
      </c>
      <c r="AD4" s="1" t="s">
        <v>2</v>
      </c>
      <c r="AE4" s="1">
        <v>0</v>
      </c>
      <c r="AF4" s="1" t="s">
        <v>2</v>
      </c>
      <c r="AG4" s="1">
        <v>0</v>
      </c>
      <c r="AH4" s="1" t="s">
        <v>2</v>
      </c>
      <c r="AI4" s="1">
        <v>0</v>
      </c>
      <c r="AJ4" s="14">
        <f t="shared" si="0"/>
        <v>0.50793374443940176</v>
      </c>
      <c r="AL4">
        <f t="shared" si="1"/>
        <v>6.2359742871401753</v>
      </c>
      <c r="AM4">
        <f t="shared" si="2"/>
        <v>6.3317080478592676</v>
      </c>
      <c r="AN4" s="100"/>
      <c r="AO4" s="11"/>
      <c r="AP4" s="44" t="s">
        <v>213</v>
      </c>
      <c r="AQ4" s="45">
        <v>1.9999999999999999E-6</v>
      </c>
    </row>
    <row r="5" spans="2:43" x14ac:dyDescent="0.3">
      <c r="B5" s="4" t="s">
        <v>3</v>
      </c>
      <c r="C5" s="1">
        <v>1.73</v>
      </c>
      <c r="D5" s="1" t="s">
        <v>3</v>
      </c>
      <c r="E5" s="1">
        <v>3.2280000000000002</v>
      </c>
      <c r="F5" s="1" t="s">
        <v>3</v>
      </c>
      <c r="G5" s="1">
        <v>0.08</v>
      </c>
      <c r="H5" s="1" t="s">
        <v>3</v>
      </c>
      <c r="I5" s="1">
        <v>0.1</v>
      </c>
      <c r="J5" s="1" t="s">
        <v>3</v>
      </c>
      <c r="K5" s="1">
        <v>2</v>
      </c>
      <c r="L5" s="1" t="s">
        <v>3</v>
      </c>
      <c r="M5" s="1">
        <v>4.5E-10</v>
      </c>
      <c r="N5" s="1" t="s">
        <v>3</v>
      </c>
      <c r="O5" s="1">
        <v>16.352616000401849</v>
      </c>
      <c r="P5" s="1" t="s">
        <v>3</v>
      </c>
      <c r="Q5" s="1">
        <v>0</v>
      </c>
      <c r="R5" s="1" t="s">
        <v>3</v>
      </c>
      <c r="S5" s="1">
        <v>0</v>
      </c>
      <c r="T5" s="1" t="s">
        <v>3</v>
      </c>
      <c r="U5" s="1">
        <v>0</v>
      </c>
      <c r="V5" s="1" t="s">
        <v>3</v>
      </c>
      <c r="W5" s="1">
        <v>25</v>
      </c>
      <c r="X5" s="1" t="s">
        <v>3</v>
      </c>
      <c r="Y5" s="1">
        <v>0</v>
      </c>
      <c r="Z5" s="1" t="s">
        <v>3</v>
      </c>
      <c r="AA5" s="1">
        <v>0</v>
      </c>
      <c r="AB5" s="1" t="s">
        <v>3</v>
      </c>
      <c r="AC5" s="1">
        <v>67.143146015373162</v>
      </c>
      <c r="AD5" s="1" t="s">
        <v>3</v>
      </c>
      <c r="AE5" s="1">
        <v>0</v>
      </c>
      <c r="AF5" s="1" t="s">
        <v>3</v>
      </c>
      <c r="AG5" s="1">
        <v>0</v>
      </c>
      <c r="AH5" s="1" t="s">
        <v>3</v>
      </c>
      <c r="AI5" s="1">
        <v>0</v>
      </c>
      <c r="AJ5" s="14">
        <f t="shared" si="0"/>
        <v>0.67143146015373167</v>
      </c>
      <c r="AL5">
        <f t="shared" si="1"/>
        <v>23.040616000401847</v>
      </c>
      <c r="AM5">
        <f t="shared" si="2"/>
        <v>25</v>
      </c>
      <c r="AN5" s="100"/>
      <c r="AO5" s="11"/>
      <c r="AP5" s="44" t="s">
        <v>212</v>
      </c>
      <c r="AQ5" s="45">
        <v>3.9999999999999998E-6</v>
      </c>
    </row>
    <row r="6" spans="2:43" x14ac:dyDescent="0.3">
      <c r="B6" s="4" t="s">
        <v>4</v>
      </c>
      <c r="C6" s="1">
        <v>1.74</v>
      </c>
      <c r="D6" s="1" t="s">
        <v>4</v>
      </c>
      <c r="E6" s="1">
        <v>3.242</v>
      </c>
      <c r="F6" s="1" t="s">
        <v>4</v>
      </c>
      <c r="G6" s="1">
        <v>0.08</v>
      </c>
      <c r="H6" s="1" t="s">
        <v>4</v>
      </c>
      <c r="I6" s="1">
        <v>0.1</v>
      </c>
      <c r="J6" s="1" t="s">
        <v>4</v>
      </c>
      <c r="K6" s="1">
        <v>2</v>
      </c>
      <c r="L6" s="1" t="s">
        <v>4</v>
      </c>
      <c r="M6" s="1">
        <v>4.5E-10</v>
      </c>
      <c r="N6" s="1" t="s">
        <v>4</v>
      </c>
      <c r="O6" s="1">
        <v>16.322254000401848</v>
      </c>
      <c r="P6" s="1" t="s">
        <v>4</v>
      </c>
      <c r="Q6" s="1">
        <v>0</v>
      </c>
      <c r="R6" s="1" t="s">
        <v>4</v>
      </c>
      <c r="S6" s="1">
        <v>0</v>
      </c>
      <c r="T6" s="1" t="s">
        <v>4</v>
      </c>
      <c r="U6" s="1">
        <v>0</v>
      </c>
      <c r="V6" s="1" t="s">
        <v>4</v>
      </c>
      <c r="W6" s="1">
        <v>25</v>
      </c>
      <c r="X6" s="1" t="s">
        <v>4</v>
      </c>
      <c r="Y6" s="1">
        <v>0</v>
      </c>
      <c r="Z6" s="1" t="s">
        <v>4</v>
      </c>
      <c r="AA6" s="1">
        <v>0</v>
      </c>
      <c r="AB6" s="1" t="s">
        <v>4</v>
      </c>
      <c r="AC6" s="1">
        <v>83.461639999598148</v>
      </c>
      <c r="AD6" s="1" t="s">
        <v>4</v>
      </c>
      <c r="AE6" s="1">
        <v>0</v>
      </c>
      <c r="AF6" s="1" t="s">
        <v>4</v>
      </c>
      <c r="AG6" s="1">
        <v>0</v>
      </c>
      <c r="AH6" s="1" t="s">
        <v>4</v>
      </c>
      <c r="AI6" s="1">
        <v>0</v>
      </c>
      <c r="AJ6" s="14">
        <f t="shared" si="0"/>
        <v>0.83461639999598147</v>
      </c>
      <c r="AL6">
        <f t="shared" si="1"/>
        <v>23.04425400040185</v>
      </c>
      <c r="AM6">
        <f t="shared" si="2"/>
        <v>25</v>
      </c>
      <c r="AN6" s="100"/>
      <c r="AO6" s="11"/>
      <c r="AP6" s="44" t="s">
        <v>211</v>
      </c>
      <c r="AQ6" s="45">
        <v>1</v>
      </c>
    </row>
    <row r="7" spans="2:43" x14ac:dyDescent="0.3">
      <c r="B7" s="4" t="s">
        <v>5</v>
      </c>
      <c r="C7" s="1">
        <v>1.68</v>
      </c>
      <c r="D7" s="1" t="s">
        <v>5</v>
      </c>
      <c r="E7" s="1">
        <v>3.12</v>
      </c>
      <c r="F7" s="1" t="s">
        <v>5</v>
      </c>
      <c r="G7" s="1">
        <v>0.08</v>
      </c>
      <c r="H7" s="1" t="s">
        <v>5</v>
      </c>
      <c r="I7" s="1">
        <v>0.1</v>
      </c>
      <c r="J7" s="1" t="s">
        <v>5</v>
      </c>
      <c r="K7" s="1">
        <v>2</v>
      </c>
      <c r="L7" s="1" t="s">
        <v>5</v>
      </c>
      <c r="M7" s="1">
        <v>4.5E-10</v>
      </c>
      <c r="N7" s="1" t="s">
        <v>5</v>
      </c>
      <c r="O7" s="1">
        <v>16.538360000401852</v>
      </c>
      <c r="P7" s="1" t="s">
        <v>5</v>
      </c>
      <c r="Q7" s="1">
        <v>0</v>
      </c>
      <c r="R7" s="1" t="s">
        <v>5</v>
      </c>
      <c r="S7" s="1">
        <v>0</v>
      </c>
      <c r="T7" s="1" t="s">
        <v>5</v>
      </c>
      <c r="U7" s="1">
        <v>0</v>
      </c>
      <c r="V7" s="1" t="s">
        <v>5</v>
      </c>
      <c r="W7" s="1">
        <v>25</v>
      </c>
      <c r="X7" s="1" t="s">
        <v>5</v>
      </c>
      <c r="Y7" s="1">
        <v>0</v>
      </c>
      <c r="Z7" s="1" t="s">
        <v>5</v>
      </c>
      <c r="AA7" s="1">
        <v>0</v>
      </c>
      <c r="AB7" s="1" t="s">
        <v>5</v>
      </c>
      <c r="AC7" s="1">
        <v>99.995326148160032</v>
      </c>
      <c r="AD7" s="1" t="s">
        <v>5</v>
      </c>
      <c r="AE7" s="1">
        <v>0</v>
      </c>
      <c r="AF7" s="1" t="s">
        <v>5</v>
      </c>
      <c r="AG7" s="1">
        <v>0</v>
      </c>
      <c r="AH7" s="1" t="s">
        <v>5</v>
      </c>
      <c r="AI7" s="1">
        <v>0</v>
      </c>
      <c r="AJ7" s="14">
        <f t="shared" si="0"/>
        <v>0.99995326148160035</v>
      </c>
      <c r="AL7">
        <f t="shared" si="1"/>
        <v>23.018360000401852</v>
      </c>
      <c r="AM7">
        <f t="shared" si="2"/>
        <v>25</v>
      </c>
      <c r="AN7" s="100"/>
      <c r="AO7" s="11"/>
      <c r="AP7" s="44" t="s">
        <v>233</v>
      </c>
      <c r="AQ7" s="45">
        <v>0.30667</v>
      </c>
    </row>
    <row r="8" spans="2:43" x14ac:dyDescent="0.3">
      <c r="B8" s="4" t="s">
        <v>6</v>
      </c>
      <c r="C8" s="1">
        <v>1.24</v>
      </c>
      <c r="D8" s="1" t="s">
        <v>6</v>
      </c>
      <c r="E8" s="1">
        <v>2.3079999999999998</v>
      </c>
      <c r="F8" s="1" t="s">
        <v>6</v>
      </c>
      <c r="G8" s="1">
        <v>0.13</v>
      </c>
      <c r="H8" s="1" t="s">
        <v>6</v>
      </c>
      <c r="I8" s="1">
        <v>0.15</v>
      </c>
      <c r="J8" s="1" t="s">
        <v>6</v>
      </c>
      <c r="K8" s="1">
        <v>2</v>
      </c>
      <c r="L8" s="1" t="s">
        <v>6</v>
      </c>
      <c r="M8" s="1">
        <v>4.5E-10</v>
      </c>
      <c r="N8" s="1" t="s">
        <v>6</v>
      </c>
      <c r="O8" s="1">
        <v>0</v>
      </c>
      <c r="P8" s="1" t="s">
        <v>6</v>
      </c>
      <c r="Q8" s="1">
        <v>0</v>
      </c>
      <c r="R8" s="1" t="s">
        <v>6</v>
      </c>
      <c r="S8" s="1">
        <v>0</v>
      </c>
      <c r="T8" s="1" t="s">
        <v>6</v>
      </c>
      <c r="U8" s="1">
        <v>0</v>
      </c>
      <c r="V8" s="1" t="s">
        <v>6</v>
      </c>
      <c r="W8" s="1">
        <v>4.7879999995500002</v>
      </c>
      <c r="X8" s="1" t="s">
        <v>6</v>
      </c>
      <c r="Y8" s="1">
        <v>0</v>
      </c>
      <c r="Z8" s="1" t="s">
        <v>6</v>
      </c>
      <c r="AA8" s="1">
        <v>0</v>
      </c>
      <c r="AB8" s="1" t="s">
        <v>6</v>
      </c>
      <c r="AC8" s="1">
        <v>99.989726409895738</v>
      </c>
      <c r="AD8" s="1" t="s">
        <v>6</v>
      </c>
      <c r="AE8" s="1">
        <v>0</v>
      </c>
      <c r="AF8" s="1" t="s">
        <v>6</v>
      </c>
      <c r="AG8" s="1">
        <v>0</v>
      </c>
      <c r="AH8" s="1" t="s">
        <v>6</v>
      </c>
      <c r="AI8" s="1">
        <v>0</v>
      </c>
      <c r="AJ8" s="14">
        <f t="shared" si="0"/>
        <v>0.99989726409895741</v>
      </c>
      <c r="AL8">
        <f t="shared" si="1"/>
        <v>4.7880000000000003</v>
      </c>
      <c r="AM8">
        <f t="shared" si="2"/>
        <v>4.7879999995500002</v>
      </c>
      <c r="AN8" s="100"/>
      <c r="AO8" s="11"/>
      <c r="AP8" s="44" t="s">
        <v>217</v>
      </c>
      <c r="AQ8" s="45">
        <v>1.333E-2</v>
      </c>
    </row>
    <row r="9" spans="2:43" x14ac:dyDescent="0.3">
      <c r="B9" s="4" t="s">
        <v>7</v>
      </c>
      <c r="C9" s="1">
        <v>0.92</v>
      </c>
      <c r="D9" s="1" t="s">
        <v>7</v>
      </c>
      <c r="E9" s="1">
        <v>2.2210000000000001</v>
      </c>
      <c r="F9" s="1" t="s">
        <v>7</v>
      </c>
      <c r="G9" s="1">
        <v>0.13</v>
      </c>
      <c r="H9" s="1" t="s">
        <v>7</v>
      </c>
      <c r="I9" s="1">
        <v>0.15</v>
      </c>
      <c r="J9" s="1" t="s">
        <v>7</v>
      </c>
      <c r="K9" s="1">
        <v>2</v>
      </c>
      <c r="L9" s="1" t="s">
        <v>7</v>
      </c>
      <c r="M9" s="1">
        <v>1.87</v>
      </c>
      <c r="N9" s="1" t="s">
        <v>7</v>
      </c>
      <c r="O9" s="1">
        <v>0</v>
      </c>
      <c r="P9" s="1" t="s">
        <v>7</v>
      </c>
      <c r="Q9" s="1">
        <v>1.87</v>
      </c>
      <c r="R9" s="1" t="s">
        <v>7</v>
      </c>
      <c r="S9" s="1">
        <v>0</v>
      </c>
      <c r="T9" s="1" t="s">
        <v>7</v>
      </c>
      <c r="U9" s="1">
        <v>0</v>
      </c>
      <c r="V9" s="1" t="s">
        <v>7</v>
      </c>
      <c r="W9" s="1">
        <v>2.1909999999999998</v>
      </c>
      <c r="X9" s="1" t="s">
        <v>7</v>
      </c>
      <c r="Y9" s="1">
        <v>0</v>
      </c>
      <c r="Z9" s="1" t="s">
        <v>7</v>
      </c>
      <c r="AA9" s="1">
        <v>0</v>
      </c>
      <c r="AB9" s="1" t="s">
        <v>7</v>
      </c>
      <c r="AC9" s="1">
        <v>99.98412698521679</v>
      </c>
      <c r="AD9" s="1" t="s">
        <v>7</v>
      </c>
      <c r="AE9" s="1">
        <v>0</v>
      </c>
      <c r="AF9" s="1" t="s">
        <v>7</v>
      </c>
      <c r="AG9" s="1">
        <v>0</v>
      </c>
      <c r="AH9" s="1" t="s">
        <v>7</v>
      </c>
      <c r="AI9" s="1">
        <v>0</v>
      </c>
      <c r="AJ9" s="14">
        <f t="shared" si="0"/>
        <v>0.99984126985216792</v>
      </c>
      <c r="AL9">
        <f t="shared" si="1"/>
        <v>4.0609999999999999</v>
      </c>
      <c r="AM9">
        <f t="shared" si="2"/>
        <v>4.0609999999999999</v>
      </c>
      <c r="AN9" s="100"/>
      <c r="AO9" s="11"/>
      <c r="AP9" s="44" t="s">
        <v>227</v>
      </c>
      <c r="AQ9" s="45">
        <v>15</v>
      </c>
    </row>
    <row r="10" spans="2:43" ht="15" thickBot="1" x14ac:dyDescent="0.35">
      <c r="B10" s="4" t="s">
        <v>8</v>
      </c>
      <c r="C10" s="1">
        <v>0.91</v>
      </c>
      <c r="D10" s="1" t="s">
        <v>8</v>
      </c>
      <c r="E10" s="1">
        <v>2.2269999999999999</v>
      </c>
      <c r="F10" s="1" t="s">
        <v>8</v>
      </c>
      <c r="G10" s="1">
        <v>0.13</v>
      </c>
      <c r="H10" s="1" t="s">
        <v>8</v>
      </c>
      <c r="I10" s="1">
        <v>0.15</v>
      </c>
      <c r="J10" s="1" t="s">
        <v>8</v>
      </c>
      <c r="K10" s="1">
        <v>2</v>
      </c>
      <c r="L10" s="1" t="s">
        <v>8</v>
      </c>
      <c r="M10" s="1">
        <v>3.66</v>
      </c>
      <c r="N10" s="1" t="s">
        <v>8</v>
      </c>
      <c r="O10" s="1">
        <v>0</v>
      </c>
      <c r="P10" s="1" t="s">
        <v>8</v>
      </c>
      <c r="Q10" s="1">
        <v>3.66</v>
      </c>
      <c r="R10" s="1" t="s">
        <v>8</v>
      </c>
      <c r="S10" s="1">
        <v>0</v>
      </c>
      <c r="T10" s="1" t="s">
        <v>8</v>
      </c>
      <c r="U10" s="1">
        <v>0</v>
      </c>
      <c r="V10" s="1" t="s">
        <v>8</v>
      </c>
      <c r="W10" s="1">
        <v>0.38699999999999957</v>
      </c>
      <c r="X10" s="1" t="s">
        <v>8</v>
      </c>
      <c r="Y10" s="1">
        <v>0</v>
      </c>
      <c r="Z10" s="1" t="s">
        <v>8</v>
      </c>
      <c r="AA10" s="1">
        <v>0</v>
      </c>
      <c r="AB10" s="1" t="s">
        <v>8</v>
      </c>
      <c r="AC10" s="1">
        <v>99.978527874105623</v>
      </c>
      <c r="AD10" s="1" t="s">
        <v>8</v>
      </c>
      <c r="AE10" s="1">
        <v>0</v>
      </c>
      <c r="AF10" s="1" t="s">
        <v>8</v>
      </c>
      <c r="AG10" s="1">
        <v>0</v>
      </c>
      <c r="AH10" s="1" t="s">
        <v>8</v>
      </c>
      <c r="AI10" s="1">
        <v>0</v>
      </c>
      <c r="AJ10" s="14">
        <f t="shared" si="0"/>
        <v>0.99978527874105627</v>
      </c>
      <c r="AL10">
        <f t="shared" si="1"/>
        <v>4.0469999999999997</v>
      </c>
      <c r="AM10">
        <f t="shared" si="2"/>
        <v>4.0469999999999997</v>
      </c>
      <c r="AN10" s="100"/>
      <c r="AO10" s="11"/>
      <c r="AP10" s="46" t="s">
        <v>269</v>
      </c>
      <c r="AQ10" s="107">
        <v>0.22</v>
      </c>
    </row>
    <row r="11" spans="2:43" x14ac:dyDescent="0.3">
      <c r="B11" s="4" t="s">
        <v>9</v>
      </c>
      <c r="C11" s="1">
        <v>2</v>
      </c>
      <c r="D11" s="1" t="s">
        <v>9</v>
      </c>
      <c r="E11" s="1">
        <v>8.3230000000000004</v>
      </c>
      <c r="F11" s="1" t="s">
        <v>9</v>
      </c>
      <c r="G11" s="1">
        <v>0.13</v>
      </c>
      <c r="H11" s="1" t="s">
        <v>9</v>
      </c>
      <c r="I11" s="1">
        <v>0.15</v>
      </c>
      <c r="J11" s="1" t="s">
        <v>9</v>
      </c>
      <c r="K11" s="1">
        <v>2</v>
      </c>
      <c r="L11" s="1" t="s">
        <v>9</v>
      </c>
      <c r="M11" s="1">
        <v>4</v>
      </c>
      <c r="N11" s="1" t="s">
        <v>9</v>
      </c>
      <c r="O11" s="1">
        <v>0</v>
      </c>
      <c r="P11" s="1" t="s">
        <v>9</v>
      </c>
      <c r="Q11" s="1">
        <v>4</v>
      </c>
      <c r="R11" s="1" t="s">
        <v>9</v>
      </c>
      <c r="S11" s="1">
        <v>0</v>
      </c>
      <c r="T11" s="1" t="s">
        <v>9</v>
      </c>
      <c r="U11" s="1">
        <v>0</v>
      </c>
      <c r="V11" s="1" t="s">
        <v>9</v>
      </c>
      <c r="W11" s="1">
        <v>8.3230000000000004</v>
      </c>
      <c r="X11" s="1" t="s">
        <v>9</v>
      </c>
      <c r="Y11" s="1">
        <v>0</v>
      </c>
      <c r="Z11" s="1" t="s">
        <v>9</v>
      </c>
      <c r="AA11" s="1">
        <v>0</v>
      </c>
      <c r="AB11" s="1" t="s">
        <v>9</v>
      </c>
      <c r="AC11" s="1">
        <v>99.972929076544673</v>
      </c>
      <c r="AD11" s="1" t="s">
        <v>9</v>
      </c>
      <c r="AE11" s="1">
        <v>0</v>
      </c>
      <c r="AF11" s="1" t="s">
        <v>9</v>
      </c>
      <c r="AG11" s="1">
        <v>0</v>
      </c>
      <c r="AH11" s="1" t="s">
        <v>9</v>
      </c>
      <c r="AI11" s="1">
        <v>0</v>
      </c>
      <c r="AJ11" s="14">
        <f t="shared" si="0"/>
        <v>0.9997292907654467</v>
      </c>
      <c r="AL11">
        <f t="shared" si="1"/>
        <v>12.323</v>
      </c>
      <c r="AM11">
        <f t="shared" si="2"/>
        <v>12.323</v>
      </c>
      <c r="AN11" s="100"/>
      <c r="AO11" s="11"/>
    </row>
    <row r="12" spans="2:43" x14ac:dyDescent="0.3">
      <c r="B12" s="4" t="s">
        <v>10</v>
      </c>
      <c r="C12" s="1">
        <v>3.14</v>
      </c>
      <c r="D12" s="1" t="s">
        <v>10</v>
      </c>
      <c r="E12" s="1">
        <v>6.7839999999999998</v>
      </c>
      <c r="F12" s="1" t="s">
        <v>10</v>
      </c>
      <c r="G12" s="1">
        <v>0.13</v>
      </c>
      <c r="H12" s="1" t="s">
        <v>10</v>
      </c>
      <c r="I12" s="1">
        <v>0.15</v>
      </c>
      <c r="J12" s="1" t="s">
        <v>10</v>
      </c>
      <c r="K12" s="1">
        <v>2</v>
      </c>
      <c r="L12" s="1" t="s">
        <v>10</v>
      </c>
      <c r="M12" s="1">
        <v>5.43</v>
      </c>
      <c r="N12" s="1" t="s">
        <v>10</v>
      </c>
      <c r="O12" s="1">
        <v>0</v>
      </c>
      <c r="P12" s="1" t="s">
        <v>10</v>
      </c>
      <c r="Q12" s="1">
        <v>5.43</v>
      </c>
      <c r="R12" s="1" t="s">
        <v>10</v>
      </c>
      <c r="S12" s="1">
        <v>0</v>
      </c>
      <c r="T12" s="1" t="s">
        <v>10</v>
      </c>
      <c r="U12" s="1">
        <v>0</v>
      </c>
      <c r="V12" s="1" t="s">
        <v>10</v>
      </c>
      <c r="W12" s="1">
        <v>7.6340000000000003</v>
      </c>
      <c r="X12" s="1" t="s">
        <v>10</v>
      </c>
      <c r="Y12" s="1">
        <v>0</v>
      </c>
      <c r="Z12" s="1" t="s">
        <v>10</v>
      </c>
      <c r="AA12" s="1">
        <v>0</v>
      </c>
      <c r="AB12" s="1" t="s">
        <v>10</v>
      </c>
      <c r="AC12" s="1">
        <v>99.96733059251639</v>
      </c>
      <c r="AD12" s="1" t="s">
        <v>10</v>
      </c>
      <c r="AE12" s="1">
        <v>0</v>
      </c>
      <c r="AF12" s="1" t="s">
        <v>10</v>
      </c>
      <c r="AG12" s="1">
        <v>0</v>
      </c>
      <c r="AH12" s="1" t="s">
        <v>10</v>
      </c>
      <c r="AI12" s="1">
        <v>0</v>
      </c>
      <c r="AJ12" s="14">
        <f t="shared" si="0"/>
        <v>0.9996733059251639</v>
      </c>
      <c r="AL12">
        <f t="shared" si="1"/>
        <v>13.064</v>
      </c>
      <c r="AM12">
        <f t="shared" si="2"/>
        <v>13.064</v>
      </c>
      <c r="AN12" s="100"/>
      <c r="AO12" s="11"/>
      <c r="AP12" s="117" t="s">
        <v>272</v>
      </c>
      <c r="AQ12" s="119">
        <v>0.9</v>
      </c>
    </row>
    <row r="13" spans="2:43" x14ac:dyDescent="0.3">
      <c r="B13" s="4" t="s">
        <v>11</v>
      </c>
      <c r="C13" s="1">
        <v>4.07</v>
      </c>
      <c r="D13" s="1" t="s">
        <v>11</v>
      </c>
      <c r="E13" s="1">
        <v>8.7970000000000006</v>
      </c>
      <c r="F13" s="1" t="s">
        <v>11</v>
      </c>
      <c r="G13" s="1">
        <v>0.13</v>
      </c>
      <c r="H13" s="1" t="s">
        <v>11</v>
      </c>
      <c r="I13" s="1">
        <v>0.15</v>
      </c>
      <c r="J13" s="1" t="s">
        <v>11</v>
      </c>
      <c r="K13" s="1">
        <v>2</v>
      </c>
      <c r="L13" s="1" t="s">
        <v>11</v>
      </c>
      <c r="M13" s="1">
        <v>13.81</v>
      </c>
      <c r="N13" s="1" t="s">
        <v>11</v>
      </c>
      <c r="O13" s="1">
        <v>0</v>
      </c>
      <c r="P13" s="1" t="s">
        <v>11</v>
      </c>
      <c r="Q13" s="1">
        <v>13.81</v>
      </c>
      <c r="R13" s="1" t="s">
        <v>11</v>
      </c>
      <c r="S13" s="1">
        <v>0</v>
      </c>
      <c r="T13" s="1" t="s">
        <v>11</v>
      </c>
      <c r="U13" s="1">
        <v>0</v>
      </c>
      <c r="V13" s="1" t="s">
        <v>11</v>
      </c>
      <c r="W13" s="1">
        <v>3.1270000000000007</v>
      </c>
      <c r="X13" s="1" t="s">
        <v>11</v>
      </c>
      <c r="Y13" s="1">
        <v>0</v>
      </c>
      <c r="Z13" s="1" t="s">
        <v>11</v>
      </c>
      <c r="AA13" s="1">
        <v>0</v>
      </c>
      <c r="AB13" s="1" t="s">
        <v>11</v>
      </c>
      <c r="AC13" s="1">
        <v>99.961732422003209</v>
      </c>
      <c r="AD13" s="1" t="s">
        <v>11</v>
      </c>
      <c r="AE13" s="1">
        <v>0</v>
      </c>
      <c r="AF13" s="1" t="s">
        <v>11</v>
      </c>
      <c r="AG13" s="1">
        <v>0</v>
      </c>
      <c r="AH13" s="1" t="s">
        <v>11</v>
      </c>
      <c r="AI13" s="1">
        <v>0</v>
      </c>
      <c r="AJ13" s="14">
        <f t="shared" si="0"/>
        <v>0.99961732422003213</v>
      </c>
      <c r="AL13">
        <f t="shared" si="1"/>
        <v>16.937000000000001</v>
      </c>
      <c r="AM13">
        <f t="shared" si="2"/>
        <v>16.937000000000001</v>
      </c>
      <c r="AN13" s="100"/>
      <c r="AO13" s="11"/>
      <c r="AP13" s="117" t="s">
        <v>273</v>
      </c>
      <c r="AQ13" s="119">
        <v>0.94</v>
      </c>
    </row>
    <row r="14" spans="2:43" x14ac:dyDescent="0.3">
      <c r="B14" s="4" t="s">
        <v>12</v>
      </c>
      <c r="C14" s="1">
        <v>3.91</v>
      </c>
      <c r="D14" s="1" t="s">
        <v>12</v>
      </c>
      <c r="E14" s="1">
        <v>1.4970000000000001</v>
      </c>
      <c r="F14" s="1" t="s">
        <v>12</v>
      </c>
      <c r="G14" s="1">
        <v>0.13</v>
      </c>
      <c r="H14" s="1" t="s">
        <v>12</v>
      </c>
      <c r="I14" s="1">
        <v>0.15</v>
      </c>
      <c r="J14" s="1" t="s">
        <v>12</v>
      </c>
      <c r="K14" s="1">
        <v>2</v>
      </c>
      <c r="L14" s="1" t="s">
        <v>12</v>
      </c>
      <c r="M14" s="1">
        <v>12.38</v>
      </c>
      <c r="N14" s="1" t="s">
        <v>12</v>
      </c>
      <c r="O14" s="1">
        <v>0</v>
      </c>
      <c r="P14" s="1" t="s">
        <v>12</v>
      </c>
      <c r="Q14" s="1">
        <v>12.38</v>
      </c>
      <c r="R14" s="1" t="s">
        <v>12</v>
      </c>
      <c r="S14" s="1">
        <v>0</v>
      </c>
      <c r="T14" s="1" t="s">
        <v>12</v>
      </c>
      <c r="U14" s="1">
        <v>0</v>
      </c>
      <c r="V14" s="1" t="s">
        <v>12</v>
      </c>
      <c r="W14" s="1">
        <v>0</v>
      </c>
      <c r="X14" s="1" t="s">
        <v>12</v>
      </c>
      <c r="Y14" s="1">
        <v>3.0630000000000006</v>
      </c>
      <c r="Z14" s="1" t="s">
        <v>12</v>
      </c>
      <c r="AA14" s="1">
        <v>0</v>
      </c>
      <c r="AB14" s="1" t="s">
        <v>12</v>
      </c>
      <c r="AC14" s="1">
        <v>99.956134564987579</v>
      </c>
      <c r="AD14" s="1" t="s">
        <v>12</v>
      </c>
      <c r="AE14" s="1">
        <v>0</v>
      </c>
      <c r="AF14" s="1" t="s">
        <v>12</v>
      </c>
      <c r="AG14" s="1">
        <v>0</v>
      </c>
      <c r="AH14" s="1" t="s">
        <v>12</v>
      </c>
      <c r="AI14" s="1">
        <v>0</v>
      </c>
      <c r="AJ14" s="14">
        <f t="shared" si="0"/>
        <v>0.99956134564987575</v>
      </c>
      <c r="AL14">
        <f t="shared" si="1"/>
        <v>12.38</v>
      </c>
      <c r="AM14">
        <f t="shared" si="2"/>
        <v>12.38</v>
      </c>
      <c r="AN14" s="100"/>
      <c r="AO14" s="11"/>
      <c r="AP14" s="117" t="s">
        <v>294</v>
      </c>
      <c r="AQ14" s="119">
        <v>0.95</v>
      </c>
    </row>
    <row r="15" spans="2:43" x14ac:dyDescent="0.3">
      <c r="B15" s="4" t="s">
        <v>13</v>
      </c>
      <c r="C15" s="1">
        <v>6.02</v>
      </c>
      <c r="D15" s="1" t="s">
        <v>13</v>
      </c>
      <c r="E15" s="1">
        <v>1.3979999999999999</v>
      </c>
      <c r="F15" s="1" t="s">
        <v>13</v>
      </c>
      <c r="G15" s="1">
        <v>0.13</v>
      </c>
      <c r="H15" s="1" t="s">
        <v>13</v>
      </c>
      <c r="I15" s="1">
        <v>0.15</v>
      </c>
      <c r="J15" s="1" t="s">
        <v>13</v>
      </c>
      <c r="K15" s="1">
        <v>2</v>
      </c>
      <c r="L15" s="1" t="s">
        <v>13</v>
      </c>
      <c r="M15" s="1">
        <v>17.25</v>
      </c>
      <c r="N15" s="1" t="s">
        <v>13</v>
      </c>
      <c r="O15" s="1">
        <v>0</v>
      </c>
      <c r="P15" s="1" t="s">
        <v>13</v>
      </c>
      <c r="Q15" s="1">
        <v>17.25</v>
      </c>
      <c r="R15" s="1" t="s">
        <v>13</v>
      </c>
      <c r="S15" s="1">
        <v>0</v>
      </c>
      <c r="T15" s="1" t="s">
        <v>13</v>
      </c>
      <c r="U15" s="1">
        <v>0</v>
      </c>
      <c r="V15" s="1" t="s">
        <v>13</v>
      </c>
      <c r="W15" s="1">
        <v>0</v>
      </c>
      <c r="X15" s="1" t="s">
        <v>13</v>
      </c>
      <c r="Y15" s="1">
        <v>3.8120000000000012</v>
      </c>
      <c r="Z15" s="1" t="s">
        <v>13</v>
      </c>
      <c r="AA15" s="1">
        <v>0</v>
      </c>
      <c r="AB15" s="1" t="s">
        <v>13</v>
      </c>
      <c r="AC15" s="1">
        <v>99.95053702145195</v>
      </c>
      <c r="AD15" s="1" t="s">
        <v>13</v>
      </c>
      <c r="AE15" s="1">
        <v>0</v>
      </c>
      <c r="AF15" s="1" t="s">
        <v>13</v>
      </c>
      <c r="AG15" s="1">
        <v>0</v>
      </c>
      <c r="AH15" s="1" t="s">
        <v>13</v>
      </c>
      <c r="AI15" s="1">
        <v>0</v>
      </c>
      <c r="AJ15" s="14">
        <f t="shared" si="0"/>
        <v>0.99950537021451946</v>
      </c>
      <c r="AL15">
        <f t="shared" si="1"/>
        <v>17.25</v>
      </c>
      <c r="AM15">
        <f t="shared" si="2"/>
        <v>17.25</v>
      </c>
      <c r="AN15" s="100"/>
      <c r="AO15" s="11"/>
      <c r="AQ15" s="119">
        <f>AQ13*AQ14</f>
        <v>0.8929999999999999</v>
      </c>
    </row>
    <row r="16" spans="2:43" x14ac:dyDescent="0.3">
      <c r="B16" s="4" t="s">
        <v>14</v>
      </c>
      <c r="C16" s="1">
        <v>5.73</v>
      </c>
      <c r="D16" s="1" t="s">
        <v>14</v>
      </c>
      <c r="E16" s="1">
        <v>7.1909999999999998</v>
      </c>
      <c r="F16" s="1" t="s">
        <v>14</v>
      </c>
      <c r="G16" s="1">
        <v>0.13</v>
      </c>
      <c r="H16" s="1" t="s">
        <v>14</v>
      </c>
      <c r="I16" s="1">
        <v>0.15</v>
      </c>
      <c r="J16" s="1" t="s">
        <v>14</v>
      </c>
      <c r="K16" s="1">
        <v>2</v>
      </c>
      <c r="L16" s="1" t="s">
        <v>14</v>
      </c>
      <c r="M16" s="1">
        <v>15.7</v>
      </c>
      <c r="N16" s="1" t="s">
        <v>14</v>
      </c>
      <c r="O16" s="1">
        <v>0</v>
      </c>
      <c r="P16" s="1" t="s">
        <v>14</v>
      </c>
      <c r="Q16" s="1">
        <v>15.7</v>
      </c>
      <c r="R16" s="1" t="s">
        <v>14</v>
      </c>
      <c r="S16" s="1">
        <v>0</v>
      </c>
      <c r="T16" s="1" t="s">
        <v>14</v>
      </c>
      <c r="U16" s="1">
        <v>0</v>
      </c>
      <c r="V16" s="1" t="s">
        <v>14</v>
      </c>
      <c r="W16" s="1">
        <v>2.9510000000000005</v>
      </c>
      <c r="X16" s="1" t="s">
        <v>14</v>
      </c>
      <c r="Y16" s="1">
        <v>0</v>
      </c>
      <c r="Z16" s="1" t="s">
        <v>14</v>
      </c>
      <c r="AA16" s="1">
        <v>0</v>
      </c>
      <c r="AB16" s="1" t="s">
        <v>14</v>
      </c>
      <c r="AC16" s="1">
        <v>99.944939791378758</v>
      </c>
      <c r="AD16" s="1" t="s">
        <v>14</v>
      </c>
      <c r="AE16" s="1">
        <v>0</v>
      </c>
      <c r="AF16" s="1" t="s">
        <v>14</v>
      </c>
      <c r="AG16" s="1">
        <v>0</v>
      </c>
      <c r="AH16" s="1" t="s">
        <v>14</v>
      </c>
      <c r="AI16" s="1">
        <v>0</v>
      </c>
      <c r="AJ16" s="14">
        <f t="shared" si="0"/>
        <v>0.99944939791378762</v>
      </c>
      <c r="AL16">
        <f t="shared" si="1"/>
        <v>18.651</v>
      </c>
      <c r="AM16">
        <f t="shared" si="2"/>
        <v>18.651</v>
      </c>
      <c r="AN16" s="100"/>
      <c r="AO16" s="11"/>
      <c r="AQ16" s="125">
        <f>1/AQ15</f>
        <v>1.1198208286674134</v>
      </c>
    </row>
    <row r="17" spans="2:44" x14ac:dyDescent="0.3">
      <c r="B17" s="4" t="s">
        <v>15</v>
      </c>
      <c r="C17" s="1">
        <v>2.04</v>
      </c>
      <c r="D17" s="1" t="s">
        <v>15</v>
      </c>
      <c r="E17" s="1">
        <v>4.4059999999999997</v>
      </c>
      <c r="F17" s="1" t="s">
        <v>15</v>
      </c>
      <c r="G17" s="1">
        <v>0.13</v>
      </c>
      <c r="H17" s="1" t="s">
        <v>15</v>
      </c>
      <c r="I17" s="1">
        <v>0.15</v>
      </c>
      <c r="J17" s="1" t="s">
        <v>15</v>
      </c>
      <c r="K17" s="1">
        <v>2</v>
      </c>
      <c r="L17" s="1" t="s">
        <v>15</v>
      </c>
      <c r="M17" s="1">
        <v>9.6199999999999992</v>
      </c>
      <c r="N17" s="1" t="s">
        <v>15</v>
      </c>
      <c r="O17" s="1">
        <v>5.5060208621242168E-2</v>
      </c>
      <c r="P17" s="1" t="s">
        <v>15</v>
      </c>
      <c r="Q17" s="1">
        <v>9.6199999999999992</v>
      </c>
      <c r="R17" s="1" t="s">
        <v>15</v>
      </c>
      <c r="S17" s="1">
        <v>0</v>
      </c>
      <c r="T17" s="1" t="s">
        <v>15</v>
      </c>
      <c r="U17" s="1">
        <v>0</v>
      </c>
      <c r="V17" s="1" t="s">
        <v>15</v>
      </c>
      <c r="W17" s="1">
        <v>0</v>
      </c>
      <c r="X17" s="1" t="s">
        <v>15</v>
      </c>
      <c r="Y17" s="1">
        <v>1.0723424315551586</v>
      </c>
      <c r="Z17" s="1" t="s">
        <v>15</v>
      </c>
      <c r="AA17" s="1">
        <v>0</v>
      </c>
      <c r="AB17" s="1" t="s">
        <v>15</v>
      </c>
      <c r="AC17" s="1">
        <v>99.994403083371694</v>
      </c>
      <c r="AD17" s="1" t="s">
        <v>15</v>
      </c>
      <c r="AE17" s="1">
        <v>0</v>
      </c>
      <c r="AF17" s="1" t="s">
        <v>15</v>
      </c>
      <c r="AG17" s="1">
        <v>0</v>
      </c>
      <c r="AH17" s="1" t="s">
        <v>15</v>
      </c>
      <c r="AI17" s="1">
        <v>0</v>
      </c>
      <c r="AJ17" s="14">
        <f t="shared" si="0"/>
        <v>0.99994403083371697</v>
      </c>
      <c r="AL17">
        <f t="shared" si="1"/>
        <v>9.6134026401764014</v>
      </c>
      <c r="AM17">
        <f t="shared" si="2"/>
        <v>9.6199999999999992</v>
      </c>
      <c r="AN17" s="100"/>
      <c r="AO17" s="11"/>
      <c r="AQ17" s="125">
        <f>1-AQ15</f>
        <v>0.1070000000000001</v>
      </c>
    </row>
    <row r="18" spans="2:44" x14ac:dyDescent="0.3">
      <c r="B18" s="4" t="s">
        <v>16</v>
      </c>
      <c r="C18" s="1">
        <v>3.5</v>
      </c>
      <c r="D18" s="1" t="s">
        <v>16</v>
      </c>
      <c r="E18" s="1">
        <v>7.5510000000000002</v>
      </c>
      <c r="F18" s="1" t="s">
        <v>16</v>
      </c>
      <c r="G18" s="1">
        <v>0.13</v>
      </c>
      <c r="H18" s="1" t="s">
        <v>16</v>
      </c>
      <c r="I18" s="1">
        <v>0.15</v>
      </c>
      <c r="J18" s="1" t="s">
        <v>16</v>
      </c>
      <c r="K18" s="1">
        <v>2</v>
      </c>
      <c r="L18" s="1" t="s">
        <v>16</v>
      </c>
      <c r="M18" s="1">
        <v>9.92</v>
      </c>
      <c r="N18" s="1" t="s">
        <v>16</v>
      </c>
      <c r="O18" s="1">
        <v>0</v>
      </c>
      <c r="P18" s="1" t="s">
        <v>16</v>
      </c>
      <c r="Q18" s="1">
        <v>9.92</v>
      </c>
      <c r="R18" s="1" t="s">
        <v>16</v>
      </c>
      <c r="S18" s="1">
        <v>0</v>
      </c>
      <c r="T18" s="1" t="s">
        <v>16</v>
      </c>
      <c r="U18" s="1">
        <v>0</v>
      </c>
      <c r="V18" s="1" t="s">
        <v>16</v>
      </c>
      <c r="W18" s="1">
        <v>4.6310000000000002</v>
      </c>
      <c r="X18" s="1" t="s">
        <v>16</v>
      </c>
      <c r="Y18" s="1">
        <v>0</v>
      </c>
      <c r="Z18" s="1" t="s">
        <v>16</v>
      </c>
      <c r="AA18" s="1">
        <v>0</v>
      </c>
      <c r="AB18" s="1" t="s">
        <v>16</v>
      </c>
      <c r="AC18" s="1">
        <v>99.988803396799028</v>
      </c>
      <c r="AD18" s="1" t="s">
        <v>16</v>
      </c>
      <c r="AE18" s="1">
        <v>0</v>
      </c>
      <c r="AF18" s="1" t="s">
        <v>16</v>
      </c>
      <c r="AG18" s="1">
        <v>0</v>
      </c>
      <c r="AH18" s="1" t="s">
        <v>16</v>
      </c>
      <c r="AI18" s="1">
        <v>0</v>
      </c>
      <c r="AJ18" s="14">
        <f t="shared" si="0"/>
        <v>0.99988803396799031</v>
      </c>
      <c r="AL18">
        <f t="shared" si="1"/>
        <v>14.551</v>
      </c>
      <c r="AM18">
        <f t="shared" si="2"/>
        <v>14.551</v>
      </c>
      <c r="AN18" s="100"/>
      <c r="AO18" s="11"/>
    </row>
    <row r="19" spans="2:44" x14ac:dyDescent="0.3">
      <c r="B19" s="4" t="s">
        <v>17</v>
      </c>
      <c r="C19" s="1">
        <v>3.25</v>
      </c>
      <c r="D19" s="1" t="s">
        <v>17</v>
      </c>
      <c r="E19" s="1">
        <v>5.9450000000000003</v>
      </c>
      <c r="F19" s="1" t="s">
        <v>17</v>
      </c>
      <c r="G19" s="1">
        <v>0.13</v>
      </c>
      <c r="H19" s="1" t="s">
        <v>17</v>
      </c>
      <c r="I19" s="1">
        <v>0.15</v>
      </c>
      <c r="J19" s="1" t="s">
        <v>17</v>
      </c>
      <c r="K19" s="1">
        <v>2</v>
      </c>
      <c r="L19" s="1" t="s">
        <v>17</v>
      </c>
      <c r="M19" s="1">
        <v>3.97</v>
      </c>
      <c r="N19" s="1" t="s">
        <v>17</v>
      </c>
      <c r="O19" s="1">
        <v>1.1196603200971822E-2</v>
      </c>
      <c r="P19" s="1" t="s">
        <v>17</v>
      </c>
      <c r="Q19" s="1">
        <v>3.97</v>
      </c>
      <c r="R19" s="1" t="s">
        <v>17</v>
      </c>
      <c r="S19" s="1">
        <v>0</v>
      </c>
      <c r="T19" s="1" t="s">
        <v>17</v>
      </c>
      <c r="U19" s="1">
        <v>0</v>
      </c>
      <c r="V19" s="1" t="s">
        <v>17</v>
      </c>
      <c r="W19" s="1">
        <v>8.4875381894747726</v>
      </c>
      <c r="X19" s="1" t="s">
        <v>17</v>
      </c>
      <c r="Y19" s="1">
        <v>0</v>
      </c>
      <c r="Z19" s="1" t="s">
        <v>17</v>
      </c>
      <c r="AA19" s="1">
        <v>0</v>
      </c>
      <c r="AB19" s="1" t="s">
        <v>17</v>
      </c>
      <c r="AC19" s="1">
        <v>99.994400627009782</v>
      </c>
      <c r="AD19" s="1" t="s">
        <v>17</v>
      </c>
      <c r="AE19" s="1">
        <v>0</v>
      </c>
      <c r="AF19" s="1" t="s">
        <v>17</v>
      </c>
      <c r="AG19" s="1">
        <v>0</v>
      </c>
      <c r="AH19" s="1" t="s">
        <v>17</v>
      </c>
      <c r="AI19" s="1">
        <v>0</v>
      </c>
      <c r="AJ19" s="14">
        <f t="shared" si="0"/>
        <v>0.99994400627009783</v>
      </c>
      <c r="AL19">
        <f t="shared" si="1"/>
        <v>12.456196603200972</v>
      </c>
      <c r="AM19">
        <f t="shared" si="2"/>
        <v>12.457538189474773</v>
      </c>
      <c r="AN19" s="100"/>
      <c r="AO19" s="11"/>
    </row>
    <row r="20" spans="2:44" x14ac:dyDescent="0.3">
      <c r="B20" s="4" t="s">
        <v>18</v>
      </c>
      <c r="C20" s="1">
        <v>5.51</v>
      </c>
      <c r="D20" s="1" t="s">
        <v>18</v>
      </c>
      <c r="E20" s="1">
        <v>4.5010000000000003</v>
      </c>
      <c r="F20" s="1" t="s">
        <v>18</v>
      </c>
      <c r="G20" s="1">
        <v>0.13</v>
      </c>
      <c r="H20" s="1" t="s">
        <v>18</v>
      </c>
      <c r="I20" s="1">
        <v>0.15</v>
      </c>
      <c r="J20" s="1" t="s">
        <v>18</v>
      </c>
      <c r="K20" s="1">
        <v>1</v>
      </c>
      <c r="L20" s="1" t="s">
        <v>18</v>
      </c>
      <c r="M20" s="1">
        <v>2.06</v>
      </c>
      <c r="N20" s="1" t="s">
        <v>18</v>
      </c>
      <c r="O20" s="1">
        <v>0</v>
      </c>
      <c r="P20" s="1" t="s">
        <v>18</v>
      </c>
      <c r="Q20" s="1">
        <v>2.06</v>
      </c>
      <c r="R20" s="1" t="s">
        <v>18</v>
      </c>
      <c r="S20" s="1">
        <v>0</v>
      </c>
      <c r="T20" s="1" t="s">
        <v>18</v>
      </c>
      <c r="U20" s="1">
        <v>9.9555555555555575</v>
      </c>
      <c r="V20" s="1" t="s">
        <v>18</v>
      </c>
      <c r="W20" s="1">
        <v>0</v>
      </c>
      <c r="X20" s="1" t="s">
        <v>18</v>
      </c>
      <c r="Y20" s="1">
        <v>0</v>
      </c>
      <c r="Z20" s="1" t="s">
        <v>18</v>
      </c>
      <c r="AA20" s="1">
        <v>0</v>
      </c>
      <c r="AB20" s="1" t="s">
        <v>18</v>
      </c>
      <c r="AC20" s="1">
        <v>90.033245385019114</v>
      </c>
      <c r="AD20" s="1" t="s">
        <v>18</v>
      </c>
      <c r="AE20" s="1">
        <v>4.5010000000000003</v>
      </c>
      <c r="AF20" s="1" t="s">
        <v>18</v>
      </c>
      <c r="AG20" s="1">
        <v>0</v>
      </c>
      <c r="AH20" s="1" t="s">
        <v>18</v>
      </c>
      <c r="AI20" s="1">
        <v>0</v>
      </c>
      <c r="AJ20" s="14">
        <f t="shared" si="0"/>
        <v>0.90033245385019112</v>
      </c>
      <c r="AL20">
        <f t="shared" si="1"/>
        <v>11.02</v>
      </c>
      <c r="AM20">
        <f t="shared" si="2"/>
        <v>12.015555555555558</v>
      </c>
      <c r="AN20" s="100"/>
      <c r="AO20" s="11"/>
    </row>
    <row r="21" spans="2:44" x14ac:dyDescent="0.3">
      <c r="B21" s="4" t="s">
        <v>19</v>
      </c>
      <c r="C21" s="1">
        <v>2.71</v>
      </c>
      <c r="D21" s="1" t="s">
        <v>19</v>
      </c>
      <c r="E21" s="1">
        <v>3.5840000000000001</v>
      </c>
      <c r="F21" s="1" t="s">
        <v>19</v>
      </c>
      <c r="G21" s="1">
        <v>0.13</v>
      </c>
      <c r="H21" s="1" t="s">
        <v>19</v>
      </c>
      <c r="I21" s="1">
        <v>0.15</v>
      </c>
      <c r="J21" s="1" t="s">
        <v>19</v>
      </c>
      <c r="K21" s="1">
        <v>1</v>
      </c>
      <c r="L21" s="1" t="s">
        <v>19</v>
      </c>
      <c r="M21" s="1">
        <v>4.5E-10</v>
      </c>
      <c r="N21" s="1" t="s">
        <v>19</v>
      </c>
      <c r="O21" s="1">
        <v>0</v>
      </c>
      <c r="P21" s="1" t="s">
        <v>19</v>
      </c>
      <c r="Q21" s="1">
        <v>0</v>
      </c>
      <c r="R21" s="1" t="s">
        <v>19</v>
      </c>
      <c r="S21" s="1">
        <v>0</v>
      </c>
      <c r="T21" s="1" t="s">
        <v>19</v>
      </c>
      <c r="U21" s="1">
        <v>6.0222222217222221</v>
      </c>
      <c r="V21" s="1" t="s">
        <v>19</v>
      </c>
      <c r="W21" s="1">
        <v>0</v>
      </c>
      <c r="X21" s="1" t="s">
        <v>19</v>
      </c>
      <c r="Y21" s="1">
        <v>0</v>
      </c>
      <c r="Z21" s="1" t="s">
        <v>19</v>
      </c>
      <c r="AA21" s="1">
        <v>0</v>
      </c>
      <c r="AB21" s="1" t="s">
        <v>19</v>
      </c>
      <c r="AC21" s="1">
        <v>84.005981301555337</v>
      </c>
      <c r="AD21" s="1" t="s">
        <v>19</v>
      </c>
      <c r="AE21" s="1">
        <v>3.5840000000000001</v>
      </c>
      <c r="AF21" s="1" t="s">
        <v>19</v>
      </c>
      <c r="AG21" s="1">
        <v>0</v>
      </c>
      <c r="AH21" s="1" t="s">
        <v>19</v>
      </c>
      <c r="AI21" s="1">
        <v>0</v>
      </c>
      <c r="AJ21" s="14">
        <f t="shared" si="0"/>
        <v>0.84005981301555332</v>
      </c>
      <c r="AL21">
        <f t="shared" si="1"/>
        <v>5.42</v>
      </c>
      <c r="AM21">
        <f t="shared" si="2"/>
        <v>6.0222222217222221</v>
      </c>
      <c r="AN21" s="100"/>
      <c r="AO21" s="11"/>
      <c r="AP21">
        <f>1/0.94</f>
        <v>1.0638297872340425</v>
      </c>
    </row>
    <row r="22" spans="2:44" x14ac:dyDescent="0.3">
      <c r="B22" s="4" t="s">
        <v>20</v>
      </c>
      <c r="C22" s="1">
        <v>10.64</v>
      </c>
      <c r="D22" s="1" t="s">
        <v>20</v>
      </c>
      <c r="E22" s="1">
        <v>3.871</v>
      </c>
      <c r="F22" s="1" t="s">
        <v>20</v>
      </c>
      <c r="G22" s="1">
        <v>0.13</v>
      </c>
      <c r="H22" s="1" t="s">
        <v>20</v>
      </c>
      <c r="I22" s="1">
        <v>0.15</v>
      </c>
      <c r="J22" s="1" t="s">
        <v>20</v>
      </c>
      <c r="K22" s="1">
        <v>1</v>
      </c>
      <c r="L22" s="1" t="s">
        <v>20</v>
      </c>
      <c r="M22" s="1">
        <v>4.5E-10</v>
      </c>
      <c r="N22" s="1" t="s">
        <v>20</v>
      </c>
      <c r="O22" s="1">
        <v>0</v>
      </c>
      <c r="P22" s="1" t="s">
        <v>20</v>
      </c>
      <c r="Q22" s="1">
        <v>0</v>
      </c>
      <c r="R22" s="1" t="s">
        <v>20</v>
      </c>
      <c r="S22" s="1">
        <v>0</v>
      </c>
      <c r="T22" s="1" t="s">
        <v>20</v>
      </c>
      <c r="U22" s="1">
        <v>23.644444443944447</v>
      </c>
      <c r="V22" s="1" t="s">
        <v>20</v>
      </c>
      <c r="W22" s="1">
        <v>0</v>
      </c>
      <c r="X22" s="1" t="s">
        <v>20</v>
      </c>
      <c r="Y22" s="1">
        <v>0</v>
      </c>
      <c r="Z22" s="1" t="s">
        <v>20</v>
      </c>
      <c r="AA22" s="1">
        <v>0</v>
      </c>
      <c r="AB22" s="1" t="s">
        <v>20</v>
      </c>
      <c r="AC22" s="1">
        <v>60.35683252265801</v>
      </c>
      <c r="AD22" s="1" t="s">
        <v>20</v>
      </c>
      <c r="AE22" s="1">
        <v>3.871</v>
      </c>
      <c r="AF22" s="1" t="s">
        <v>20</v>
      </c>
      <c r="AG22" s="1">
        <v>0</v>
      </c>
      <c r="AH22" s="1" t="s">
        <v>20</v>
      </c>
      <c r="AI22" s="1">
        <v>0</v>
      </c>
      <c r="AJ22" s="14">
        <f t="shared" si="0"/>
        <v>0.6035683252265801</v>
      </c>
      <c r="AL22">
        <f t="shared" si="1"/>
        <v>21.28</v>
      </c>
      <c r="AM22">
        <f t="shared" si="2"/>
        <v>23.644444443944447</v>
      </c>
      <c r="AN22" s="100"/>
      <c r="AO22" s="11"/>
      <c r="AP22">
        <f>AP21*0.95</f>
        <v>1.0106382978723403</v>
      </c>
    </row>
    <row r="23" spans="2:44" x14ac:dyDescent="0.3">
      <c r="B23" s="4" t="s">
        <v>21</v>
      </c>
      <c r="C23" s="1">
        <v>11.64</v>
      </c>
      <c r="D23" s="1" t="s">
        <v>21</v>
      </c>
      <c r="E23" s="1">
        <v>2.7050000000000001</v>
      </c>
      <c r="F23" s="1" t="s">
        <v>21</v>
      </c>
      <c r="G23" s="1">
        <v>0.13</v>
      </c>
      <c r="H23" s="1" t="s">
        <v>21</v>
      </c>
      <c r="I23" s="1">
        <v>0.15</v>
      </c>
      <c r="J23" s="1" t="s">
        <v>21</v>
      </c>
      <c r="K23" s="1">
        <v>1</v>
      </c>
      <c r="L23" s="1" t="s">
        <v>21</v>
      </c>
      <c r="M23" s="1">
        <v>4.5E-10</v>
      </c>
      <c r="N23" s="1" t="s">
        <v>21</v>
      </c>
      <c r="O23" s="1">
        <v>0</v>
      </c>
      <c r="P23" s="1" t="s">
        <v>21</v>
      </c>
      <c r="Q23" s="1">
        <v>0</v>
      </c>
      <c r="R23" s="1" t="s">
        <v>21</v>
      </c>
      <c r="S23" s="1">
        <v>7.7458824778439643</v>
      </c>
      <c r="T23" s="1" t="s">
        <v>21</v>
      </c>
      <c r="U23" s="1">
        <v>17.260130579673373</v>
      </c>
      <c r="V23" s="1" t="s">
        <v>21</v>
      </c>
      <c r="W23" s="1">
        <v>0</v>
      </c>
      <c r="X23" s="1" t="s">
        <v>21</v>
      </c>
      <c r="Y23" s="1">
        <v>0</v>
      </c>
      <c r="Z23" s="1" t="s">
        <v>21</v>
      </c>
      <c r="AA23" s="1">
        <v>0</v>
      </c>
      <c r="AB23" s="1" t="s">
        <v>21</v>
      </c>
      <c r="AC23" s="1">
        <v>43.093321960363369</v>
      </c>
      <c r="AD23" s="1" t="s">
        <v>21</v>
      </c>
      <c r="AE23" s="1">
        <v>2.7050000000000001</v>
      </c>
      <c r="AF23" s="1" t="s">
        <v>21</v>
      </c>
      <c r="AG23" s="1">
        <v>1</v>
      </c>
      <c r="AH23" s="1" t="s">
        <v>21</v>
      </c>
      <c r="AI23" s="1">
        <v>1</v>
      </c>
      <c r="AJ23" s="14">
        <f t="shared" si="0"/>
        <v>0.43093321960363368</v>
      </c>
      <c r="AL23">
        <f t="shared" si="1"/>
        <v>23.28</v>
      </c>
      <c r="AM23">
        <f t="shared" si="2"/>
        <v>25.006013057517336</v>
      </c>
      <c r="AN23" s="100"/>
      <c r="AO23" s="11"/>
      <c r="AR23" s="11"/>
    </row>
    <row r="24" spans="2:44" x14ac:dyDescent="0.3">
      <c r="B24" s="4" t="s">
        <v>22</v>
      </c>
      <c r="C24" s="1">
        <v>3.16</v>
      </c>
      <c r="D24" s="1" t="s">
        <v>22</v>
      </c>
      <c r="E24" s="1">
        <v>1.956</v>
      </c>
      <c r="F24" s="1" t="s">
        <v>22</v>
      </c>
      <c r="G24" s="1">
        <v>0.08</v>
      </c>
      <c r="H24" s="1" t="s">
        <v>22</v>
      </c>
      <c r="I24" s="1">
        <v>0.1</v>
      </c>
      <c r="J24" s="1" t="s">
        <v>22</v>
      </c>
      <c r="K24" s="1">
        <v>1</v>
      </c>
      <c r="L24" s="1" t="s">
        <v>22</v>
      </c>
      <c r="M24" s="1">
        <v>4.5E-10</v>
      </c>
      <c r="N24" s="1" t="s">
        <v>22</v>
      </c>
      <c r="O24" s="1">
        <v>0</v>
      </c>
      <c r="P24" s="1" t="s">
        <v>22</v>
      </c>
      <c r="Q24" s="1">
        <v>0</v>
      </c>
      <c r="R24" s="1" t="s">
        <v>22</v>
      </c>
      <c r="S24" s="1">
        <v>0</v>
      </c>
      <c r="T24" s="1" t="s">
        <v>22</v>
      </c>
      <c r="U24" s="1">
        <v>7.0222222217222221</v>
      </c>
      <c r="V24" s="1" t="s">
        <v>22</v>
      </c>
      <c r="W24" s="1">
        <v>0</v>
      </c>
      <c r="X24" s="1" t="s">
        <v>22</v>
      </c>
      <c r="Y24" s="1">
        <v>0</v>
      </c>
      <c r="Z24" s="1" t="s">
        <v>22</v>
      </c>
      <c r="AA24" s="1">
        <v>0</v>
      </c>
      <c r="AB24" s="1" t="s">
        <v>22</v>
      </c>
      <c r="AC24" s="1">
        <v>36.068686512611372</v>
      </c>
      <c r="AD24" s="1" t="s">
        <v>22</v>
      </c>
      <c r="AE24" s="1">
        <v>1.956</v>
      </c>
      <c r="AF24" s="1" t="s">
        <v>22</v>
      </c>
      <c r="AG24" s="1">
        <v>0</v>
      </c>
      <c r="AH24" s="1" t="s">
        <v>22</v>
      </c>
      <c r="AI24" s="1">
        <v>0</v>
      </c>
      <c r="AJ24" s="14">
        <f t="shared" si="0"/>
        <v>0.3606868651261137</v>
      </c>
      <c r="AL24">
        <f t="shared" si="1"/>
        <v>6.32</v>
      </c>
      <c r="AM24">
        <f t="shared" si="2"/>
        <v>7.0222222217222221</v>
      </c>
      <c r="AN24" s="100"/>
      <c r="AO24" s="11"/>
      <c r="AP24">
        <f>(1/(0.95*0.94))</f>
        <v>1.1198208286674134</v>
      </c>
    </row>
    <row r="25" spans="2:44" x14ac:dyDescent="0.3">
      <c r="B25" s="4" t="s">
        <v>23</v>
      </c>
      <c r="C25" s="1">
        <v>2.73</v>
      </c>
      <c r="D25" s="1" t="s">
        <v>23</v>
      </c>
      <c r="E25" s="1">
        <v>2.1419999999999999</v>
      </c>
      <c r="F25" s="1" t="s">
        <v>23</v>
      </c>
      <c r="G25" s="1">
        <v>0.08</v>
      </c>
      <c r="H25" s="1" t="s">
        <v>23</v>
      </c>
      <c r="I25" s="1">
        <v>0.1</v>
      </c>
      <c r="J25" s="1" t="s">
        <v>23</v>
      </c>
      <c r="K25" s="1">
        <v>1</v>
      </c>
      <c r="L25" s="1" t="s">
        <v>23</v>
      </c>
      <c r="M25" s="1">
        <v>4.5E-10</v>
      </c>
      <c r="N25" s="1" t="s">
        <v>23</v>
      </c>
      <c r="O25" s="1">
        <v>0</v>
      </c>
      <c r="P25" s="1" t="s">
        <v>23</v>
      </c>
      <c r="Q25" s="1">
        <v>0</v>
      </c>
      <c r="R25" s="1" t="s">
        <v>23</v>
      </c>
      <c r="S25" s="1">
        <v>0</v>
      </c>
      <c r="T25" s="1" t="s">
        <v>23</v>
      </c>
      <c r="U25" s="1">
        <v>6.0666666661666673</v>
      </c>
      <c r="V25" s="1" t="s">
        <v>23</v>
      </c>
      <c r="W25" s="1">
        <v>0</v>
      </c>
      <c r="X25" s="1" t="s">
        <v>23</v>
      </c>
      <c r="Y25" s="1">
        <v>0</v>
      </c>
      <c r="Z25" s="1" t="s">
        <v>23</v>
      </c>
      <c r="AA25" s="1">
        <v>0</v>
      </c>
      <c r="AB25" s="1" t="s">
        <v>23</v>
      </c>
      <c r="AC25" s="1">
        <v>30</v>
      </c>
      <c r="AD25" s="1" t="s">
        <v>23</v>
      </c>
      <c r="AE25" s="1">
        <v>2.1419999999999999</v>
      </c>
      <c r="AF25" s="1" t="s">
        <v>23</v>
      </c>
      <c r="AG25" s="1">
        <v>0</v>
      </c>
      <c r="AH25" s="1" t="s">
        <v>23</v>
      </c>
      <c r="AI25" s="1">
        <v>0</v>
      </c>
      <c r="AJ25" s="14">
        <f t="shared" si="0"/>
        <v>0.3</v>
      </c>
      <c r="AL25">
        <f t="shared" si="1"/>
        <v>5.4600000000000009</v>
      </c>
      <c r="AM25">
        <f t="shared" si="2"/>
        <v>6.0666666661666673</v>
      </c>
      <c r="AN25" s="100"/>
      <c r="AO25" s="11"/>
    </row>
    <row r="26" spans="2:44" x14ac:dyDescent="0.3">
      <c r="B26" s="4" t="s">
        <v>24</v>
      </c>
      <c r="C26" s="1">
        <v>2.19</v>
      </c>
      <c r="D26" s="1" t="s">
        <v>24</v>
      </c>
      <c r="E26" s="1">
        <v>2.306</v>
      </c>
      <c r="F26" s="1" t="s">
        <v>24</v>
      </c>
      <c r="G26" s="1">
        <v>0.08</v>
      </c>
      <c r="H26" s="1" t="s">
        <v>24</v>
      </c>
      <c r="I26" s="1">
        <v>0.1</v>
      </c>
      <c r="J26" s="1" t="s">
        <v>24</v>
      </c>
      <c r="K26" s="1">
        <v>2</v>
      </c>
      <c r="L26" s="1" t="s">
        <v>24</v>
      </c>
      <c r="M26" s="1">
        <v>4.5E-10</v>
      </c>
      <c r="N26" s="1" t="s">
        <v>24</v>
      </c>
      <c r="O26" s="1">
        <v>1.6799999999967952E-3</v>
      </c>
      <c r="P26" s="1" t="s">
        <v>24</v>
      </c>
      <c r="Q26" s="1">
        <v>0</v>
      </c>
      <c r="R26" s="1" t="s">
        <v>24</v>
      </c>
      <c r="S26" s="1">
        <v>0</v>
      </c>
      <c r="T26" s="1" t="s">
        <v>24</v>
      </c>
      <c r="U26" s="1">
        <v>0</v>
      </c>
      <c r="V26" s="1" t="s">
        <v>24</v>
      </c>
      <c r="W26" s="1">
        <v>6.6878812985421572</v>
      </c>
      <c r="X26" s="1" t="s">
        <v>24</v>
      </c>
      <c r="Y26" s="1">
        <v>0</v>
      </c>
      <c r="Z26" s="1" t="s">
        <v>24</v>
      </c>
      <c r="AA26" s="1">
        <v>0</v>
      </c>
      <c r="AB26" s="1" t="s">
        <v>24</v>
      </c>
      <c r="AC26" s="1">
        <v>30</v>
      </c>
      <c r="AD26" s="1" t="s">
        <v>24</v>
      </c>
      <c r="AE26" s="1">
        <v>0</v>
      </c>
      <c r="AF26" s="1" t="s">
        <v>24</v>
      </c>
      <c r="AG26" s="1">
        <v>0</v>
      </c>
      <c r="AH26" s="1" t="s">
        <v>24</v>
      </c>
      <c r="AI26" s="1">
        <v>0</v>
      </c>
      <c r="AJ26" s="14">
        <f t="shared" si="0"/>
        <v>0.3</v>
      </c>
      <c r="AL26">
        <f t="shared" si="1"/>
        <v>6.6876799999999967</v>
      </c>
      <c r="AM26">
        <f t="shared" si="2"/>
        <v>6.6878812985421572</v>
      </c>
      <c r="AN26" s="100"/>
      <c r="AO26" s="11"/>
    </row>
    <row r="27" spans="2:44" x14ac:dyDescent="0.3">
      <c r="B27" s="4" t="s">
        <v>25</v>
      </c>
      <c r="C27" s="1">
        <v>1.01</v>
      </c>
      <c r="D27" s="1" t="s">
        <v>25</v>
      </c>
      <c r="E27" s="1">
        <v>1.87</v>
      </c>
      <c r="F27" s="1" t="s">
        <v>25</v>
      </c>
      <c r="G27" s="1">
        <v>0.08</v>
      </c>
      <c r="H27" s="1" t="s">
        <v>25</v>
      </c>
      <c r="I27" s="1">
        <v>0.1</v>
      </c>
      <c r="J27" s="1" t="s">
        <v>25</v>
      </c>
      <c r="K27" s="1">
        <v>2</v>
      </c>
      <c r="L27" s="1" t="s">
        <v>25</v>
      </c>
      <c r="M27" s="1">
        <v>4.5E-10</v>
      </c>
      <c r="N27" s="1" t="s">
        <v>25</v>
      </c>
      <c r="O27" s="1">
        <v>1.6799999999967952E-3</v>
      </c>
      <c r="P27" s="1" t="s">
        <v>25</v>
      </c>
      <c r="Q27" s="1">
        <v>0</v>
      </c>
      <c r="R27" s="1" t="s">
        <v>25</v>
      </c>
      <c r="S27" s="1">
        <v>0</v>
      </c>
      <c r="T27" s="1" t="s">
        <v>25</v>
      </c>
      <c r="U27" s="1">
        <v>0</v>
      </c>
      <c r="V27" s="1" t="s">
        <v>25</v>
      </c>
      <c r="W27" s="1">
        <v>3.8918812985421578</v>
      </c>
      <c r="X27" s="1" t="s">
        <v>25</v>
      </c>
      <c r="Y27" s="1">
        <v>0</v>
      </c>
      <c r="Z27" s="1" t="s">
        <v>25</v>
      </c>
      <c r="AA27" s="1">
        <v>0</v>
      </c>
      <c r="AB27" s="1" t="s">
        <v>25</v>
      </c>
      <c r="AC27" s="1">
        <v>30</v>
      </c>
      <c r="AD27" s="1" t="s">
        <v>25</v>
      </c>
      <c r="AE27" s="1">
        <v>0</v>
      </c>
      <c r="AF27" s="1" t="s">
        <v>25</v>
      </c>
      <c r="AG27" s="1">
        <v>0</v>
      </c>
      <c r="AH27" s="1" t="s">
        <v>25</v>
      </c>
      <c r="AI27" s="1">
        <v>0</v>
      </c>
      <c r="AJ27" s="14">
        <f t="shared" si="0"/>
        <v>0.3</v>
      </c>
      <c r="AL27">
        <f t="shared" si="1"/>
        <v>3.8916799999999969</v>
      </c>
      <c r="AM27">
        <f t="shared" si="2"/>
        <v>3.8918812985421578</v>
      </c>
      <c r="AN27" s="100"/>
      <c r="AO27" s="11"/>
    </row>
    <row r="28" spans="2:44" x14ac:dyDescent="0.3">
      <c r="B28" s="4" t="s">
        <v>26</v>
      </c>
      <c r="C28" s="1">
        <v>0.43</v>
      </c>
      <c r="D28" s="1" t="s">
        <v>26</v>
      </c>
      <c r="E28" s="1">
        <v>0.78900000000000003</v>
      </c>
      <c r="F28" s="1" t="s">
        <v>26</v>
      </c>
      <c r="G28" s="1">
        <v>0.08</v>
      </c>
      <c r="H28" s="1" t="s">
        <v>26</v>
      </c>
      <c r="I28" s="1">
        <v>0.1</v>
      </c>
      <c r="J28" s="1" t="s">
        <v>26</v>
      </c>
      <c r="K28" s="1">
        <v>2</v>
      </c>
      <c r="L28" s="1" t="s">
        <v>26</v>
      </c>
      <c r="M28" s="1">
        <v>4.5E-10</v>
      </c>
      <c r="N28" s="1" t="s">
        <v>26</v>
      </c>
      <c r="O28" s="1">
        <v>13.969150923743943</v>
      </c>
      <c r="P28" s="1" t="s">
        <v>26</v>
      </c>
      <c r="Q28" s="1">
        <v>0</v>
      </c>
      <c r="R28" s="1" t="s">
        <v>26</v>
      </c>
      <c r="S28" s="1">
        <v>0</v>
      </c>
      <c r="T28" s="1" t="s">
        <v>26</v>
      </c>
      <c r="U28" s="1">
        <v>0</v>
      </c>
      <c r="V28" s="1" t="s">
        <v>26</v>
      </c>
      <c r="W28" s="1">
        <v>17.291946162757107</v>
      </c>
      <c r="X28" s="1" t="s">
        <v>26</v>
      </c>
      <c r="Y28" s="1">
        <v>0</v>
      </c>
      <c r="Z28" s="1" t="s">
        <v>26</v>
      </c>
      <c r="AA28" s="1">
        <v>0</v>
      </c>
      <c r="AB28" s="1" t="s">
        <v>26</v>
      </c>
      <c r="AC28" s="1">
        <v>43.967470923743946</v>
      </c>
      <c r="AD28" s="1" t="s">
        <v>26</v>
      </c>
      <c r="AE28" s="1">
        <v>0</v>
      </c>
      <c r="AF28" s="1" t="s">
        <v>26</v>
      </c>
      <c r="AG28" s="1">
        <v>0</v>
      </c>
      <c r="AH28" s="1" t="s">
        <v>26</v>
      </c>
      <c r="AI28" s="1">
        <v>0</v>
      </c>
      <c r="AJ28" s="14">
        <f t="shared" si="0"/>
        <v>0.43967470923743945</v>
      </c>
      <c r="AL28">
        <f t="shared" si="1"/>
        <v>15.618150923743944</v>
      </c>
      <c r="AM28">
        <f t="shared" si="2"/>
        <v>17.291946162757107</v>
      </c>
      <c r="AN28" s="100"/>
      <c r="AO28" s="11"/>
    </row>
    <row r="29" spans="2:44" x14ac:dyDescent="0.3">
      <c r="B29" s="4" t="s">
        <v>27</v>
      </c>
      <c r="C29" s="1">
        <v>1.42</v>
      </c>
      <c r="D29" s="1" t="s">
        <v>27</v>
      </c>
      <c r="E29" s="1">
        <v>2.649</v>
      </c>
      <c r="F29" s="1" t="s">
        <v>27</v>
      </c>
      <c r="G29" s="1">
        <v>0.08</v>
      </c>
      <c r="H29" s="1" t="s">
        <v>27</v>
      </c>
      <c r="I29" s="1">
        <v>0.1</v>
      </c>
      <c r="J29" s="1" t="s">
        <v>27</v>
      </c>
      <c r="K29" s="1">
        <v>2</v>
      </c>
      <c r="L29" s="1" t="s">
        <v>27</v>
      </c>
      <c r="M29" s="1">
        <v>4.5E-10</v>
      </c>
      <c r="N29" s="1" t="s">
        <v>27</v>
      </c>
      <c r="O29" s="1">
        <v>17.423323000401851</v>
      </c>
      <c r="P29" s="1" t="s">
        <v>27</v>
      </c>
      <c r="Q29" s="1">
        <v>0</v>
      </c>
      <c r="R29" s="1" t="s">
        <v>27</v>
      </c>
      <c r="S29" s="1">
        <v>0</v>
      </c>
      <c r="T29" s="1" t="s">
        <v>27</v>
      </c>
      <c r="U29" s="1">
        <v>0</v>
      </c>
      <c r="V29" s="1" t="s">
        <v>27</v>
      </c>
      <c r="W29" s="1">
        <v>25</v>
      </c>
      <c r="X29" s="1" t="s">
        <v>27</v>
      </c>
      <c r="Y29" s="1">
        <v>0</v>
      </c>
      <c r="Z29" s="1" t="s">
        <v>27</v>
      </c>
      <c r="AA29" s="1">
        <v>0</v>
      </c>
      <c r="AB29" s="1" t="s">
        <v>27</v>
      </c>
      <c r="AC29" s="1">
        <v>61.388331745774067</v>
      </c>
      <c r="AD29" s="1" t="s">
        <v>27</v>
      </c>
      <c r="AE29" s="1">
        <v>0</v>
      </c>
      <c r="AF29" s="1" t="s">
        <v>27</v>
      </c>
      <c r="AG29" s="1">
        <v>0</v>
      </c>
      <c r="AH29" s="1" t="s">
        <v>27</v>
      </c>
      <c r="AI29" s="1">
        <v>0</v>
      </c>
      <c r="AJ29" s="14">
        <f t="shared" si="0"/>
        <v>0.61388331745774072</v>
      </c>
      <c r="AL29">
        <f t="shared" si="1"/>
        <v>22.912323000401852</v>
      </c>
      <c r="AM29">
        <f t="shared" si="2"/>
        <v>25</v>
      </c>
      <c r="AN29" s="100"/>
      <c r="AO29" s="11"/>
    </row>
    <row r="30" spans="2:44" x14ac:dyDescent="0.3">
      <c r="B30" s="4" t="s">
        <v>28</v>
      </c>
      <c r="C30" s="1">
        <v>0.81</v>
      </c>
      <c r="D30" s="1" t="s">
        <v>28</v>
      </c>
      <c r="E30" s="1">
        <v>1.518</v>
      </c>
      <c r="F30" s="1" t="s">
        <v>28</v>
      </c>
      <c r="G30" s="1">
        <v>0.08</v>
      </c>
      <c r="H30" s="1" t="s">
        <v>28</v>
      </c>
      <c r="I30" s="1">
        <v>0.1</v>
      </c>
      <c r="J30" s="1" t="s">
        <v>28</v>
      </c>
      <c r="K30" s="1">
        <v>2</v>
      </c>
      <c r="L30" s="1" t="s">
        <v>28</v>
      </c>
      <c r="M30" s="1">
        <v>4.5E-10</v>
      </c>
      <c r="N30" s="1" t="s">
        <v>28</v>
      </c>
      <c r="O30" s="1">
        <v>19.522766000401852</v>
      </c>
      <c r="P30" s="1" t="s">
        <v>28</v>
      </c>
      <c r="Q30" s="1">
        <v>0</v>
      </c>
      <c r="R30" s="1" t="s">
        <v>28</v>
      </c>
      <c r="S30" s="1">
        <v>0</v>
      </c>
      <c r="T30" s="1" t="s">
        <v>28</v>
      </c>
      <c r="U30" s="1">
        <v>0</v>
      </c>
      <c r="V30" s="1" t="s">
        <v>28</v>
      </c>
      <c r="W30" s="1">
        <v>25</v>
      </c>
      <c r="X30" s="1" t="s">
        <v>28</v>
      </c>
      <c r="Y30" s="1">
        <v>0</v>
      </c>
      <c r="Z30" s="1" t="s">
        <v>28</v>
      </c>
      <c r="AA30" s="1">
        <v>0</v>
      </c>
      <c r="AB30" s="1" t="s">
        <v>28</v>
      </c>
      <c r="AC30" s="1">
        <v>80.907659999598152</v>
      </c>
      <c r="AD30" s="1" t="s">
        <v>28</v>
      </c>
      <c r="AE30" s="1">
        <v>0</v>
      </c>
      <c r="AF30" s="1" t="s">
        <v>28</v>
      </c>
      <c r="AG30" s="1">
        <v>0</v>
      </c>
      <c r="AH30" s="1" t="s">
        <v>28</v>
      </c>
      <c r="AI30" s="1">
        <v>0</v>
      </c>
      <c r="AJ30" s="14">
        <f t="shared" si="0"/>
        <v>0.80907659999598147</v>
      </c>
      <c r="AL30">
        <f t="shared" si="1"/>
        <v>22.66076600040185</v>
      </c>
      <c r="AM30">
        <f t="shared" si="2"/>
        <v>25</v>
      </c>
      <c r="AN30" s="100"/>
      <c r="AO30" s="11"/>
    </row>
    <row r="31" spans="2:44" x14ac:dyDescent="0.3">
      <c r="B31" s="4" t="s">
        <v>29</v>
      </c>
      <c r="C31" s="1">
        <v>0.94</v>
      </c>
      <c r="D31" s="1" t="s">
        <v>29</v>
      </c>
      <c r="E31" s="1">
        <v>1.74</v>
      </c>
      <c r="F31" s="1" t="s">
        <v>29</v>
      </c>
      <c r="G31" s="1">
        <v>0.08</v>
      </c>
      <c r="H31" s="1" t="s">
        <v>29</v>
      </c>
      <c r="I31" s="1">
        <v>0.1</v>
      </c>
      <c r="J31" s="1" t="s">
        <v>29</v>
      </c>
      <c r="K31" s="1">
        <v>2</v>
      </c>
      <c r="L31" s="1" t="s">
        <v>29</v>
      </c>
      <c r="M31" s="1">
        <v>4.5E-10</v>
      </c>
      <c r="N31" s="1" t="s">
        <v>29</v>
      </c>
      <c r="O31" s="1">
        <v>19.092340000401851</v>
      </c>
      <c r="P31" s="1" t="s">
        <v>29</v>
      </c>
      <c r="Q31" s="1">
        <v>0</v>
      </c>
      <c r="R31" s="1" t="s">
        <v>29</v>
      </c>
      <c r="S31" s="1">
        <v>0</v>
      </c>
      <c r="T31" s="1" t="s">
        <v>29</v>
      </c>
      <c r="U31" s="1">
        <v>0</v>
      </c>
      <c r="V31" s="1" t="s">
        <v>29</v>
      </c>
      <c r="W31" s="1">
        <v>25</v>
      </c>
      <c r="X31" s="1" t="s">
        <v>29</v>
      </c>
      <c r="Y31" s="1">
        <v>0</v>
      </c>
      <c r="Z31" s="1" t="s">
        <v>29</v>
      </c>
      <c r="AA31" s="1">
        <v>0</v>
      </c>
      <c r="AB31" s="1" t="s">
        <v>29</v>
      </c>
      <c r="AC31" s="1">
        <v>99.995469171040028</v>
      </c>
      <c r="AD31" s="1" t="s">
        <v>29</v>
      </c>
      <c r="AE31" s="1">
        <v>0</v>
      </c>
      <c r="AF31" s="1" t="s">
        <v>29</v>
      </c>
      <c r="AG31" s="1">
        <v>0</v>
      </c>
      <c r="AH31" s="1" t="s">
        <v>29</v>
      </c>
      <c r="AI31" s="1">
        <v>0</v>
      </c>
      <c r="AJ31" s="14">
        <f t="shared" si="0"/>
        <v>0.9999546917104003</v>
      </c>
      <c r="AL31">
        <f t="shared" si="1"/>
        <v>22.712340000401852</v>
      </c>
      <c r="AM31">
        <f t="shared" si="2"/>
        <v>25</v>
      </c>
      <c r="AN31" s="100"/>
      <c r="AO31" s="11"/>
    </row>
    <row r="32" spans="2:44" x14ac:dyDescent="0.3">
      <c r="B32" s="4" t="s">
        <v>30</v>
      </c>
      <c r="C32" s="1">
        <v>0.79</v>
      </c>
      <c r="D32" s="1" t="s">
        <v>30</v>
      </c>
      <c r="E32" s="1">
        <v>1.4590000000000001</v>
      </c>
      <c r="F32" s="1" t="s">
        <v>30</v>
      </c>
      <c r="G32" s="1">
        <v>0.13</v>
      </c>
      <c r="H32" s="1" t="s">
        <v>30</v>
      </c>
      <c r="I32" s="1">
        <v>0.15</v>
      </c>
      <c r="J32" s="1" t="s">
        <v>30</v>
      </c>
      <c r="K32" s="1">
        <v>2</v>
      </c>
      <c r="L32" s="1" t="s">
        <v>30</v>
      </c>
      <c r="M32" s="1">
        <v>4.5E-10</v>
      </c>
      <c r="N32" s="1" t="s">
        <v>30</v>
      </c>
      <c r="O32" s="1">
        <v>0</v>
      </c>
      <c r="P32" s="1" t="s">
        <v>30</v>
      </c>
      <c r="Q32" s="1">
        <v>0</v>
      </c>
      <c r="R32" s="1" t="s">
        <v>30</v>
      </c>
      <c r="S32" s="1">
        <v>0</v>
      </c>
      <c r="T32" s="1" t="s">
        <v>30</v>
      </c>
      <c r="U32" s="1">
        <v>30</v>
      </c>
      <c r="V32" s="1" t="s">
        <v>30</v>
      </c>
      <c r="W32" s="1">
        <v>0</v>
      </c>
      <c r="X32" s="1" t="s">
        <v>30</v>
      </c>
      <c r="Y32" s="1">
        <v>23.961000000449999</v>
      </c>
      <c r="Z32" s="1" t="s">
        <v>30</v>
      </c>
      <c r="AA32" s="1">
        <v>0</v>
      </c>
      <c r="AB32" s="1" t="s">
        <v>30</v>
      </c>
      <c r="AC32" s="1">
        <v>69.989869424766454</v>
      </c>
      <c r="AD32" s="1" t="s">
        <v>30</v>
      </c>
      <c r="AE32" s="1">
        <v>0</v>
      </c>
      <c r="AF32" s="1" t="s">
        <v>30</v>
      </c>
      <c r="AG32" s="1">
        <v>0</v>
      </c>
      <c r="AH32" s="1" t="s">
        <v>30</v>
      </c>
      <c r="AI32" s="1">
        <v>0</v>
      </c>
      <c r="AJ32" s="14">
        <f t="shared" si="0"/>
        <v>0.69989869424766449</v>
      </c>
      <c r="AL32">
        <f t="shared" si="1"/>
        <v>27.000000000450001</v>
      </c>
      <c r="AM32">
        <f t="shared" si="2"/>
        <v>30</v>
      </c>
      <c r="AN32" s="100"/>
      <c r="AO32" s="11"/>
    </row>
    <row r="33" spans="2:41" x14ac:dyDescent="0.3">
      <c r="B33" s="4" t="s">
        <v>31</v>
      </c>
      <c r="C33" s="1">
        <v>0.74</v>
      </c>
      <c r="D33" s="1" t="s">
        <v>31</v>
      </c>
      <c r="E33" s="1">
        <v>1.7769999999999999</v>
      </c>
      <c r="F33" s="1" t="s">
        <v>31</v>
      </c>
      <c r="G33" s="1">
        <v>0.13</v>
      </c>
      <c r="H33" s="1" t="s">
        <v>31</v>
      </c>
      <c r="I33" s="1">
        <v>0.15</v>
      </c>
      <c r="J33" s="1" t="s">
        <v>31</v>
      </c>
      <c r="K33" s="1">
        <v>2</v>
      </c>
      <c r="L33" s="1" t="s">
        <v>31</v>
      </c>
      <c r="M33" s="1">
        <v>4.96</v>
      </c>
      <c r="N33" s="1" t="s">
        <v>31</v>
      </c>
      <c r="O33" s="1">
        <v>0</v>
      </c>
      <c r="P33" s="1" t="s">
        <v>31</v>
      </c>
      <c r="Q33" s="1">
        <v>4.96</v>
      </c>
      <c r="R33" s="1" t="s">
        <v>31</v>
      </c>
      <c r="S33" s="1">
        <v>0</v>
      </c>
      <c r="T33" s="1" t="s">
        <v>31</v>
      </c>
      <c r="U33" s="1">
        <v>1.1509381605758477</v>
      </c>
      <c r="V33" s="1" t="s">
        <v>31</v>
      </c>
      <c r="W33" s="1">
        <v>0</v>
      </c>
      <c r="X33" s="1" t="s">
        <v>31</v>
      </c>
      <c r="Y33" s="1">
        <v>2.7388443445182631</v>
      </c>
      <c r="Z33" s="1" t="s">
        <v>31</v>
      </c>
      <c r="AA33" s="1">
        <v>0</v>
      </c>
      <c r="AB33" s="1" t="s">
        <v>31</v>
      </c>
      <c r="AC33" s="1">
        <v>68.835011831502825</v>
      </c>
      <c r="AD33" s="1" t="s">
        <v>31</v>
      </c>
      <c r="AE33" s="1">
        <v>0</v>
      </c>
      <c r="AF33" s="1" t="s">
        <v>31</v>
      </c>
      <c r="AG33" s="1">
        <v>0</v>
      </c>
      <c r="AH33" s="1" t="s">
        <v>31</v>
      </c>
      <c r="AI33" s="1">
        <v>0</v>
      </c>
      <c r="AJ33" s="14">
        <f t="shared" si="0"/>
        <v>0.68835011831502824</v>
      </c>
      <c r="AL33">
        <f t="shared" si="1"/>
        <v>5.9958443445182628</v>
      </c>
      <c r="AM33">
        <f t="shared" si="2"/>
        <v>6.1109381605758477</v>
      </c>
      <c r="AN33" s="100"/>
      <c r="AO33" s="11"/>
    </row>
    <row r="34" spans="2:41" x14ac:dyDescent="0.3">
      <c r="B34" s="4" t="s">
        <v>32</v>
      </c>
      <c r="C34" s="1">
        <v>1.31</v>
      </c>
      <c r="D34" s="1" t="s">
        <v>32</v>
      </c>
      <c r="E34" s="1">
        <v>0.48699999999999999</v>
      </c>
      <c r="F34" s="1" t="s">
        <v>32</v>
      </c>
      <c r="G34" s="1">
        <v>0.13</v>
      </c>
      <c r="H34" s="1" t="s">
        <v>32</v>
      </c>
      <c r="I34" s="1">
        <v>0.15</v>
      </c>
      <c r="J34" s="1" t="s">
        <v>32</v>
      </c>
      <c r="K34" s="1">
        <v>2</v>
      </c>
      <c r="L34" s="1" t="s">
        <v>32</v>
      </c>
      <c r="M34" s="1">
        <v>7.22</v>
      </c>
      <c r="N34" s="1" t="s">
        <v>32</v>
      </c>
      <c r="O34" s="1">
        <v>0</v>
      </c>
      <c r="P34" s="1" t="s">
        <v>32</v>
      </c>
      <c r="Q34" s="1">
        <v>7.22</v>
      </c>
      <c r="R34" s="1" t="s">
        <v>32</v>
      </c>
      <c r="S34" s="1">
        <v>0</v>
      </c>
      <c r="T34" s="1" t="s">
        <v>32</v>
      </c>
      <c r="U34" s="1">
        <v>0</v>
      </c>
      <c r="V34" s="1" t="s">
        <v>32</v>
      </c>
      <c r="W34" s="1">
        <v>0</v>
      </c>
      <c r="X34" s="1" t="s">
        <v>32</v>
      </c>
      <c r="Y34" s="1">
        <v>4.1129999999999995</v>
      </c>
      <c r="Z34" s="1" t="s">
        <v>32</v>
      </c>
      <c r="AA34" s="1">
        <v>0</v>
      </c>
      <c r="AB34" s="1" t="s">
        <v>32</v>
      </c>
      <c r="AC34" s="1">
        <v>68.831157070840263</v>
      </c>
      <c r="AD34" s="1" t="s">
        <v>32</v>
      </c>
      <c r="AE34" s="1">
        <v>0</v>
      </c>
      <c r="AF34" s="1" t="s">
        <v>32</v>
      </c>
      <c r="AG34" s="1">
        <v>0</v>
      </c>
      <c r="AH34" s="1" t="s">
        <v>32</v>
      </c>
      <c r="AI34" s="1">
        <v>0</v>
      </c>
      <c r="AJ34" s="14">
        <f t="shared" si="0"/>
        <v>0.68831157070840265</v>
      </c>
      <c r="AL34">
        <f t="shared" si="1"/>
        <v>7.22</v>
      </c>
      <c r="AM34">
        <f t="shared" si="2"/>
        <v>7.22</v>
      </c>
      <c r="AN34" s="100"/>
      <c r="AO34" s="11"/>
    </row>
    <row r="35" spans="2:41" x14ac:dyDescent="0.3">
      <c r="B35" s="4" t="s">
        <v>33</v>
      </c>
      <c r="C35" s="1">
        <v>1.34</v>
      </c>
      <c r="D35" s="1" t="s">
        <v>33</v>
      </c>
      <c r="E35" s="1">
        <v>5.5759999999999996</v>
      </c>
      <c r="F35" s="1" t="s">
        <v>33</v>
      </c>
      <c r="G35" s="1">
        <v>0.13</v>
      </c>
      <c r="H35" s="1" t="s">
        <v>33</v>
      </c>
      <c r="I35" s="1">
        <v>0.15</v>
      </c>
      <c r="J35" s="1" t="s">
        <v>33</v>
      </c>
      <c r="K35" s="1">
        <v>2</v>
      </c>
      <c r="L35" s="1" t="s">
        <v>33</v>
      </c>
      <c r="M35" s="1">
        <v>16.11</v>
      </c>
      <c r="N35" s="1" t="s">
        <v>33</v>
      </c>
      <c r="O35" s="1">
        <v>0</v>
      </c>
      <c r="P35" s="1" t="s">
        <v>33</v>
      </c>
      <c r="Q35" s="1">
        <v>16.11</v>
      </c>
      <c r="R35" s="1" t="s">
        <v>33</v>
      </c>
      <c r="S35" s="1">
        <v>0</v>
      </c>
      <c r="T35" s="1" t="s">
        <v>33</v>
      </c>
      <c r="U35" s="1">
        <v>0</v>
      </c>
      <c r="V35" s="1" t="s">
        <v>33</v>
      </c>
      <c r="W35" s="1">
        <v>0</v>
      </c>
      <c r="X35" s="1" t="s">
        <v>33</v>
      </c>
      <c r="Y35" s="1">
        <v>7.8539999999999992</v>
      </c>
      <c r="Z35" s="1" t="s">
        <v>33</v>
      </c>
      <c r="AA35" s="1">
        <v>0</v>
      </c>
      <c r="AB35" s="1" t="s">
        <v>33</v>
      </c>
      <c r="AC35" s="1">
        <v>68.827302526044292</v>
      </c>
      <c r="AD35" s="1" t="s">
        <v>33</v>
      </c>
      <c r="AE35" s="1">
        <v>0</v>
      </c>
      <c r="AF35" s="1" t="s">
        <v>33</v>
      </c>
      <c r="AG35" s="1">
        <v>0</v>
      </c>
      <c r="AH35" s="1" t="s">
        <v>33</v>
      </c>
      <c r="AI35" s="1">
        <v>0</v>
      </c>
      <c r="AJ35" s="14">
        <f t="shared" si="0"/>
        <v>0.68827302526044287</v>
      </c>
      <c r="AL35">
        <f t="shared" si="1"/>
        <v>16.11</v>
      </c>
      <c r="AM35">
        <f t="shared" si="2"/>
        <v>16.11</v>
      </c>
      <c r="AN35" s="100"/>
      <c r="AO35" s="11"/>
    </row>
    <row r="36" spans="2:41" x14ac:dyDescent="0.3">
      <c r="B36" s="4" t="s">
        <v>34</v>
      </c>
      <c r="C36" s="1">
        <v>2.0299999999999998</v>
      </c>
      <c r="D36" s="1" t="s">
        <v>34</v>
      </c>
      <c r="E36" s="1">
        <v>4.3730000000000002</v>
      </c>
      <c r="F36" s="1" t="s">
        <v>34</v>
      </c>
      <c r="G36" s="1">
        <v>0.13</v>
      </c>
      <c r="H36" s="1" t="s">
        <v>34</v>
      </c>
      <c r="I36" s="1">
        <v>0.15</v>
      </c>
      <c r="J36" s="1" t="s">
        <v>34</v>
      </c>
      <c r="K36" s="1">
        <v>2</v>
      </c>
      <c r="L36" s="1" t="s">
        <v>34</v>
      </c>
      <c r="M36" s="1">
        <v>30.02</v>
      </c>
      <c r="N36" s="1" t="s">
        <v>34</v>
      </c>
      <c r="O36" s="1">
        <v>0</v>
      </c>
      <c r="P36" s="1" t="s">
        <v>34</v>
      </c>
      <c r="Q36" s="1">
        <v>30</v>
      </c>
      <c r="R36" s="1" t="s">
        <v>34</v>
      </c>
      <c r="S36" s="1">
        <v>0</v>
      </c>
      <c r="T36" s="1" t="s">
        <v>34</v>
      </c>
      <c r="U36" s="1">
        <v>0</v>
      </c>
      <c r="V36" s="1" t="s">
        <v>34</v>
      </c>
      <c r="W36" s="1">
        <v>0</v>
      </c>
      <c r="X36" s="1" t="s">
        <v>34</v>
      </c>
      <c r="Y36" s="1">
        <v>21.567</v>
      </c>
      <c r="Z36" s="1" t="s">
        <v>34</v>
      </c>
      <c r="AA36" s="1">
        <v>0</v>
      </c>
      <c r="AB36" s="1" t="s">
        <v>34</v>
      </c>
      <c r="AC36" s="1">
        <v>68.823448197102834</v>
      </c>
      <c r="AD36" s="1" t="s">
        <v>34</v>
      </c>
      <c r="AE36" s="1">
        <v>0</v>
      </c>
      <c r="AF36" s="1" t="s">
        <v>34</v>
      </c>
      <c r="AG36" s="1">
        <v>0</v>
      </c>
      <c r="AH36" s="1" t="s">
        <v>34</v>
      </c>
      <c r="AI36" s="1">
        <v>0</v>
      </c>
      <c r="AJ36" s="14">
        <f t="shared" si="0"/>
        <v>0.68823448197102832</v>
      </c>
      <c r="AL36">
        <f t="shared" si="1"/>
        <v>30</v>
      </c>
      <c r="AM36">
        <f t="shared" si="2"/>
        <v>30</v>
      </c>
      <c r="AN36" s="100"/>
      <c r="AO36" s="11"/>
    </row>
    <row r="37" spans="2:41" x14ac:dyDescent="0.3">
      <c r="B37" s="4" t="s">
        <v>35</v>
      </c>
      <c r="C37" s="1">
        <v>2.33</v>
      </c>
      <c r="D37" s="1" t="s">
        <v>35</v>
      </c>
      <c r="E37" s="1">
        <v>5.0380000000000003</v>
      </c>
      <c r="F37" s="1" t="s">
        <v>35</v>
      </c>
      <c r="G37" s="1">
        <v>0.13</v>
      </c>
      <c r="H37" s="1" t="s">
        <v>35</v>
      </c>
      <c r="I37" s="1">
        <v>0.15</v>
      </c>
      <c r="J37" s="1" t="s">
        <v>35</v>
      </c>
      <c r="K37" s="1">
        <v>2</v>
      </c>
      <c r="L37" s="1" t="s">
        <v>35</v>
      </c>
      <c r="M37" s="1">
        <v>34.840000000000003</v>
      </c>
      <c r="N37" s="1" t="s">
        <v>35</v>
      </c>
      <c r="O37" s="1">
        <v>0</v>
      </c>
      <c r="P37" s="1" t="s">
        <v>35</v>
      </c>
      <c r="Q37" s="1">
        <v>30</v>
      </c>
      <c r="R37" s="1" t="s">
        <v>35</v>
      </c>
      <c r="S37" s="1">
        <v>0</v>
      </c>
      <c r="T37" s="1" t="s">
        <v>35</v>
      </c>
      <c r="U37" s="1">
        <v>0</v>
      </c>
      <c r="V37" s="1" t="s">
        <v>35</v>
      </c>
      <c r="W37" s="1">
        <v>0</v>
      </c>
      <c r="X37" s="1" t="s">
        <v>35</v>
      </c>
      <c r="Y37" s="1">
        <v>20.302</v>
      </c>
      <c r="Z37" s="1" t="s">
        <v>35</v>
      </c>
      <c r="AA37" s="1">
        <v>0</v>
      </c>
      <c r="AB37" s="1" t="s">
        <v>35</v>
      </c>
      <c r="AC37" s="1">
        <v>68.819594084003796</v>
      </c>
      <c r="AD37" s="1" t="s">
        <v>35</v>
      </c>
      <c r="AE37" s="1">
        <v>0</v>
      </c>
      <c r="AF37" s="1" t="s">
        <v>35</v>
      </c>
      <c r="AG37" s="1">
        <v>0</v>
      </c>
      <c r="AH37" s="1" t="s">
        <v>35</v>
      </c>
      <c r="AI37" s="1">
        <v>0</v>
      </c>
      <c r="AJ37" s="14">
        <f t="shared" si="0"/>
        <v>0.68819594084003799</v>
      </c>
      <c r="AL37">
        <f t="shared" si="1"/>
        <v>30</v>
      </c>
      <c r="AM37">
        <f t="shared" si="2"/>
        <v>30</v>
      </c>
      <c r="AN37" s="100"/>
      <c r="AO37" s="11"/>
    </row>
    <row r="38" spans="2:41" x14ac:dyDescent="0.3">
      <c r="B38" s="4" t="s">
        <v>36</v>
      </c>
      <c r="C38" s="1">
        <v>3.01</v>
      </c>
      <c r="D38" s="1" t="s">
        <v>36</v>
      </c>
      <c r="E38" s="1">
        <v>1.151</v>
      </c>
      <c r="F38" s="1" t="s">
        <v>36</v>
      </c>
      <c r="G38" s="1">
        <v>0.13</v>
      </c>
      <c r="H38" s="1" t="s">
        <v>36</v>
      </c>
      <c r="I38" s="1">
        <v>0.15</v>
      </c>
      <c r="J38" s="1" t="s">
        <v>36</v>
      </c>
      <c r="K38" s="1">
        <v>2</v>
      </c>
      <c r="L38" s="1" t="s">
        <v>36</v>
      </c>
      <c r="M38" s="1">
        <v>30.95</v>
      </c>
      <c r="N38" s="1" t="s">
        <v>36</v>
      </c>
      <c r="O38" s="1">
        <v>0</v>
      </c>
      <c r="P38" s="1" t="s">
        <v>36</v>
      </c>
      <c r="Q38" s="1">
        <v>30</v>
      </c>
      <c r="R38" s="1" t="s">
        <v>36</v>
      </c>
      <c r="S38" s="1">
        <v>0</v>
      </c>
      <c r="T38" s="1" t="s">
        <v>36</v>
      </c>
      <c r="U38" s="1">
        <v>0</v>
      </c>
      <c r="V38" s="1" t="s">
        <v>36</v>
      </c>
      <c r="W38" s="1">
        <v>0</v>
      </c>
      <c r="X38" s="1" t="s">
        <v>36</v>
      </c>
      <c r="Y38" s="1">
        <v>22.829000000000001</v>
      </c>
      <c r="Z38" s="1" t="s">
        <v>36</v>
      </c>
      <c r="AA38" s="1">
        <v>0</v>
      </c>
      <c r="AB38" s="1" t="s">
        <v>36</v>
      </c>
      <c r="AC38" s="1">
        <v>68.815740186735098</v>
      </c>
      <c r="AD38" s="1" t="s">
        <v>36</v>
      </c>
      <c r="AE38" s="1">
        <v>0</v>
      </c>
      <c r="AF38" s="1" t="s">
        <v>36</v>
      </c>
      <c r="AG38" s="1">
        <v>0</v>
      </c>
      <c r="AH38" s="1" t="s">
        <v>36</v>
      </c>
      <c r="AI38" s="1">
        <v>0</v>
      </c>
      <c r="AJ38" s="14">
        <f t="shared" si="0"/>
        <v>0.68815740186735097</v>
      </c>
      <c r="AL38">
        <f t="shared" si="1"/>
        <v>30</v>
      </c>
      <c r="AM38">
        <f t="shared" si="2"/>
        <v>30</v>
      </c>
      <c r="AN38" s="100"/>
      <c r="AO38" s="11"/>
    </row>
    <row r="39" spans="2:41" x14ac:dyDescent="0.3">
      <c r="B39" s="4" t="s">
        <v>37</v>
      </c>
      <c r="C39" s="1">
        <v>5.85</v>
      </c>
      <c r="D39" s="1" t="s">
        <v>37</v>
      </c>
      <c r="E39" s="1">
        <v>1.359</v>
      </c>
      <c r="F39" s="1" t="s">
        <v>37</v>
      </c>
      <c r="G39" s="1">
        <v>0.13</v>
      </c>
      <c r="H39" s="1" t="s">
        <v>37</v>
      </c>
      <c r="I39" s="1">
        <v>0.15</v>
      </c>
      <c r="J39" s="1" t="s">
        <v>37</v>
      </c>
      <c r="K39" s="1">
        <v>1</v>
      </c>
      <c r="L39" s="1" t="s">
        <v>37</v>
      </c>
      <c r="M39" s="1">
        <v>25.37</v>
      </c>
      <c r="N39" s="1" t="s">
        <v>37</v>
      </c>
      <c r="O39" s="1">
        <v>10.993723000000001</v>
      </c>
      <c r="P39" s="1" t="s">
        <v>37</v>
      </c>
      <c r="Q39" s="1">
        <v>25.37</v>
      </c>
      <c r="R39" s="1" t="s">
        <v>37</v>
      </c>
      <c r="S39" s="1">
        <v>0</v>
      </c>
      <c r="T39" s="1" t="s">
        <v>37</v>
      </c>
      <c r="U39" s="1">
        <v>0</v>
      </c>
      <c r="V39" s="1" t="s">
        <v>37</v>
      </c>
      <c r="W39" s="1">
        <v>0</v>
      </c>
      <c r="X39" s="1" t="s">
        <v>37</v>
      </c>
      <c r="Y39" s="1">
        <v>0</v>
      </c>
      <c r="Z39" s="1" t="s">
        <v>37</v>
      </c>
      <c r="AA39" s="1">
        <v>0</v>
      </c>
      <c r="AB39" s="1" t="s">
        <v>37</v>
      </c>
      <c r="AC39" s="1">
        <v>79.805609505284636</v>
      </c>
      <c r="AD39" s="1" t="s">
        <v>37</v>
      </c>
      <c r="AE39" s="1">
        <v>0</v>
      </c>
      <c r="AF39" s="1" t="s">
        <v>37</v>
      </c>
      <c r="AG39" s="1">
        <v>0</v>
      </c>
      <c r="AH39" s="1" t="s">
        <v>37</v>
      </c>
      <c r="AI39" s="1">
        <v>0</v>
      </c>
      <c r="AJ39" s="14">
        <f t="shared" si="0"/>
        <v>0.79805609505284636</v>
      </c>
      <c r="AL39">
        <f t="shared" si="1"/>
        <v>24.052723</v>
      </c>
      <c r="AM39">
        <f t="shared" si="2"/>
        <v>25.37</v>
      </c>
      <c r="AN39" s="100"/>
      <c r="AO39" s="11"/>
    </row>
    <row r="40" spans="2:41" x14ac:dyDescent="0.3">
      <c r="B40" s="4" t="s">
        <v>38</v>
      </c>
      <c r="C40" s="1">
        <v>6.04</v>
      </c>
      <c r="D40" s="1" t="s">
        <v>38</v>
      </c>
      <c r="E40" s="1">
        <v>7.5789999999999997</v>
      </c>
      <c r="F40" s="1" t="s">
        <v>38</v>
      </c>
      <c r="G40" s="1">
        <v>0.13</v>
      </c>
      <c r="H40" s="1" t="s">
        <v>38</v>
      </c>
      <c r="I40" s="1">
        <v>0.15</v>
      </c>
      <c r="J40" s="1" t="s">
        <v>38</v>
      </c>
      <c r="K40" s="1">
        <v>1</v>
      </c>
      <c r="L40" s="1" t="s">
        <v>38</v>
      </c>
      <c r="M40" s="1">
        <v>22.46</v>
      </c>
      <c r="N40" s="1" t="s">
        <v>38</v>
      </c>
      <c r="O40" s="1">
        <v>2.501293000000004</v>
      </c>
      <c r="P40" s="1" t="s">
        <v>38</v>
      </c>
      <c r="Q40" s="1">
        <v>22.46</v>
      </c>
      <c r="R40" s="1" t="s">
        <v>38</v>
      </c>
      <c r="S40" s="1">
        <v>0</v>
      </c>
      <c r="T40" s="1" t="s">
        <v>38</v>
      </c>
      <c r="U40" s="1">
        <v>0</v>
      </c>
      <c r="V40" s="1" t="s">
        <v>38</v>
      </c>
      <c r="W40" s="1">
        <v>0</v>
      </c>
      <c r="X40" s="1" t="s">
        <v>38</v>
      </c>
      <c r="Y40" s="1">
        <v>0</v>
      </c>
      <c r="Z40" s="1" t="s">
        <v>38</v>
      </c>
      <c r="AA40" s="1">
        <v>0</v>
      </c>
      <c r="AB40" s="1" t="s">
        <v>38</v>
      </c>
      <c r="AC40" s="1">
        <v>82.302433391152348</v>
      </c>
      <c r="AD40" s="1" t="s">
        <v>38</v>
      </c>
      <c r="AE40" s="1">
        <v>0</v>
      </c>
      <c r="AF40" s="1" t="s">
        <v>38</v>
      </c>
      <c r="AG40" s="1">
        <v>0</v>
      </c>
      <c r="AH40" s="1" t="s">
        <v>38</v>
      </c>
      <c r="AI40" s="1">
        <v>0</v>
      </c>
      <c r="AJ40" s="14">
        <f t="shared" si="0"/>
        <v>0.82302433391152352</v>
      </c>
      <c r="AL40">
        <f t="shared" si="1"/>
        <v>22.160293000000003</v>
      </c>
      <c r="AM40">
        <f t="shared" si="2"/>
        <v>22.46</v>
      </c>
      <c r="AN40" s="100"/>
      <c r="AO40" s="11"/>
    </row>
    <row r="41" spans="2:41" x14ac:dyDescent="0.3">
      <c r="B41" s="4" t="s">
        <v>39</v>
      </c>
      <c r="C41" s="1">
        <v>2.65</v>
      </c>
      <c r="D41" s="1" t="s">
        <v>39</v>
      </c>
      <c r="E41" s="1">
        <v>5.72</v>
      </c>
      <c r="F41" s="1" t="s">
        <v>39</v>
      </c>
      <c r="G41" s="1">
        <v>0.13</v>
      </c>
      <c r="H41" s="1" t="s">
        <v>39</v>
      </c>
      <c r="I41" s="1">
        <v>0.15</v>
      </c>
      <c r="J41" s="1" t="s">
        <v>39</v>
      </c>
      <c r="K41" s="1">
        <v>1</v>
      </c>
      <c r="L41" s="1" t="s">
        <v>39</v>
      </c>
      <c r="M41" s="1">
        <v>22.96</v>
      </c>
      <c r="N41" s="1" t="s">
        <v>39</v>
      </c>
      <c r="O41" s="1">
        <v>10.662420000000001</v>
      </c>
      <c r="P41" s="1" t="s">
        <v>39</v>
      </c>
      <c r="Q41" s="1">
        <v>22.96</v>
      </c>
      <c r="R41" s="1" t="s">
        <v>39</v>
      </c>
      <c r="S41" s="1">
        <v>0</v>
      </c>
      <c r="T41" s="1" t="s">
        <v>39</v>
      </c>
      <c r="U41" s="1">
        <v>0</v>
      </c>
      <c r="V41" s="1" t="s">
        <v>39</v>
      </c>
      <c r="W41" s="1">
        <v>0</v>
      </c>
      <c r="X41" s="1" t="s">
        <v>39</v>
      </c>
      <c r="Y41" s="1">
        <v>0</v>
      </c>
      <c r="Z41" s="1" t="s">
        <v>39</v>
      </c>
      <c r="AA41" s="1">
        <v>0</v>
      </c>
      <c r="AB41" s="1" t="s">
        <v>39</v>
      </c>
      <c r="AC41" s="1">
        <v>92.960244454882456</v>
      </c>
      <c r="AD41" s="1" t="s">
        <v>39</v>
      </c>
      <c r="AE41" s="1">
        <v>0</v>
      </c>
      <c r="AF41" s="1" t="s">
        <v>39</v>
      </c>
      <c r="AG41" s="1">
        <v>0</v>
      </c>
      <c r="AH41" s="1" t="s">
        <v>39</v>
      </c>
      <c r="AI41" s="1">
        <v>0</v>
      </c>
      <c r="AJ41" s="14">
        <f t="shared" si="0"/>
        <v>0.92960244454882457</v>
      </c>
      <c r="AL41">
        <f t="shared" si="1"/>
        <v>21.68242</v>
      </c>
      <c r="AM41">
        <f t="shared" si="2"/>
        <v>22.96</v>
      </c>
      <c r="AN41" s="100"/>
      <c r="AO41" s="11"/>
    </row>
    <row r="42" spans="2:41" x14ac:dyDescent="0.3">
      <c r="B42" s="4" t="s">
        <v>40</v>
      </c>
      <c r="C42" s="1">
        <v>3.06</v>
      </c>
      <c r="D42" s="1" t="s">
        <v>40</v>
      </c>
      <c r="E42" s="1">
        <v>6.6120000000000001</v>
      </c>
      <c r="F42" s="1" t="s">
        <v>40</v>
      </c>
      <c r="G42" s="1">
        <v>0.13</v>
      </c>
      <c r="H42" s="1" t="s">
        <v>40</v>
      </c>
      <c r="I42" s="1">
        <v>0.15</v>
      </c>
      <c r="J42" s="1" t="s">
        <v>40</v>
      </c>
      <c r="K42" s="1">
        <v>1</v>
      </c>
      <c r="L42" s="1" t="s">
        <v>40</v>
      </c>
      <c r="M42" s="1">
        <v>13.04</v>
      </c>
      <c r="N42" s="1" t="s">
        <v>40</v>
      </c>
      <c r="O42" s="1">
        <v>0.2750439999999994</v>
      </c>
      <c r="P42" s="1" t="s">
        <v>40</v>
      </c>
      <c r="Q42" s="1">
        <v>13.04</v>
      </c>
      <c r="R42" s="1" t="s">
        <v>40</v>
      </c>
      <c r="S42" s="1">
        <v>0</v>
      </c>
      <c r="T42" s="1" t="s">
        <v>40</v>
      </c>
      <c r="U42" s="1">
        <v>0</v>
      </c>
      <c r="V42" s="1" t="s">
        <v>40</v>
      </c>
      <c r="W42" s="1">
        <v>0</v>
      </c>
      <c r="X42" s="1" t="s">
        <v>40</v>
      </c>
      <c r="Y42" s="1">
        <v>0</v>
      </c>
      <c r="Z42" s="1" t="s">
        <v>40</v>
      </c>
      <c r="AA42" s="1">
        <v>0</v>
      </c>
      <c r="AB42" s="1" t="s">
        <v>40</v>
      </c>
      <c r="AC42" s="1">
        <v>93.230082681192982</v>
      </c>
      <c r="AD42" s="1" t="s">
        <v>40</v>
      </c>
      <c r="AE42" s="1">
        <v>0</v>
      </c>
      <c r="AF42" s="1" t="s">
        <v>40</v>
      </c>
      <c r="AG42" s="1">
        <v>0</v>
      </c>
      <c r="AH42" s="1" t="s">
        <v>40</v>
      </c>
      <c r="AI42" s="1">
        <v>0</v>
      </c>
      <c r="AJ42" s="14">
        <f t="shared" si="0"/>
        <v>0.93230082681192983</v>
      </c>
      <c r="AL42">
        <f t="shared" si="1"/>
        <v>13.007043999999999</v>
      </c>
      <c r="AM42">
        <f t="shared" si="2"/>
        <v>13.04</v>
      </c>
      <c r="AN42" s="100"/>
      <c r="AO42" s="11"/>
    </row>
    <row r="43" spans="2:41" x14ac:dyDescent="0.3">
      <c r="B43" s="4" t="s">
        <v>41</v>
      </c>
      <c r="C43" s="1">
        <v>3.96</v>
      </c>
      <c r="D43" s="1" t="s">
        <v>41</v>
      </c>
      <c r="E43" s="1">
        <v>7.2430000000000003</v>
      </c>
      <c r="F43" s="1" t="s">
        <v>41</v>
      </c>
      <c r="G43" s="1">
        <v>0.13</v>
      </c>
      <c r="H43" s="1" t="s">
        <v>41</v>
      </c>
      <c r="I43" s="1">
        <v>0.15</v>
      </c>
      <c r="J43" s="1" t="s">
        <v>41</v>
      </c>
      <c r="K43" s="1">
        <v>1</v>
      </c>
      <c r="L43" s="1" t="s">
        <v>41</v>
      </c>
      <c r="M43" s="1">
        <v>8.49</v>
      </c>
      <c r="N43" s="1" t="s">
        <v>41</v>
      </c>
      <c r="O43" s="1">
        <v>0</v>
      </c>
      <c r="P43" s="1" t="s">
        <v>41</v>
      </c>
      <c r="Q43" s="1">
        <v>8.49</v>
      </c>
      <c r="R43" s="1" t="s">
        <v>41</v>
      </c>
      <c r="S43" s="1">
        <v>0</v>
      </c>
      <c r="T43" s="1" t="s">
        <v>41</v>
      </c>
      <c r="U43" s="1">
        <v>7.4144444444444453</v>
      </c>
      <c r="V43" s="1" t="s">
        <v>41</v>
      </c>
      <c r="W43" s="1">
        <v>0</v>
      </c>
      <c r="X43" s="1" t="s">
        <v>41</v>
      </c>
      <c r="Y43" s="1">
        <v>0</v>
      </c>
      <c r="Z43" s="1" t="s">
        <v>41</v>
      </c>
      <c r="AA43" s="1">
        <v>0</v>
      </c>
      <c r="AB43" s="1" t="s">
        <v>41</v>
      </c>
      <c r="AC43" s="1">
        <v>85.810417352118392</v>
      </c>
      <c r="AD43" s="1" t="s">
        <v>41</v>
      </c>
      <c r="AE43" s="1">
        <v>0</v>
      </c>
      <c r="AF43" s="1" t="s">
        <v>41</v>
      </c>
      <c r="AG43" s="1">
        <v>0</v>
      </c>
      <c r="AH43" s="1" t="s">
        <v>41</v>
      </c>
      <c r="AI43" s="1">
        <v>0</v>
      </c>
      <c r="AJ43" s="14">
        <f t="shared" si="0"/>
        <v>0.85810417352118395</v>
      </c>
      <c r="AL43">
        <f t="shared" si="1"/>
        <v>15.163</v>
      </c>
      <c r="AM43">
        <f t="shared" si="2"/>
        <v>15.904444444444445</v>
      </c>
      <c r="AN43" s="100"/>
      <c r="AO43" s="11"/>
    </row>
    <row r="44" spans="2:41" x14ac:dyDescent="0.3">
      <c r="B44" s="4" t="s">
        <v>42</v>
      </c>
      <c r="C44" s="1">
        <v>3.05</v>
      </c>
      <c r="D44" s="1" t="s">
        <v>42</v>
      </c>
      <c r="E44" s="1">
        <v>2.4950000000000001</v>
      </c>
      <c r="F44" s="1" t="s">
        <v>42</v>
      </c>
      <c r="G44" s="1">
        <v>0.13</v>
      </c>
      <c r="H44" s="1" t="s">
        <v>42</v>
      </c>
      <c r="I44" s="1">
        <v>0.15</v>
      </c>
      <c r="J44" s="1" t="s">
        <v>42</v>
      </c>
      <c r="K44" s="1">
        <v>2</v>
      </c>
      <c r="L44" s="1" t="s">
        <v>42</v>
      </c>
      <c r="M44" s="1">
        <v>2.61</v>
      </c>
      <c r="N44" s="1" t="s">
        <v>42</v>
      </c>
      <c r="O44" s="1">
        <v>0</v>
      </c>
      <c r="P44" s="1" t="s">
        <v>42</v>
      </c>
      <c r="Q44" s="1">
        <v>2.61</v>
      </c>
      <c r="R44" s="1" t="s">
        <v>42</v>
      </c>
      <c r="S44" s="1">
        <v>0</v>
      </c>
      <c r="T44" s="1" t="s">
        <v>42</v>
      </c>
      <c r="U44" s="1">
        <v>6.6499999999999986</v>
      </c>
      <c r="V44" s="1" t="s">
        <v>42</v>
      </c>
      <c r="W44" s="1">
        <v>0</v>
      </c>
      <c r="X44" s="1" t="s">
        <v>42</v>
      </c>
      <c r="Y44" s="1">
        <v>0</v>
      </c>
      <c r="Z44" s="1" t="s">
        <v>42</v>
      </c>
      <c r="AA44" s="1">
        <v>0</v>
      </c>
      <c r="AB44" s="1" t="s">
        <v>42</v>
      </c>
      <c r="AC44" s="1">
        <v>79.155611968746683</v>
      </c>
      <c r="AD44" s="1" t="s">
        <v>42</v>
      </c>
      <c r="AE44" s="1">
        <v>0</v>
      </c>
      <c r="AF44" s="1" t="s">
        <v>42</v>
      </c>
      <c r="AG44" s="1">
        <v>0</v>
      </c>
      <c r="AH44" s="1" t="s">
        <v>42</v>
      </c>
      <c r="AI44" s="1">
        <v>0</v>
      </c>
      <c r="AJ44" s="14">
        <f t="shared" si="0"/>
        <v>0.79155611968746686</v>
      </c>
      <c r="AL44">
        <f t="shared" si="1"/>
        <v>8.5949999999999989</v>
      </c>
      <c r="AM44">
        <f t="shared" si="2"/>
        <v>9.259999999999998</v>
      </c>
      <c r="AN44" s="100"/>
      <c r="AO44" s="11"/>
    </row>
    <row r="45" spans="2:41" x14ac:dyDescent="0.3">
      <c r="B45" s="4" t="s">
        <v>43</v>
      </c>
      <c r="C45" s="1">
        <v>1.93</v>
      </c>
      <c r="D45" s="1" t="s">
        <v>43</v>
      </c>
      <c r="E45" s="1">
        <v>2.5590000000000002</v>
      </c>
      <c r="F45" s="1" t="s">
        <v>43</v>
      </c>
      <c r="G45" s="1">
        <v>0.13</v>
      </c>
      <c r="H45" s="1" t="s">
        <v>43</v>
      </c>
      <c r="I45" s="1">
        <v>0.15</v>
      </c>
      <c r="J45" s="1" t="s">
        <v>43</v>
      </c>
      <c r="K45" s="1">
        <v>2</v>
      </c>
      <c r="L45" s="1" t="s">
        <v>43</v>
      </c>
      <c r="M45" s="1">
        <v>6.3999999999999996E-10</v>
      </c>
      <c r="N45" s="1" t="s">
        <v>43</v>
      </c>
      <c r="O45" s="1">
        <v>0</v>
      </c>
      <c r="P45" s="1" t="s">
        <v>43</v>
      </c>
      <c r="Q45" s="1">
        <v>0</v>
      </c>
      <c r="R45" s="1" t="s">
        <v>43</v>
      </c>
      <c r="S45" s="1">
        <v>0</v>
      </c>
      <c r="T45" s="1" t="s">
        <v>43</v>
      </c>
      <c r="U45" s="1">
        <v>7.1322222215111122</v>
      </c>
      <c r="V45" s="1" t="s">
        <v>43</v>
      </c>
      <c r="W45" s="1">
        <v>0</v>
      </c>
      <c r="X45" s="1" t="s">
        <v>43</v>
      </c>
      <c r="Y45" s="1">
        <v>0</v>
      </c>
      <c r="Z45" s="1" t="s">
        <v>43</v>
      </c>
      <c r="AA45" s="1">
        <v>0</v>
      </c>
      <c r="AB45" s="1" t="s">
        <v>43</v>
      </c>
      <c r="AC45" s="1">
        <v>72.018957032965318</v>
      </c>
      <c r="AD45" s="1" t="s">
        <v>43</v>
      </c>
      <c r="AE45" s="1">
        <v>0</v>
      </c>
      <c r="AF45" s="1" t="s">
        <v>43</v>
      </c>
      <c r="AG45" s="1">
        <v>0</v>
      </c>
      <c r="AH45" s="1" t="s">
        <v>43</v>
      </c>
      <c r="AI45" s="1">
        <v>0</v>
      </c>
      <c r="AJ45" s="14">
        <f t="shared" si="0"/>
        <v>0.72018957032965314</v>
      </c>
      <c r="AL45">
        <f t="shared" si="1"/>
        <v>6.4190000000000005</v>
      </c>
      <c r="AM45">
        <f t="shared" si="2"/>
        <v>7.1322222215111122</v>
      </c>
      <c r="AN45" s="100"/>
      <c r="AO45" s="11"/>
    </row>
    <row r="46" spans="2:41" x14ac:dyDescent="0.3">
      <c r="B46" s="4" t="s">
        <v>44</v>
      </c>
      <c r="C46" s="1">
        <v>7.97</v>
      </c>
      <c r="D46" s="1" t="s">
        <v>44</v>
      </c>
      <c r="E46" s="1">
        <v>2.8969999999999998</v>
      </c>
      <c r="F46" s="1" t="s">
        <v>44</v>
      </c>
      <c r="G46" s="1">
        <v>0.13</v>
      </c>
      <c r="H46" s="1" t="s">
        <v>44</v>
      </c>
      <c r="I46" s="1">
        <v>0.15</v>
      </c>
      <c r="J46" s="1" t="s">
        <v>44</v>
      </c>
      <c r="K46" s="1">
        <v>1</v>
      </c>
      <c r="L46" s="1" t="s">
        <v>44</v>
      </c>
      <c r="M46" s="1">
        <v>6.3999999999999996E-10</v>
      </c>
      <c r="N46" s="1" t="s">
        <v>44</v>
      </c>
      <c r="O46" s="1">
        <v>0</v>
      </c>
      <c r="P46" s="1" t="s">
        <v>44</v>
      </c>
      <c r="Q46" s="1">
        <v>0</v>
      </c>
      <c r="R46" s="1" t="s">
        <v>44</v>
      </c>
      <c r="S46" s="1">
        <v>0</v>
      </c>
      <c r="T46" s="1" t="s">
        <v>44</v>
      </c>
      <c r="U46" s="1">
        <v>20.929999999288889</v>
      </c>
      <c r="V46" s="1" t="s">
        <v>44</v>
      </c>
      <c r="W46" s="1">
        <v>0</v>
      </c>
      <c r="X46" s="1" t="s">
        <v>44</v>
      </c>
      <c r="Y46" s="1">
        <v>0</v>
      </c>
      <c r="Z46" s="1" t="s">
        <v>44</v>
      </c>
      <c r="AA46" s="1">
        <v>0</v>
      </c>
      <c r="AB46" s="1" t="s">
        <v>44</v>
      </c>
      <c r="AC46" s="1">
        <v>51.084923972082592</v>
      </c>
      <c r="AD46" s="1" t="s">
        <v>44</v>
      </c>
      <c r="AE46" s="1">
        <v>0</v>
      </c>
      <c r="AF46" s="1" t="s">
        <v>44</v>
      </c>
      <c r="AG46" s="1">
        <v>0</v>
      </c>
      <c r="AH46" s="1" t="s">
        <v>44</v>
      </c>
      <c r="AI46" s="1">
        <v>0</v>
      </c>
      <c r="AJ46" s="14">
        <f t="shared" si="0"/>
        <v>0.51084923972082596</v>
      </c>
      <c r="AL46">
        <f t="shared" si="1"/>
        <v>18.837</v>
      </c>
      <c r="AM46">
        <f t="shared" si="2"/>
        <v>20.929999999288889</v>
      </c>
      <c r="AN46" s="100"/>
      <c r="AO46" s="11"/>
    </row>
    <row r="47" spans="2:41" x14ac:dyDescent="0.3">
      <c r="B47" s="4" t="s">
        <v>45</v>
      </c>
      <c r="C47" s="1">
        <v>5.74</v>
      </c>
      <c r="D47" s="1" t="s">
        <v>45</v>
      </c>
      <c r="E47" s="1">
        <v>1.335</v>
      </c>
      <c r="F47" s="1" t="s">
        <v>45</v>
      </c>
      <c r="G47" s="1">
        <v>0.13</v>
      </c>
      <c r="H47" s="1" t="s">
        <v>45</v>
      </c>
      <c r="I47" s="1">
        <v>0.15</v>
      </c>
      <c r="J47" s="1" t="s">
        <v>45</v>
      </c>
      <c r="K47" s="1">
        <v>1</v>
      </c>
      <c r="L47" s="1" t="s">
        <v>45</v>
      </c>
      <c r="M47" s="1">
        <v>6.3999999999999996E-10</v>
      </c>
      <c r="N47" s="1" t="s">
        <v>45</v>
      </c>
      <c r="O47" s="1">
        <v>0</v>
      </c>
      <c r="P47" s="1" t="s">
        <v>45</v>
      </c>
      <c r="Q47" s="1">
        <v>0</v>
      </c>
      <c r="R47" s="1" t="s">
        <v>45</v>
      </c>
      <c r="S47" s="1">
        <v>0</v>
      </c>
      <c r="T47" s="1" t="s">
        <v>45</v>
      </c>
      <c r="U47" s="1">
        <v>14.23888888817778</v>
      </c>
      <c r="V47" s="1" t="s">
        <v>45</v>
      </c>
      <c r="W47" s="1">
        <v>0</v>
      </c>
      <c r="X47" s="1" t="s">
        <v>45</v>
      </c>
      <c r="Y47" s="1">
        <v>0</v>
      </c>
      <c r="Z47" s="1" t="s">
        <v>45</v>
      </c>
      <c r="AA47" s="1">
        <v>0</v>
      </c>
      <c r="AB47" s="1" t="s">
        <v>45</v>
      </c>
      <c r="AC47" s="1">
        <v>36.843174328162377</v>
      </c>
      <c r="AD47" s="1" t="s">
        <v>45</v>
      </c>
      <c r="AE47" s="1">
        <v>0</v>
      </c>
      <c r="AF47" s="1" t="s">
        <v>45</v>
      </c>
      <c r="AG47" s="1">
        <v>0</v>
      </c>
      <c r="AH47" s="1" t="s">
        <v>45</v>
      </c>
      <c r="AI47" s="1">
        <v>0</v>
      </c>
      <c r="AJ47" s="14">
        <f t="shared" si="0"/>
        <v>0.36843174328162376</v>
      </c>
      <c r="AL47">
        <f t="shared" si="1"/>
        <v>12.815000000000001</v>
      </c>
      <c r="AM47">
        <f t="shared" si="2"/>
        <v>14.23888888817778</v>
      </c>
      <c r="AN47" s="100"/>
      <c r="AO47" s="11"/>
    </row>
    <row r="48" spans="2:41" x14ac:dyDescent="0.3">
      <c r="B48" s="4" t="s">
        <v>46</v>
      </c>
      <c r="C48" s="1">
        <v>2.35</v>
      </c>
      <c r="D48" s="1" t="s">
        <v>46</v>
      </c>
      <c r="E48" s="1">
        <v>1.4570000000000001</v>
      </c>
      <c r="F48" s="1" t="s">
        <v>46</v>
      </c>
      <c r="G48" s="1">
        <v>0.08</v>
      </c>
      <c r="H48" s="1" t="s">
        <v>46</v>
      </c>
      <c r="I48" s="1">
        <v>0.1</v>
      </c>
      <c r="J48" s="1" t="s">
        <v>46</v>
      </c>
      <c r="K48" s="1">
        <v>1</v>
      </c>
      <c r="L48" s="1" t="s">
        <v>46</v>
      </c>
      <c r="M48" s="1">
        <v>6.3999999999999996E-10</v>
      </c>
      <c r="N48" s="1" t="s">
        <v>46</v>
      </c>
      <c r="O48" s="1">
        <v>0</v>
      </c>
      <c r="P48" s="1" t="s">
        <v>46</v>
      </c>
      <c r="Q48" s="1">
        <v>0</v>
      </c>
      <c r="R48" s="1" t="s">
        <v>46</v>
      </c>
      <c r="S48" s="1">
        <v>0</v>
      </c>
      <c r="T48" s="1" t="s">
        <v>46</v>
      </c>
      <c r="U48" s="1">
        <v>6.8411111104</v>
      </c>
      <c r="V48" s="1" t="s">
        <v>46</v>
      </c>
      <c r="W48" s="1">
        <v>0</v>
      </c>
      <c r="X48" s="1" t="s">
        <v>46</v>
      </c>
      <c r="Y48" s="1">
        <v>0</v>
      </c>
      <c r="Z48" s="1" t="s">
        <v>46</v>
      </c>
      <c r="AA48" s="1">
        <v>0</v>
      </c>
      <c r="AB48" s="1" t="s">
        <v>46</v>
      </c>
      <c r="AC48" s="1">
        <v>30</v>
      </c>
      <c r="AD48" s="1" t="s">
        <v>46</v>
      </c>
      <c r="AE48" s="1">
        <v>0</v>
      </c>
      <c r="AF48" s="1" t="s">
        <v>46</v>
      </c>
      <c r="AG48" s="1">
        <v>0</v>
      </c>
      <c r="AH48" s="1" t="s">
        <v>46</v>
      </c>
      <c r="AI48" s="1">
        <v>0</v>
      </c>
      <c r="AJ48" s="14">
        <f t="shared" si="0"/>
        <v>0.3</v>
      </c>
      <c r="AL48">
        <f t="shared" si="1"/>
        <v>6.157</v>
      </c>
      <c r="AM48">
        <f t="shared" si="2"/>
        <v>6.8411111104</v>
      </c>
      <c r="AN48" s="100"/>
      <c r="AO48" s="11"/>
    </row>
    <row r="49" spans="2:41" x14ac:dyDescent="0.3">
      <c r="B49" s="4" t="s">
        <v>47</v>
      </c>
      <c r="C49" s="1">
        <v>2.8</v>
      </c>
      <c r="D49" s="1" t="s">
        <v>47</v>
      </c>
      <c r="E49" s="1">
        <v>2.2000000000000002</v>
      </c>
      <c r="F49" s="1" t="s">
        <v>47</v>
      </c>
      <c r="G49" s="1">
        <v>0.08</v>
      </c>
      <c r="H49" s="1" t="s">
        <v>47</v>
      </c>
      <c r="I49" s="1">
        <v>0.1</v>
      </c>
      <c r="J49" s="1" t="s">
        <v>47</v>
      </c>
      <c r="K49" s="1">
        <v>2</v>
      </c>
      <c r="L49" s="1" t="s">
        <v>47</v>
      </c>
      <c r="M49" s="1">
        <v>6.3999999999999996E-10</v>
      </c>
      <c r="N49" s="1" t="s">
        <v>47</v>
      </c>
      <c r="O49" s="1">
        <v>1.6799999999967952E-3</v>
      </c>
      <c r="P49" s="1" t="s">
        <v>47</v>
      </c>
      <c r="Q49" s="1">
        <v>0</v>
      </c>
      <c r="R49" s="1" t="s">
        <v>47</v>
      </c>
      <c r="S49" s="1">
        <v>0</v>
      </c>
      <c r="T49" s="1" t="s">
        <v>47</v>
      </c>
      <c r="U49" s="1">
        <v>0</v>
      </c>
      <c r="V49" s="1" t="s">
        <v>47</v>
      </c>
      <c r="W49" s="1">
        <v>7.801881298352157</v>
      </c>
      <c r="X49" s="1" t="s">
        <v>47</v>
      </c>
      <c r="Y49" s="1">
        <v>0</v>
      </c>
      <c r="Z49" s="1" t="s">
        <v>47</v>
      </c>
      <c r="AA49" s="1">
        <v>0</v>
      </c>
      <c r="AB49" s="1" t="s">
        <v>47</v>
      </c>
      <c r="AC49" s="1">
        <v>30</v>
      </c>
      <c r="AD49" s="1" t="s">
        <v>47</v>
      </c>
      <c r="AE49" s="1">
        <v>0</v>
      </c>
      <c r="AF49" s="1" t="s">
        <v>47</v>
      </c>
      <c r="AG49" s="1">
        <v>0</v>
      </c>
      <c r="AH49" s="1" t="s">
        <v>47</v>
      </c>
      <c r="AI49" s="1">
        <v>0</v>
      </c>
      <c r="AJ49" s="14">
        <f t="shared" si="0"/>
        <v>0.3</v>
      </c>
      <c r="AL49">
        <f t="shared" si="1"/>
        <v>7.8016799999999966</v>
      </c>
      <c r="AM49">
        <f t="shared" si="2"/>
        <v>7.801881298352157</v>
      </c>
      <c r="AN49" s="100"/>
      <c r="AO49" s="11"/>
    </row>
    <row r="50" spans="2:41" x14ac:dyDescent="0.3">
      <c r="B50" s="4" t="s">
        <v>48</v>
      </c>
      <c r="C50" s="1">
        <v>2.4300000000000002</v>
      </c>
      <c r="D50" s="1" t="s">
        <v>48</v>
      </c>
      <c r="E50" s="1">
        <v>2.5649999999999999</v>
      </c>
      <c r="F50" s="1" t="s">
        <v>48</v>
      </c>
      <c r="G50" s="1">
        <v>0.08</v>
      </c>
      <c r="H50" s="1" t="s">
        <v>48</v>
      </c>
      <c r="I50" s="1">
        <v>0.1</v>
      </c>
      <c r="J50" s="1" t="s">
        <v>48</v>
      </c>
      <c r="K50" s="1">
        <v>2</v>
      </c>
      <c r="L50" s="1" t="s">
        <v>48</v>
      </c>
      <c r="M50" s="1">
        <v>6.3999999999999996E-10</v>
      </c>
      <c r="N50" s="1" t="s">
        <v>48</v>
      </c>
      <c r="O50" s="1">
        <v>1.6799999999967952E-3</v>
      </c>
      <c r="P50" s="1" t="s">
        <v>48</v>
      </c>
      <c r="Q50" s="1">
        <v>0</v>
      </c>
      <c r="R50" s="1" t="s">
        <v>48</v>
      </c>
      <c r="S50" s="1">
        <v>0</v>
      </c>
      <c r="T50" s="1" t="s">
        <v>48</v>
      </c>
      <c r="U50" s="1">
        <v>0</v>
      </c>
      <c r="V50" s="1" t="s">
        <v>48</v>
      </c>
      <c r="W50" s="1">
        <v>7.4268812983521579</v>
      </c>
      <c r="X50" s="1" t="s">
        <v>48</v>
      </c>
      <c r="Y50" s="1">
        <v>0</v>
      </c>
      <c r="Z50" s="1" t="s">
        <v>48</v>
      </c>
      <c r="AA50" s="1">
        <v>0</v>
      </c>
      <c r="AB50" s="1" t="s">
        <v>48</v>
      </c>
      <c r="AC50" s="1">
        <v>30</v>
      </c>
      <c r="AD50" s="1" t="s">
        <v>48</v>
      </c>
      <c r="AE50" s="1">
        <v>0</v>
      </c>
      <c r="AF50" s="1" t="s">
        <v>48</v>
      </c>
      <c r="AG50" s="1">
        <v>0</v>
      </c>
      <c r="AH50" s="1" t="s">
        <v>48</v>
      </c>
      <c r="AI50" s="1">
        <v>0</v>
      </c>
      <c r="AJ50" s="14">
        <f t="shared" si="0"/>
        <v>0.3</v>
      </c>
      <c r="AL50">
        <f t="shared" si="1"/>
        <v>7.4266799999999975</v>
      </c>
      <c r="AM50">
        <f t="shared" si="2"/>
        <v>7.4268812983521579</v>
      </c>
      <c r="AN50" s="100"/>
      <c r="AO50" s="11"/>
    </row>
    <row r="51" spans="2:41" x14ac:dyDescent="0.3">
      <c r="B51" s="4" t="s">
        <v>49</v>
      </c>
      <c r="C51" s="1">
        <v>1.01</v>
      </c>
      <c r="D51" s="1" t="s">
        <v>49</v>
      </c>
      <c r="E51" s="1">
        <v>1.877</v>
      </c>
      <c r="F51" s="1" t="s">
        <v>49</v>
      </c>
      <c r="G51" s="1">
        <v>0.08</v>
      </c>
      <c r="H51" s="1" t="s">
        <v>49</v>
      </c>
      <c r="I51" s="1">
        <v>0.1</v>
      </c>
      <c r="J51" s="1" t="s">
        <v>49</v>
      </c>
      <c r="K51" s="1">
        <v>2</v>
      </c>
      <c r="L51" s="1" t="s">
        <v>49</v>
      </c>
      <c r="M51" s="1">
        <v>6.3999999999999996E-10</v>
      </c>
      <c r="N51" s="1" t="s">
        <v>49</v>
      </c>
      <c r="O51" s="1">
        <v>7.4469820312163648E-2</v>
      </c>
      <c r="P51" s="1" t="s">
        <v>49</v>
      </c>
      <c r="Q51" s="1">
        <v>0</v>
      </c>
      <c r="R51" s="1" t="s">
        <v>49</v>
      </c>
      <c r="S51" s="1">
        <v>0</v>
      </c>
      <c r="T51" s="1" t="s">
        <v>49</v>
      </c>
      <c r="U51" s="1">
        <v>0</v>
      </c>
      <c r="V51" s="1" t="s">
        <v>49</v>
      </c>
      <c r="W51" s="1">
        <v>3.9803928552526808</v>
      </c>
      <c r="X51" s="1" t="s">
        <v>49</v>
      </c>
      <c r="Y51" s="1">
        <v>0</v>
      </c>
      <c r="Z51" s="1" t="s">
        <v>49</v>
      </c>
      <c r="AA51" s="1">
        <v>0</v>
      </c>
      <c r="AB51" s="1" t="s">
        <v>49</v>
      </c>
      <c r="AC51" s="1">
        <v>30.072789820312167</v>
      </c>
      <c r="AD51" s="1" t="s">
        <v>49</v>
      </c>
      <c r="AE51" s="1">
        <v>0</v>
      </c>
      <c r="AF51" s="1" t="s">
        <v>49</v>
      </c>
      <c r="AG51" s="1">
        <v>0</v>
      </c>
      <c r="AH51" s="1" t="s">
        <v>49</v>
      </c>
      <c r="AI51" s="1">
        <v>0</v>
      </c>
      <c r="AJ51" s="14">
        <f t="shared" si="0"/>
        <v>0.30072789820312168</v>
      </c>
      <c r="AL51">
        <f t="shared" si="1"/>
        <v>3.9714698203121639</v>
      </c>
      <c r="AM51">
        <f t="shared" si="2"/>
        <v>3.9803928552526808</v>
      </c>
      <c r="AN51" s="100"/>
      <c r="AO51" s="11"/>
    </row>
    <row r="52" spans="2:41" x14ac:dyDescent="0.3">
      <c r="B52" s="4" t="s">
        <v>50</v>
      </c>
      <c r="C52" s="1">
        <v>1.08</v>
      </c>
      <c r="D52" s="1" t="s">
        <v>50</v>
      </c>
      <c r="E52" s="1">
        <v>1.9990000000000001</v>
      </c>
      <c r="F52" s="1" t="s">
        <v>50</v>
      </c>
      <c r="G52" s="1">
        <v>0.08</v>
      </c>
      <c r="H52" s="1" t="s">
        <v>50</v>
      </c>
      <c r="I52" s="1">
        <v>0.1</v>
      </c>
      <c r="J52" s="1" t="s">
        <v>50</v>
      </c>
      <c r="K52" s="1">
        <v>2</v>
      </c>
      <c r="L52" s="1" t="s">
        <v>50</v>
      </c>
      <c r="M52" s="1">
        <v>6.3999999999999996E-10</v>
      </c>
      <c r="N52" s="1" t="s">
        <v>50</v>
      </c>
      <c r="O52" s="1">
        <v>18.611013000571518</v>
      </c>
      <c r="P52" s="1" t="s">
        <v>50</v>
      </c>
      <c r="Q52" s="1">
        <v>0</v>
      </c>
      <c r="R52" s="1" t="s">
        <v>50</v>
      </c>
      <c r="S52" s="1">
        <v>0</v>
      </c>
      <c r="T52" s="1" t="s">
        <v>50</v>
      </c>
      <c r="U52" s="1">
        <v>0</v>
      </c>
      <c r="V52" s="1" t="s">
        <v>50</v>
      </c>
      <c r="W52" s="1">
        <v>25</v>
      </c>
      <c r="X52" s="1" t="s">
        <v>50</v>
      </c>
      <c r="Y52" s="1">
        <v>0</v>
      </c>
      <c r="Z52" s="1" t="s">
        <v>50</v>
      </c>
      <c r="AA52" s="1">
        <v>0</v>
      </c>
      <c r="AB52" s="1" t="s">
        <v>50</v>
      </c>
      <c r="AC52" s="1">
        <v>48.682118744653749</v>
      </c>
      <c r="AD52" s="1" t="s">
        <v>50</v>
      </c>
      <c r="AE52" s="1">
        <v>0</v>
      </c>
      <c r="AF52" s="1" t="s">
        <v>50</v>
      </c>
      <c r="AG52" s="1">
        <v>0</v>
      </c>
      <c r="AH52" s="1" t="s">
        <v>50</v>
      </c>
      <c r="AI52" s="1">
        <v>0</v>
      </c>
      <c r="AJ52" s="14">
        <f t="shared" si="0"/>
        <v>0.48682118744653752</v>
      </c>
      <c r="AL52">
        <f t="shared" si="1"/>
        <v>22.770013000571517</v>
      </c>
      <c r="AM52">
        <f t="shared" si="2"/>
        <v>25</v>
      </c>
      <c r="AN52" s="100"/>
      <c r="AO52" s="11"/>
    </row>
    <row r="53" spans="2:41" x14ac:dyDescent="0.3">
      <c r="B53" s="4" t="s">
        <v>51</v>
      </c>
      <c r="C53" s="1">
        <v>1.56</v>
      </c>
      <c r="D53" s="1" t="s">
        <v>51</v>
      </c>
      <c r="E53" s="1">
        <v>2.9129999999999998</v>
      </c>
      <c r="F53" s="1" t="s">
        <v>51</v>
      </c>
      <c r="G53" s="1">
        <v>0.08</v>
      </c>
      <c r="H53" s="1" t="s">
        <v>51</v>
      </c>
      <c r="I53" s="1">
        <v>0.1</v>
      </c>
      <c r="J53" s="1" t="s">
        <v>51</v>
      </c>
      <c r="K53" s="1">
        <v>2</v>
      </c>
      <c r="L53" s="1" t="s">
        <v>51</v>
      </c>
      <c r="M53" s="1">
        <v>6.3999999999999996E-10</v>
      </c>
      <c r="N53" s="1" t="s">
        <v>51</v>
      </c>
      <c r="O53" s="1">
        <v>16.937531000571518</v>
      </c>
      <c r="P53" s="1" t="s">
        <v>51</v>
      </c>
      <c r="Q53" s="1">
        <v>0</v>
      </c>
      <c r="R53" s="1" t="s">
        <v>51</v>
      </c>
      <c r="S53" s="1">
        <v>0</v>
      </c>
      <c r="T53" s="1" t="s">
        <v>51</v>
      </c>
      <c r="U53" s="1">
        <v>0</v>
      </c>
      <c r="V53" s="1" t="s">
        <v>51</v>
      </c>
      <c r="W53" s="1">
        <v>25</v>
      </c>
      <c r="X53" s="1" t="s">
        <v>51</v>
      </c>
      <c r="Y53" s="1">
        <v>0</v>
      </c>
      <c r="Z53" s="1" t="s">
        <v>51</v>
      </c>
      <c r="AA53" s="1">
        <v>0</v>
      </c>
      <c r="AB53" s="1" t="s">
        <v>51</v>
      </c>
      <c r="AC53" s="1">
        <v>65.616923546575578</v>
      </c>
      <c r="AD53" s="1" t="s">
        <v>51</v>
      </c>
      <c r="AE53" s="1">
        <v>0</v>
      </c>
      <c r="AF53" s="1" t="s">
        <v>51</v>
      </c>
      <c r="AG53" s="1">
        <v>0</v>
      </c>
      <c r="AH53" s="1" t="s">
        <v>51</v>
      </c>
      <c r="AI53" s="1">
        <v>0</v>
      </c>
      <c r="AJ53" s="14">
        <f t="shared" si="0"/>
        <v>0.65616923546575578</v>
      </c>
      <c r="AL53">
        <f t="shared" si="1"/>
        <v>22.970531000571519</v>
      </c>
      <c r="AM53">
        <f t="shared" si="2"/>
        <v>25</v>
      </c>
      <c r="AN53" s="100"/>
      <c r="AO53" s="11"/>
    </row>
    <row r="54" spans="2:41" x14ac:dyDescent="0.3">
      <c r="B54" s="4" t="s">
        <v>52</v>
      </c>
      <c r="C54" s="1">
        <v>1.38</v>
      </c>
      <c r="D54" s="1" t="s">
        <v>52</v>
      </c>
      <c r="E54" s="1">
        <v>2.5710000000000002</v>
      </c>
      <c r="F54" s="1" t="s">
        <v>52</v>
      </c>
      <c r="G54" s="1">
        <v>0.08</v>
      </c>
      <c r="H54" s="1" t="s">
        <v>52</v>
      </c>
      <c r="I54" s="1">
        <v>0.1</v>
      </c>
      <c r="J54" s="1" t="s">
        <v>52</v>
      </c>
      <c r="K54" s="1">
        <v>2</v>
      </c>
      <c r="L54" s="1" t="s">
        <v>52</v>
      </c>
      <c r="M54" s="1">
        <v>6.3999999999999996E-10</v>
      </c>
      <c r="N54" s="1" t="s">
        <v>52</v>
      </c>
      <c r="O54" s="1">
        <v>17.56441700057152</v>
      </c>
      <c r="P54" s="1" t="s">
        <v>52</v>
      </c>
      <c r="Q54" s="1">
        <v>0</v>
      </c>
      <c r="R54" s="1" t="s">
        <v>52</v>
      </c>
      <c r="S54" s="1">
        <v>0</v>
      </c>
      <c r="T54" s="1" t="s">
        <v>52</v>
      </c>
      <c r="U54" s="1">
        <v>0</v>
      </c>
      <c r="V54" s="1" t="s">
        <v>52</v>
      </c>
      <c r="W54" s="1">
        <v>25</v>
      </c>
      <c r="X54" s="1" t="s">
        <v>52</v>
      </c>
      <c r="Y54" s="1">
        <v>0</v>
      </c>
      <c r="Z54" s="1" t="s">
        <v>52</v>
      </c>
      <c r="AA54" s="1">
        <v>0</v>
      </c>
      <c r="AB54" s="1" t="s">
        <v>52</v>
      </c>
      <c r="AC54" s="1">
        <v>83.177665999428484</v>
      </c>
      <c r="AD54" s="1" t="s">
        <v>52</v>
      </c>
      <c r="AE54" s="1">
        <v>0</v>
      </c>
      <c r="AF54" s="1" t="s">
        <v>52</v>
      </c>
      <c r="AG54" s="1">
        <v>0</v>
      </c>
      <c r="AH54" s="1" t="s">
        <v>52</v>
      </c>
      <c r="AI54" s="1">
        <v>0</v>
      </c>
      <c r="AJ54" s="14">
        <f t="shared" si="0"/>
        <v>0.83177665999428485</v>
      </c>
      <c r="AL54">
        <f t="shared" si="1"/>
        <v>22.89541700057152</v>
      </c>
      <c r="AM54">
        <f t="shared" si="2"/>
        <v>25</v>
      </c>
      <c r="AN54" s="100"/>
      <c r="AO54" s="11"/>
    </row>
    <row r="55" spans="2:41" x14ac:dyDescent="0.3">
      <c r="B55" s="4" t="s">
        <v>53</v>
      </c>
      <c r="C55" s="1">
        <v>1.6</v>
      </c>
      <c r="D55" s="1" t="s">
        <v>53</v>
      </c>
      <c r="E55" s="1">
        <v>2.9620000000000002</v>
      </c>
      <c r="F55" s="1" t="s">
        <v>53</v>
      </c>
      <c r="G55" s="1">
        <v>0.08</v>
      </c>
      <c r="H55" s="1" t="s">
        <v>53</v>
      </c>
      <c r="I55" s="1">
        <v>0.1</v>
      </c>
      <c r="J55" s="1" t="s">
        <v>53</v>
      </c>
      <c r="K55" s="1">
        <v>2</v>
      </c>
      <c r="L55" s="1" t="s">
        <v>53</v>
      </c>
      <c r="M55" s="1">
        <v>6.3999999999999996E-10</v>
      </c>
      <c r="N55" s="1" t="s">
        <v>53</v>
      </c>
      <c r="O55" s="1">
        <v>16.822334000571519</v>
      </c>
      <c r="P55" s="1" t="s">
        <v>53</v>
      </c>
      <c r="Q55" s="1">
        <v>0</v>
      </c>
      <c r="R55" s="1" t="s">
        <v>53</v>
      </c>
      <c r="S55" s="1">
        <v>0</v>
      </c>
      <c r="T55" s="1" t="s">
        <v>53</v>
      </c>
      <c r="U55" s="1">
        <v>0</v>
      </c>
      <c r="V55" s="1" t="s">
        <v>53</v>
      </c>
      <c r="W55" s="1">
        <v>25</v>
      </c>
      <c r="X55" s="1" t="s">
        <v>53</v>
      </c>
      <c r="Y55" s="1">
        <v>0</v>
      </c>
      <c r="Z55" s="1" t="s">
        <v>53</v>
      </c>
      <c r="AA55" s="1">
        <v>0</v>
      </c>
      <c r="AB55" s="1" t="s">
        <v>53</v>
      </c>
      <c r="AC55" s="1">
        <v>99.995342050704039</v>
      </c>
      <c r="AD55" s="1" t="s">
        <v>53</v>
      </c>
      <c r="AE55" s="1">
        <v>0</v>
      </c>
      <c r="AF55" s="1" t="s">
        <v>53</v>
      </c>
      <c r="AG55" s="1">
        <v>0</v>
      </c>
      <c r="AH55" s="1" t="s">
        <v>53</v>
      </c>
      <c r="AI55" s="1">
        <v>0</v>
      </c>
      <c r="AJ55" s="14">
        <f t="shared" si="0"/>
        <v>0.99995342050704039</v>
      </c>
      <c r="AL55">
        <f t="shared" si="1"/>
        <v>22.984334000571522</v>
      </c>
      <c r="AM55">
        <f t="shared" si="2"/>
        <v>25</v>
      </c>
      <c r="AN55" s="100"/>
      <c r="AO55" s="11"/>
    </row>
    <row r="56" spans="2:41" x14ac:dyDescent="0.3">
      <c r="B56" s="4" t="s">
        <v>54</v>
      </c>
      <c r="C56" s="1">
        <v>1.21</v>
      </c>
      <c r="D56" s="1" t="s">
        <v>54</v>
      </c>
      <c r="E56" s="1">
        <v>2.2469999999999999</v>
      </c>
      <c r="F56" s="1" t="s">
        <v>54</v>
      </c>
      <c r="G56" s="1">
        <v>0.13</v>
      </c>
      <c r="H56" s="1" t="s">
        <v>54</v>
      </c>
      <c r="I56" s="1">
        <v>0.15</v>
      </c>
      <c r="J56" s="1" t="s">
        <v>54</v>
      </c>
      <c r="K56" s="1">
        <v>2</v>
      </c>
      <c r="L56" s="1" t="s">
        <v>54</v>
      </c>
      <c r="M56" s="1">
        <v>6.3999999999999996E-10</v>
      </c>
      <c r="N56" s="1" t="s">
        <v>54</v>
      </c>
      <c r="O56" s="1">
        <v>0</v>
      </c>
      <c r="P56" s="1" t="s">
        <v>54</v>
      </c>
      <c r="Q56" s="1">
        <v>0</v>
      </c>
      <c r="R56" s="1" t="s">
        <v>54</v>
      </c>
      <c r="S56" s="1">
        <v>0</v>
      </c>
      <c r="T56" s="1" t="s">
        <v>54</v>
      </c>
      <c r="U56" s="1">
        <v>5.1855555548444441</v>
      </c>
      <c r="V56" s="1" t="s">
        <v>54</v>
      </c>
      <c r="W56" s="1">
        <v>0</v>
      </c>
      <c r="X56" s="1" t="s">
        <v>54</v>
      </c>
      <c r="Y56" s="1">
        <v>0</v>
      </c>
      <c r="Z56" s="1" t="s">
        <v>54</v>
      </c>
      <c r="AA56" s="1">
        <v>0</v>
      </c>
      <c r="AB56" s="1" t="s">
        <v>54</v>
      </c>
      <c r="AC56" s="1">
        <v>94.804186756704766</v>
      </c>
      <c r="AD56" s="1" t="s">
        <v>54</v>
      </c>
      <c r="AE56" s="1">
        <v>0</v>
      </c>
      <c r="AF56" s="1" t="s">
        <v>54</v>
      </c>
      <c r="AG56" s="1">
        <v>0</v>
      </c>
      <c r="AH56" s="1" t="s">
        <v>54</v>
      </c>
      <c r="AI56" s="1">
        <v>0</v>
      </c>
      <c r="AJ56" s="14">
        <f t="shared" si="0"/>
        <v>0.94804186756704767</v>
      </c>
      <c r="AL56">
        <f t="shared" si="1"/>
        <v>4.6669999999999998</v>
      </c>
      <c r="AM56">
        <f t="shared" si="2"/>
        <v>5.1855555548444441</v>
      </c>
      <c r="AN56" s="100"/>
      <c r="AO56" s="11"/>
    </row>
    <row r="57" spans="2:41" x14ac:dyDescent="0.3">
      <c r="B57" s="4" t="s">
        <v>55</v>
      </c>
      <c r="C57" s="1">
        <v>0.69</v>
      </c>
      <c r="D57" s="1" t="s">
        <v>55</v>
      </c>
      <c r="E57" s="1">
        <v>1.671</v>
      </c>
      <c r="F57" s="1" t="s">
        <v>55</v>
      </c>
      <c r="G57" s="1">
        <v>0.13</v>
      </c>
      <c r="H57" s="1" t="s">
        <v>55</v>
      </c>
      <c r="I57" s="1">
        <v>0.15</v>
      </c>
      <c r="J57" s="1" t="s">
        <v>55</v>
      </c>
      <c r="K57" s="1">
        <v>2</v>
      </c>
      <c r="L57" s="1" t="s">
        <v>55</v>
      </c>
      <c r="M57" s="1">
        <v>6.8000000000000003E-10</v>
      </c>
      <c r="N57" s="1" t="s">
        <v>55</v>
      </c>
      <c r="O57" s="1">
        <v>0</v>
      </c>
      <c r="P57" s="1" t="s">
        <v>55</v>
      </c>
      <c r="Q57" s="1">
        <v>0</v>
      </c>
      <c r="R57" s="1" t="s">
        <v>55</v>
      </c>
      <c r="S57" s="1">
        <v>0</v>
      </c>
      <c r="T57" s="1" t="s">
        <v>55</v>
      </c>
      <c r="U57" s="1">
        <v>3.3899999992444445</v>
      </c>
      <c r="V57" s="1" t="s">
        <v>55</v>
      </c>
      <c r="W57" s="1">
        <v>0</v>
      </c>
      <c r="X57" s="1" t="s">
        <v>55</v>
      </c>
      <c r="Y57" s="1">
        <v>0</v>
      </c>
      <c r="Z57" s="1" t="s">
        <v>55</v>
      </c>
      <c r="AA57" s="1">
        <v>0</v>
      </c>
      <c r="AB57" s="1" t="s">
        <v>55</v>
      </c>
      <c r="AC57" s="1">
        <v>91.408877723001964</v>
      </c>
      <c r="AD57" s="1" t="s">
        <v>55</v>
      </c>
      <c r="AE57" s="1">
        <v>0</v>
      </c>
      <c r="AF57" s="1" t="s">
        <v>55</v>
      </c>
      <c r="AG57" s="1">
        <v>0</v>
      </c>
      <c r="AH57" s="1" t="s">
        <v>55</v>
      </c>
      <c r="AI57" s="1">
        <v>0</v>
      </c>
      <c r="AJ57" s="14">
        <f t="shared" si="0"/>
        <v>0.91408877723001969</v>
      </c>
      <c r="AL57">
        <f t="shared" si="1"/>
        <v>3.0510000000000002</v>
      </c>
      <c r="AM57">
        <f t="shared" si="2"/>
        <v>3.3899999992444445</v>
      </c>
      <c r="AN57" s="100"/>
      <c r="AO57" s="11"/>
    </row>
    <row r="58" spans="2:41" x14ac:dyDescent="0.3">
      <c r="B58" s="4" t="s">
        <v>56</v>
      </c>
      <c r="C58" s="1">
        <v>0.92</v>
      </c>
      <c r="D58" s="1" t="s">
        <v>56</v>
      </c>
      <c r="E58" s="1">
        <v>2.2440000000000002</v>
      </c>
      <c r="F58" s="1" t="s">
        <v>56</v>
      </c>
      <c r="G58" s="1">
        <v>0.13</v>
      </c>
      <c r="H58" s="1" t="s">
        <v>56</v>
      </c>
      <c r="I58" s="1">
        <v>0.15</v>
      </c>
      <c r="J58" s="1" t="s">
        <v>56</v>
      </c>
      <c r="K58" s="1">
        <v>2</v>
      </c>
      <c r="L58" s="1" t="s">
        <v>56</v>
      </c>
      <c r="M58" s="1">
        <v>7.59</v>
      </c>
      <c r="N58" s="1" t="s">
        <v>56</v>
      </c>
      <c r="O58" s="1">
        <v>0</v>
      </c>
      <c r="P58" s="1" t="s">
        <v>56</v>
      </c>
      <c r="Q58" s="1">
        <v>7.59</v>
      </c>
      <c r="R58" s="1" t="s">
        <v>56</v>
      </c>
      <c r="S58" s="1">
        <v>0</v>
      </c>
      <c r="T58" s="1" t="s">
        <v>56</v>
      </c>
      <c r="U58" s="1">
        <v>0</v>
      </c>
      <c r="V58" s="1" t="s">
        <v>56</v>
      </c>
      <c r="W58" s="1">
        <v>0</v>
      </c>
      <c r="X58" s="1" t="s">
        <v>56</v>
      </c>
      <c r="Y58" s="1">
        <v>3.5059999999999993</v>
      </c>
      <c r="Z58" s="1" t="s">
        <v>56</v>
      </c>
      <c r="AA58" s="1">
        <v>0</v>
      </c>
      <c r="AB58" s="1" t="s">
        <v>56</v>
      </c>
      <c r="AC58" s="1">
        <v>91.403758825849479</v>
      </c>
      <c r="AD58" s="1" t="s">
        <v>56</v>
      </c>
      <c r="AE58" s="1">
        <v>0</v>
      </c>
      <c r="AF58" s="1" t="s">
        <v>56</v>
      </c>
      <c r="AG58" s="1">
        <v>0</v>
      </c>
      <c r="AH58" s="1" t="s">
        <v>56</v>
      </c>
      <c r="AI58" s="1">
        <v>0</v>
      </c>
      <c r="AJ58" s="14">
        <f t="shared" si="0"/>
        <v>0.91403758825849479</v>
      </c>
      <c r="AL58">
        <f t="shared" si="1"/>
        <v>7.59</v>
      </c>
      <c r="AM58">
        <f t="shared" si="2"/>
        <v>7.59</v>
      </c>
      <c r="AN58" s="100"/>
      <c r="AO58" s="11"/>
    </row>
    <row r="59" spans="2:41" x14ac:dyDescent="0.3">
      <c r="B59" s="4" t="s">
        <v>57</v>
      </c>
      <c r="C59" s="1">
        <v>1.85</v>
      </c>
      <c r="D59" s="1" t="s">
        <v>57</v>
      </c>
      <c r="E59" s="1">
        <v>7.72</v>
      </c>
      <c r="F59" s="1" t="s">
        <v>57</v>
      </c>
      <c r="G59" s="1">
        <v>0.13</v>
      </c>
      <c r="H59" s="1" t="s">
        <v>57</v>
      </c>
      <c r="I59" s="1">
        <v>0.15</v>
      </c>
      <c r="J59" s="1" t="s">
        <v>57</v>
      </c>
      <c r="K59" s="1">
        <v>2</v>
      </c>
      <c r="L59" s="1" t="s">
        <v>57</v>
      </c>
      <c r="M59" s="1">
        <v>7.15</v>
      </c>
      <c r="N59" s="1" t="s">
        <v>57</v>
      </c>
      <c r="O59" s="1">
        <v>0</v>
      </c>
      <c r="P59" s="1" t="s">
        <v>57</v>
      </c>
      <c r="Q59" s="1">
        <v>7.15</v>
      </c>
      <c r="R59" s="1" t="s">
        <v>57</v>
      </c>
      <c r="S59" s="1">
        <v>0</v>
      </c>
      <c r="T59" s="1" t="s">
        <v>57</v>
      </c>
      <c r="U59" s="1">
        <v>1.5906281279624892</v>
      </c>
      <c r="V59" s="1" t="s">
        <v>57</v>
      </c>
      <c r="W59" s="1">
        <v>2.8384346848337589</v>
      </c>
      <c r="X59" s="1" t="s">
        <v>57</v>
      </c>
      <c r="Y59" s="1">
        <v>0</v>
      </c>
      <c r="Z59" s="1" t="s">
        <v>57</v>
      </c>
      <c r="AA59" s="1">
        <v>0</v>
      </c>
      <c r="AB59" s="1" t="s">
        <v>57</v>
      </c>
      <c r="AC59" s="1">
        <v>89.808012087392754</v>
      </c>
      <c r="AD59" s="1" t="s">
        <v>57</v>
      </c>
      <c r="AE59" s="1">
        <v>0</v>
      </c>
      <c r="AF59" s="1" t="s">
        <v>57</v>
      </c>
      <c r="AG59" s="1">
        <v>0</v>
      </c>
      <c r="AH59" s="1" t="s">
        <v>57</v>
      </c>
      <c r="AI59" s="1">
        <v>0</v>
      </c>
      <c r="AJ59" s="14">
        <f t="shared" si="0"/>
        <v>0.89808012087392752</v>
      </c>
      <c r="AL59">
        <f t="shared" si="1"/>
        <v>11.42</v>
      </c>
      <c r="AM59">
        <f t="shared" si="2"/>
        <v>11.579062812796248</v>
      </c>
      <c r="AN59" s="100"/>
      <c r="AO59" s="11"/>
    </row>
    <row r="60" spans="2:41" x14ac:dyDescent="0.3">
      <c r="B60" s="4" t="s">
        <v>58</v>
      </c>
      <c r="C60" s="1">
        <v>3.28</v>
      </c>
      <c r="D60" s="1" t="s">
        <v>58</v>
      </c>
      <c r="E60" s="1">
        <v>7.0890000000000004</v>
      </c>
      <c r="F60" s="1" t="s">
        <v>58</v>
      </c>
      <c r="G60" s="1">
        <v>0.13</v>
      </c>
      <c r="H60" s="1" t="s">
        <v>58</v>
      </c>
      <c r="I60" s="1">
        <v>0.15</v>
      </c>
      <c r="J60" s="1" t="s">
        <v>58</v>
      </c>
      <c r="K60" s="1">
        <v>1</v>
      </c>
      <c r="L60" s="1" t="s">
        <v>58</v>
      </c>
      <c r="M60" s="1">
        <v>9.9499999999999993</v>
      </c>
      <c r="N60" s="1" t="s">
        <v>58</v>
      </c>
      <c r="O60" s="1">
        <v>0</v>
      </c>
      <c r="P60" s="1" t="s">
        <v>58</v>
      </c>
      <c r="Q60" s="1">
        <v>9.9499999999999993</v>
      </c>
      <c r="R60" s="1" t="s">
        <v>58</v>
      </c>
      <c r="S60" s="1">
        <v>0</v>
      </c>
      <c r="T60" s="1" t="s">
        <v>58</v>
      </c>
      <c r="U60" s="1">
        <v>4.1100000000000012</v>
      </c>
      <c r="V60" s="1" t="s">
        <v>58</v>
      </c>
      <c r="W60" s="1">
        <v>0</v>
      </c>
      <c r="X60" s="1" t="s">
        <v>58</v>
      </c>
      <c r="Y60" s="1">
        <v>0</v>
      </c>
      <c r="Z60" s="1" t="s">
        <v>58</v>
      </c>
      <c r="AA60" s="1">
        <v>0</v>
      </c>
      <c r="AB60" s="1" t="s">
        <v>58</v>
      </c>
      <c r="AC60" s="1">
        <v>85.692982838715864</v>
      </c>
      <c r="AD60" s="1" t="s">
        <v>58</v>
      </c>
      <c r="AE60" s="1">
        <v>0</v>
      </c>
      <c r="AF60" s="1" t="s">
        <v>58</v>
      </c>
      <c r="AG60" s="1">
        <v>0</v>
      </c>
      <c r="AH60" s="1" t="s">
        <v>58</v>
      </c>
      <c r="AI60" s="1">
        <v>0</v>
      </c>
      <c r="AJ60" s="14">
        <f t="shared" si="0"/>
        <v>0.85692982838715859</v>
      </c>
      <c r="AL60">
        <f t="shared" si="1"/>
        <v>13.649000000000001</v>
      </c>
      <c r="AM60">
        <f t="shared" si="2"/>
        <v>14.06</v>
      </c>
      <c r="AN60" s="100"/>
      <c r="AO60" s="11"/>
    </row>
    <row r="61" spans="2:41" x14ac:dyDescent="0.3">
      <c r="B61" s="4" t="s">
        <v>59</v>
      </c>
      <c r="C61" s="1">
        <v>4.4000000000000004</v>
      </c>
      <c r="D61" s="1" t="s">
        <v>59</v>
      </c>
      <c r="E61" s="1">
        <v>9.4930000000000003</v>
      </c>
      <c r="F61" s="1" t="s">
        <v>59</v>
      </c>
      <c r="G61" s="1">
        <v>0.13</v>
      </c>
      <c r="H61" s="1" t="s">
        <v>59</v>
      </c>
      <c r="I61" s="1">
        <v>0.15</v>
      </c>
      <c r="J61" s="1" t="s">
        <v>59</v>
      </c>
      <c r="K61" s="1">
        <v>1</v>
      </c>
      <c r="L61" s="1" t="s">
        <v>59</v>
      </c>
      <c r="M61" s="1">
        <v>10.63</v>
      </c>
      <c r="N61" s="1" t="s">
        <v>59</v>
      </c>
      <c r="O61" s="1">
        <v>0</v>
      </c>
      <c r="P61" s="1" t="s">
        <v>59</v>
      </c>
      <c r="Q61" s="1">
        <v>10.63</v>
      </c>
      <c r="R61" s="1" t="s">
        <v>59</v>
      </c>
      <c r="S61" s="1">
        <v>0</v>
      </c>
      <c r="T61" s="1" t="s">
        <v>59</v>
      </c>
      <c r="U61" s="1">
        <v>8.5144444444444449</v>
      </c>
      <c r="V61" s="1" t="s">
        <v>59</v>
      </c>
      <c r="W61" s="1">
        <v>0</v>
      </c>
      <c r="X61" s="1" t="s">
        <v>59</v>
      </c>
      <c r="Y61" s="1">
        <v>0</v>
      </c>
      <c r="Z61" s="1" t="s">
        <v>59</v>
      </c>
      <c r="AA61" s="1">
        <v>0</v>
      </c>
      <c r="AB61" s="1" t="s">
        <v>59</v>
      </c>
      <c r="AC61" s="1">
        <v>77.173739587232447</v>
      </c>
      <c r="AD61" s="1" t="s">
        <v>59</v>
      </c>
      <c r="AE61" s="1">
        <v>0</v>
      </c>
      <c r="AF61" s="1" t="s">
        <v>59</v>
      </c>
      <c r="AG61" s="1">
        <v>0</v>
      </c>
      <c r="AH61" s="1" t="s">
        <v>59</v>
      </c>
      <c r="AI61" s="1">
        <v>0</v>
      </c>
      <c r="AJ61" s="14">
        <f t="shared" si="0"/>
        <v>0.77173739587232448</v>
      </c>
      <c r="AL61">
        <f t="shared" si="1"/>
        <v>18.292999999999999</v>
      </c>
      <c r="AM61">
        <f t="shared" si="2"/>
        <v>19.144444444444446</v>
      </c>
      <c r="AN61" s="100"/>
      <c r="AO61" s="11"/>
    </row>
    <row r="62" spans="2:41" x14ac:dyDescent="0.3">
      <c r="B62" s="4" t="s">
        <v>60</v>
      </c>
      <c r="C62" s="1">
        <v>3.05</v>
      </c>
      <c r="D62" s="1" t="s">
        <v>60</v>
      </c>
      <c r="E62" s="1">
        <v>1.1679999999999999</v>
      </c>
      <c r="F62" s="1" t="s">
        <v>60</v>
      </c>
      <c r="G62" s="1">
        <v>0.13</v>
      </c>
      <c r="H62" s="1" t="s">
        <v>60</v>
      </c>
      <c r="I62" s="1">
        <v>0.15</v>
      </c>
      <c r="J62" s="1" t="s">
        <v>60</v>
      </c>
      <c r="K62" s="1">
        <v>1</v>
      </c>
      <c r="L62" s="1" t="s">
        <v>60</v>
      </c>
      <c r="M62" s="1">
        <v>10.66</v>
      </c>
      <c r="N62" s="1" t="s">
        <v>60</v>
      </c>
      <c r="O62" s="1">
        <v>3.0290560000000006</v>
      </c>
      <c r="P62" s="1" t="s">
        <v>60</v>
      </c>
      <c r="Q62" s="1">
        <v>10.66</v>
      </c>
      <c r="R62" s="1" t="s">
        <v>60</v>
      </c>
      <c r="S62" s="1">
        <v>0</v>
      </c>
      <c r="T62" s="1" t="s">
        <v>60</v>
      </c>
      <c r="U62" s="1">
        <v>0</v>
      </c>
      <c r="V62" s="1" t="s">
        <v>60</v>
      </c>
      <c r="W62" s="1">
        <v>0</v>
      </c>
      <c r="X62" s="1" t="s">
        <v>60</v>
      </c>
      <c r="Y62" s="1">
        <v>0</v>
      </c>
      <c r="Z62" s="1" t="s">
        <v>60</v>
      </c>
      <c r="AA62" s="1">
        <v>0</v>
      </c>
      <c r="AB62" s="1" t="s">
        <v>60</v>
      </c>
      <c r="AC62" s="1">
        <v>80.198473857815571</v>
      </c>
      <c r="AD62" s="1" t="s">
        <v>60</v>
      </c>
      <c r="AE62" s="1">
        <v>0</v>
      </c>
      <c r="AF62" s="1" t="s">
        <v>60</v>
      </c>
      <c r="AG62" s="1">
        <v>0</v>
      </c>
      <c r="AH62" s="1" t="s">
        <v>60</v>
      </c>
      <c r="AI62" s="1">
        <v>0</v>
      </c>
      <c r="AJ62" s="14">
        <f t="shared" si="0"/>
        <v>0.80198473857815566</v>
      </c>
      <c r="AL62">
        <f t="shared" si="1"/>
        <v>10.297056000000001</v>
      </c>
      <c r="AM62">
        <f t="shared" si="2"/>
        <v>10.66</v>
      </c>
      <c r="AN62" s="100"/>
      <c r="AO62" s="11"/>
    </row>
    <row r="63" spans="2:41" x14ac:dyDescent="0.3">
      <c r="B63" s="4" t="s">
        <v>61</v>
      </c>
      <c r="C63" s="1">
        <v>5.41</v>
      </c>
      <c r="D63" s="1" t="s">
        <v>61</v>
      </c>
      <c r="E63" s="1">
        <v>1.258</v>
      </c>
      <c r="F63" s="1" t="s">
        <v>61</v>
      </c>
      <c r="G63" s="1">
        <v>0.13</v>
      </c>
      <c r="H63" s="1" t="s">
        <v>61</v>
      </c>
      <c r="I63" s="1">
        <v>0.15</v>
      </c>
      <c r="J63" s="1" t="s">
        <v>61</v>
      </c>
      <c r="K63" s="1">
        <v>1</v>
      </c>
      <c r="L63" s="1" t="s">
        <v>61</v>
      </c>
      <c r="M63" s="1">
        <v>11.91</v>
      </c>
      <c r="N63" s="1" t="s">
        <v>61</v>
      </c>
      <c r="O63" s="1">
        <v>0</v>
      </c>
      <c r="P63" s="1" t="s">
        <v>61</v>
      </c>
      <c r="Q63" s="1">
        <v>11.91</v>
      </c>
      <c r="R63" s="1" t="s">
        <v>61</v>
      </c>
      <c r="S63" s="1">
        <v>0</v>
      </c>
      <c r="T63" s="1" t="s">
        <v>61</v>
      </c>
      <c r="U63" s="1">
        <v>0.18666666666666565</v>
      </c>
      <c r="V63" s="1" t="s">
        <v>61</v>
      </c>
      <c r="W63" s="1">
        <v>0</v>
      </c>
      <c r="X63" s="1" t="s">
        <v>61</v>
      </c>
      <c r="Y63" s="1">
        <v>0</v>
      </c>
      <c r="Z63" s="1" t="s">
        <v>61</v>
      </c>
      <c r="AA63" s="1">
        <v>0</v>
      </c>
      <c r="AB63" s="1" t="s">
        <v>61</v>
      </c>
      <c r="AC63" s="1">
        <v>80.007316076612881</v>
      </c>
      <c r="AD63" s="1" t="s">
        <v>61</v>
      </c>
      <c r="AE63" s="1">
        <v>0</v>
      </c>
      <c r="AF63" s="1" t="s">
        <v>61</v>
      </c>
      <c r="AG63" s="1">
        <v>0</v>
      </c>
      <c r="AH63" s="1" t="s">
        <v>61</v>
      </c>
      <c r="AI63" s="1">
        <v>0</v>
      </c>
      <c r="AJ63" s="14">
        <f t="shared" si="0"/>
        <v>0.80007316076612878</v>
      </c>
      <c r="AL63">
        <f t="shared" si="1"/>
        <v>12.077999999999999</v>
      </c>
      <c r="AM63">
        <f t="shared" si="2"/>
        <v>12.096666666666666</v>
      </c>
      <c r="AN63" s="100"/>
      <c r="AO63" s="11"/>
    </row>
    <row r="64" spans="2:41" x14ac:dyDescent="0.3">
      <c r="B64" s="4" t="s">
        <v>62</v>
      </c>
      <c r="C64" s="1">
        <v>5.27</v>
      </c>
      <c r="D64" s="1" t="s">
        <v>62</v>
      </c>
      <c r="E64" s="1">
        <v>6.6159999999999997</v>
      </c>
      <c r="F64" s="1" t="s">
        <v>62</v>
      </c>
      <c r="G64" s="1">
        <v>0.13</v>
      </c>
      <c r="H64" s="1" t="s">
        <v>62</v>
      </c>
      <c r="I64" s="1">
        <v>0.15</v>
      </c>
      <c r="J64" s="1" t="s">
        <v>62</v>
      </c>
      <c r="K64" s="1">
        <v>2</v>
      </c>
      <c r="L64" s="1" t="s">
        <v>62</v>
      </c>
      <c r="M64" s="1">
        <v>11.57</v>
      </c>
      <c r="N64" s="1" t="s">
        <v>62</v>
      </c>
      <c r="O64" s="1">
        <v>0</v>
      </c>
      <c r="P64" s="1" t="s">
        <v>62</v>
      </c>
      <c r="Q64" s="1">
        <v>11.57</v>
      </c>
      <c r="R64" s="1" t="s">
        <v>62</v>
      </c>
      <c r="S64" s="1">
        <v>0</v>
      </c>
      <c r="T64" s="1" t="s">
        <v>62</v>
      </c>
      <c r="U64" s="1">
        <v>0</v>
      </c>
      <c r="V64" s="1" t="s">
        <v>62</v>
      </c>
      <c r="W64" s="1">
        <v>5.5859999999999985</v>
      </c>
      <c r="X64" s="1" t="s">
        <v>62</v>
      </c>
      <c r="Y64" s="1">
        <v>0</v>
      </c>
      <c r="Z64" s="1" t="s">
        <v>62</v>
      </c>
      <c r="AA64" s="1">
        <v>0</v>
      </c>
      <c r="AB64" s="1" t="s">
        <v>62</v>
      </c>
      <c r="AC64" s="1">
        <v>80.002835666912588</v>
      </c>
      <c r="AD64" s="1" t="s">
        <v>62</v>
      </c>
      <c r="AE64" s="1">
        <v>0</v>
      </c>
      <c r="AF64" s="1" t="s">
        <v>62</v>
      </c>
      <c r="AG64" s="1">
        <v>0</v>
      </c>
      <c r="AH64" s="1" t="s">
        <v>62</v>
      </c>
      <c r="AI64" s="1">
        <v>0</v>
      </c>
      <c r="AJ64" s="14">
        <f t="shared" si="0"/>
        <v>0.80002835666912586</v>
      </c>
      <c r="AL64">
        <f t="shared" si="1"/>
        <v>17.155999999999999</v>
      </c>
      <c r="AM64">
        <f t="shared" si="2"/>
        <v>17.155999999999999</v>
      </c>
      <c r="AN64" s="100"/>
      <c r="AO64" s="11"/>
    </row>
    <row r="65" spans="2:41" x14ac:dyDescent="0.3">
      <c r="B65" s="4" t="s">
        <v>63</v>
      </c>
      <c r="C65" s="1">
        <v>3.74</v>
      </c>
      <c r="D65" s="1" t="s">
        <v>63</v>
      </c>
      <c r="E65" s="1">
        <v>8.0719999999999992</v>
      </c>
      <c r="F65" s="1" t="s">
        <v>63</v>
      </c>
      <c r="G65" s="1">
        <v>0.13</v>
      </c>
      <c r="H65" s="1" t="s">
        <v>63</v>
      </c>
      <c r="I65" s="1">
        <v>0.15</v>
      </c>
      <c r="J65" s="1" t="s">
        <v>63</v>
      </c>
      <c r="K65" s="1">
        <v>2</v>
      </c>
      <c r="L65" s="1" t="s">
        <v>63</v>
      </c>
      <c r="M65" s="1">
        <v>5.25</v>
      </c>
      <c r="N65" s="1" t="s">
        <v>63</v>
      </c>
      <c r="O65" s="1">
        <v>0</v>
      </c>
      <c r="P65" s="1" t="s">
        <v>63</v>
      </c>
      <c r="Q65" s="1">
        <v>5.25</v>
      </c>
      <c r="R65" s="1" t="s">
        <v>63</v>
      </c>
      <c r="S65" s="1">
        <v>0</v>
      </c>
      <c r="T65" s="1" t="s">
        <v>63</v>
      </c>
      <c r="U65" s="1">
        <v>0</v>
      </c>
      <c r="V65" s="1" t="s">
        <v>63</v>
      </c>
      <c r="W65" s="1">
        <v>10.302</v>
      </c>
      <c r="X65" s="1" t="s">
        <v>63</v>
      </c>
      <c r="Y65" s="1">
        <v>0</v>
      </c>
      <c r="Z65" s="1" t="s">
        <v>63</v>
      </c>
      <c r="AA65" s="1">
        <v>0</v>
      </c>
      <c r="AB65" s="1" t="s">
        <v>63</v>
      </c>
      <c r="AC65" s="1">
        <v>79.998355508115239</v>
      </c>
      <c r="AD65" s="1" t="s">
        <v>63</v>
      </c>
      <c r="AE65" s="1">
        <v>0</v>
      </c>
      <c r="AF65" s="1" t="s">
        <v>63</v>
      </c>
      <c r="AG65" s="1">
        <v>0</v>
      </c>
      <c r="AH65" s="1" t="s">
        <v>63</v>
      </c>
      <c r="AI65" s="1">
        <v>0</v>
      </c>
      <c r="AJ65" s="14">
        <f t="shared" si="0"/>
        <v>0.79998355508115238</v>
      </c>
      <c r="AL65">
        <f t="shared" si="1"/>
        <v>15.552</v>
      </c>
      <c r="AM65">
        <f t="shared" si="2"/>
        <v>15.552</v>
      </c>
      <c r="AN65" s="100"/>
      <c r="AO65" s="11"/>
    </row>
    <row r="66" spans="2:41" x14ac:dyDescent="0.3">
      <c r="B66" s="4" t="s">
        <v>64</v>
      </c>
      <c r="C66" s="1">
        <v>3.58</v>
      </c>
      <c r="D66" s="1" t="s">
        <v>64</v>
      </c>
      <c r="E66" s="1">
        <v>7.7229999999999999</v>
      </c>
      <c r="F66" s="1" t="s">
        <v>64</v>
      </c>
      <c r="G66" s="1">
        <v>0.13</v>
      </c>
      <c r="H66" s="1" t="s">
        <v>64</v>
      </c>
      <c r="I66" s="1">
        <v>0.15</v>
      </c>
      <c r="J66" s="1" t="s">
        <v>64</v>
      </c>
      <c r="K66" s="1">
        <v>2</v>
      </c>
      <c r="L66" s="1" t="s">
        <v>64</v>
      </c>
      <c r="M66" s="1">
        <v>5.15</v>
      </c>
      <c r="N66" s="1" t="s">
        <v>64</v>
      </c>
      <c r="O66" s="1">
        <v>0</v>
      </c>
      <c r="P66" s="1" t="s">
        <v>64</v>
      </c>
      <c r="Q66" s="1">
        <v>5.15</v>
      </c>
      <c r="R66" s="1" t="s">
        <v>64</v>
      </c>
      <c r="S66" s="1">
        <v>0</v>
      </c>
      <c r="T66" s="1" t="s">
        <v>64</v>
      </c>
      <c r="U66" s="1">
        <v>0</v>
      </c>
      <c r="V66" s="1" t="s">
        <v>64</v>
      </c>
      <c r="W66" s="1">
        <v>9.7329999999999988</v>
      </c>
      <c r="X66" s="1" t="s">
        <v>64</v>
      </c>
      <c r="Y66" s="1">
        <v>0</v>
      </c>
      <c r="Z66" s="1" t="s">
        <v>64</v>
      </c>
      <c r="AA66" s="1">
        <v>0</v>
      </c>
      <c r="AB66" s="1" t="s">
        <v>64</v>
      </c>
      <c r="AC66" s="1">
        <v>79.993875600206792</v>
      </c>
      <c r="AD66" s="1" t="s">
        <v>64</v>
      </c>
      <c r="AE66" s="1">
        <v>0</v>
      </c>
      <c r="AF66" s="1" t="s">
        <v>64</v>
      </c>
      <c r="AG66" s="1">
        <v>0</v>
      </c>
      <c r="AH66" s="1" t="s">
        <v>64</v>
      </c>
      <c r="AI66" s="1">
        <v>0</v>
      </c>
      <c r="AJ66" s="14">
        <f t="shared" si="0"/>
        <v>0.79993875600206787</v>
      </c>
      <c r="AL66">
        <f t="shared" si="1"/>
        <v>14.882999999999999</v>
      </c>
      <c r="AM66">
        <f t="shared" si="2"/>
        <v>14.882999999999999</v>
      </c>
      <c r="AN66" s="100"/>
      <c r="AO66" s="11"/>
    </row>
    <row r="67" spans="2:41" x14ac:dyDescent="0.3">
      <c r="B67" s="4" t="s">
        <v>65</v>
      </c>
      <c r="C67" s="1">
        <v>5.69</v>
      </c>
      <c r="D67" s="1" t="s">
        <v>65</v>
      </c>
      <c r="E67" s="1">
        <v>10.416</v>
      </c>
      <c r="F67" s="1" t="s">
        <v>65</v>
      </c>
      <c r="G67" s="1">
        <v>0.13</v>
      </c>
      <c r="H67" s="1" t="s">
        <v>65</v>
      </c>
      <c r="I67" s="1">
        <v>0.15</v>
      </c>
      <c r="J67" s="1" t="s">
        <v>65</v>
      </c>
      <c r="K67" s="1">
        <v>2</v>
      </c>
      <c r="L67" s="1" t="s">
        <v>65</v>
      </c>
      <c r="M67" s="1">
        <v>5.38</v>
      </c>
      <c r="N67" s="1" t="s">
        <v>65</v>
      </c>
      <c r="O67" s="1">
        <v>0</v>
      </c>
      <c r="P67" s="1" t="s">
        <v>65</v>
      </c>
      <c r="Q67" s="1">
        <v>5.38</v>
      </c>
      <c r="R67" s="1" t="s">
        <v>65</v>
      </c>
      <c r="S67" s="1">
        <v>0</v>
      </c>
      <c r="T67" s="1" t="s">
        <v>65</v>
      </c>
      <c r="U67" s="1">
        <v>0</v>
      </c>
      <c r="V67" s="1" t="s">
        <v>65</v>
      </c>
      <c r="W67" s="1">
        <v>16.416</v>
      </c>
      <c r="X67" s="1" t="s">
        <v>65</v>
      </c>
      <c r="Y67" s="1">
        <v>0</v>
      </c>
      <c r="Z67" s="1" t="s">
        <v>65</v>
      </c>
      <c r="AA67" s="1">
        <v>0</v>
      </c>
      <c r="AB67" s="1" t="s">
        <v>65</v>
      </c>
      <c r="AC67" s="1">
        <v>79.989395943173179</v>
      </c>
      <c r="AD67" s="1" t="s">
        <v>65</v>
      </c>
      <c r="AE67" s="1">
        <v>0</v>
      </c>
      <c r="AF67" s="1" t="s">
        <v>65</v>
      </c>
      <c r="AG67" s="1">
        <v>0</v>
      </c>
      <c r="AH67" s="1" t="s">
        <v>65</v>
      </c>
      <c r="AI67" s="1">
        <v>0</v>
      </c>
      <c r="AJ67" s="14">
        <f t="shared" ref="AJ67:AJ130" si="3">AC67/100</f>
        <v>0.7998939594317318</v>
      </c>
      <c r="AL67">
        <f t="shared" ref="AL67:AL130" si="4">C67*2+E67+Y67-AA67-AE67+O67</f>
        <v>21.795999999999999</v>
      </c>
      <c r="AM67">
        <f t="shared" ref="AM67:AM130" si="5">Q67+S67+U67+W67</f>
        <v>21.795999999999999</v>
      </c>
      <c r="AN67" s="100"/>
      <c r="AO67" s="11"/>
    </row>
    <row r="68" spans="2:41" x14ac:dyDescent="0.3">
      <c r="B68" s="4" t="s">
        <v>66</v>
      </c>
      <c r="C68" s="1">
        <v>5.74</v>
      </c>
      <c r="D68" s="1" t="s">
        <v>66</v>
      </c>
      <c r="E68" s="1">
        <v>4.6890000000000001</v>
      </c>
      <c r="F68" s="1" t="s">
        <v>66</v>
      </c>
      <c r="G68" s="1">
        <v>0.13</v>
      </c>
      <c r="H68" s="1" t="s">
        <v>66</v>
      </c>
      <c r="I68" s="1">
        <v>0.15</v>
      </c>
      <c r="J68" s="1" t="s">
        <v>66</v>
      </c>
      <c r="K68" s="1">
        <v>1</v>
      </c>
      <c r="L68" s="1" t="s">
        <v>66</v>
      </c>
      <c r="M68" s="1">
        <v>6.3999999999999996E-10</v>
      </c>
      <c r="N68" s="1" t="s">
        <v>66</v>
      </c>
      <c r="O68" s="1">
        <v>0</v>
      </c>
      <c r="P68" s="1" t="s">
        <v>66</v>
      </c>
      <c r="Q68" s="1">
        <v>0</v>
      </c>
      <c r="R68" s="1" t="s">
        <v>66</v>
      </c>
      <c r="S68" s="1">
        <v>0</v>
      </c>
      <c r="T68" s="1" t="s">
        <v>66</v>
      </c>
      <c r="U68" s="1">
        <v>17.965555554844446</v>
      </c>
      <c r="V68" s="1" t="s">
        <v>66</v>
      </c>
      <c r="W68" s="1">
        <v>0</v>
      </c>
      <c r="X68" s="1" t="s">
        <v>66</v>
      </c>
      <c r="Y68" s="1">
        <v>0</v>
      </c>
      <c r="Z68" s="1" t="s">
        <v>66</v>
      </c>
      <c r="AA68" s="1">
        <v>0</v>
      </c>
      <c r="AB68" s="1" t="s">
        <v>66</v>
      </c>
      <c r="AC68" s="1">
        <v>62.019360982155924</v>
      </c>
      <c r="AD68" s="1" t="s">
        <v>66</v>
      </c>
      <c r="AE68" s="1">
        <v>0</v>
      </c>
      <c r="AF68" s="1" t="s">
        <v>66</v>
      </c>
      <c r="AG68" s="1">
        <v>0</v>
      </c>
      <c r="AH68" s="1" t="s">
        <v>66</v>
      </c>
      <c r="AI68" s="1">
        <v>0</v>
      </c>
      <c r="AJ68" s="14">
        <f t="shared" si="3"/>
        <v>0.62019360982155924</v>
      </c>
      <c r="AL68">
        <f t="shared" si="4"/>
        <v>16.169</v>
      </c>
      <c r="AM68">
        <f t="shared" si="5"/>
        <v>17.965555554844446</v>
      </c>
      <c r="AN68" s="100"/>
      <c r="AO68" s="11"/>
    </row>
    <row r="69" spans="2:41" x14ac:dyDescent="0.3">
      <c r="B69" s="4" t="s">
        <v>67</v>
      </c>
      <c r="C69" s="1">
        <v>1.82</v>
      </c>
      <c r="D69" s="1" t="s">
        <v>67</v>
      </c>
      <c r="E69" s="1">
        <v>2.4060000000000001</v>
      </c>
      <c r="F69" s="1" t="s">
        <v>67</v>
      </c>
      <c r="G69" s="1">
        <v>0.13</v>
      </c>
      <c r="H69" s="1" t="s">
        <v>67</v>
      </c>
      <c r="I69" s="1">
        <v>0.15</v>
      </c>
      <c r="J69" s="1" t="s">
        <v>67</v>
      </c>
      <c r="K69" s="1">
        <v>1</v>
      </c>
      <c r="L69" s="1" t="s">
        <v>67</v>
      </c>
      <c r="M69" s="1">
        <v>6.3999999999999996E-10</v>
      </c>
      <c r="N69" s="1" t="s">
        <v>67</v>
      </c>
      <c r="O69" s="1">
        <v>0</v>
      </c>
      <c r="P69" s="1" t="s">
        <v>67</v>
      </c>
      <c r="Q69" s="1">
        <v>0</v>
      </c>
      <c r="R69" s="1" t="s">
        <v>67</v>
      </c>
      <c r="S69" s="1">
        <v>0</v>
      </c>
      <c r="T69" s="1" t="s">
        <v>67</v>
      </c>
      <c r="U69" s="1">
        <v>6.7177777770666669</v>
      </c>
      <c r="V69" s="1" t="s">
        <v>67</v>
      </c>
      <c r="W69" s="1">
        <v>0</v>
      </c>
      <c r="X69" s="1" t="s">
        <v>67</v>
      </c>
      <c r="Y69" s="1">
        <v>0</v>
      </c>
      <c r="Z69" s="1" t="s">
        <v>67</v>
      </c>
      <c r="AA69" s="1">
        <v>0</v>
      </c>
      <c r="AB69" s="1" t="s">
        <v>67</v>
      </c>
      <c r="AC69" s="1">
        <v>55.298110120874256</v>
      </c>
      <c r="AD69" s="1" t="s">
        <v>67</v>
      </c>
      <c r="AE69" s="1">
        <v>0</v>
      </c>
      <c r="AF69" s="1" t="s">
        <v>67</v>
      </c>
      <c r="AG69" s="1">
        <v>0</v>
      </c>
      <c r="AH69" s="1" t="s">
        <v>67</v>
      </c>
      <c r="AI69" s="1">
        <v>0</v>
      </c>
      <c r="AJ69" s="14">
        <f t="shared" si="3"/>
        <v>0.55298110120874255</v>
      </c>
      <c r="AL69">
        <f t="shared" si="4"/>
        <v>6.0460000000000003</v>
      </c>
      <c r="AM69">
        <f t="shared" si="5"/>
        <v>6.7177777770666669</v>
      </c>
      <c r="AN69" s="100"/>
      <c r="AO69" s="11"/>
    </row>
    <row r="70" spans="2:41" x14ac:dyDescent="0.3">
      <c r="B70" s="4" t="s">
        <v>68</v>
      </c>
      <c r="C70" s="1">
        <v>9.6300000000000008</v>
      </c>
      <c r="D70" s="1" t="s">
        <v>68</v>
      </c>
      <c r="E70" s="1">
        <v>3.504</v>
      </c>
      <c r="F70" s="1" t="s">
        <v>68</v>
      </c>
      <c r="G70" s="1">
        <v>0.13</v>
      </c>
      <c r="H70" s="1" t="s">
        <v>68</v>
      </c>
      <c r="I70" s="1">
        <v>0.15</v>
      </c>
      <c r="J70" s="1" t="s">
        <v>68</v>
      </c>
      <c r="K70" s="1">
        <v>1</v>
      </c>
      <c r="L70" s="1" t="s">
        <v>68</v>
      </c>
      <c r="M70" s="1">
        <v>6.3999999999999996E-10</v>
      </c>
      <c r="N70" s="1" t="s">
        <v>68</v>
      </c>
      <c r="O70" s="1">
        <v>0</v>
      </c>
      <c r="P70" s="1" t="s">
        <v>68</v>
      </c>
      <c r="Q70" s="1">
        <v>0</v>
      </c>
      <c r="R70" s="1" t="s">
        <v>68</v>
      </c>
      <c r="S70" s="1">
        <v>0</v>
      </c>
      <c r="T70" s="1" t="s">
        <v>68</v>
      </c>
      <c r="U70" s="1">
        <v>25.293333332622225</v>
      </c>
      <c r="V70" s="1" t="s">
        <v>68</v>
      </c>
      <c r="W70" s="1">
        <v>0</v>
      </c>
      <c r="X70" s="1" t="s">
        <v>68</v>
      </c>
      <c r="Y70" s="1">
        <v>0</v>
      </c>
      <c r="Z70" s="1" t="s">
        <v>68</v>
      </c>
      <c r="AA70" s="1">
        <v>0</v>
      </c>
      <c r="AB70" s="1" t="s">
        <v>68</v>
      </c>
      <c r="AC70" s="1">
        <v>30.001680094085266</v>
      </c>
      <c r="AD70" s="1" t="s">
        <v>68</v>
      </c>
      <c r="AE70" s="1">
        <v>0</v>
      </c>
      <c r="AF70" s="1" t="s">
        <v>68</v>
      </c>
      <c r="AG70" s="1">
        <v>0</v>
      </c>
      <c r="AH70" s="1" t="s">
        <v>68</v>
      </c>
      <c r="AI70" s="1">
        <v>0</v>
      </c>
      <c r="AJ70" s="14">
        <f t="shared" si="3"/>
        <v>0.30001680094085265</v>
      </c>
      <c r="AL70">
        <f t="shared" si="4"/>
        <v>22.764000000000003</v>
      </c>
      <c r="AM70">
        <f t="shared" si="5"/>
        <v>25.293333332622225</v>
      </c>
      <c r="AN70" s="100"/>
      <c r="AO70" s="11"/>
    </row>
    <row r="71" spans="2:41" x14ac:dyDescent="0.3">
      <c r="B71" s="4" t="s">
        <v>69</v>
      </c>
      <c r="C71" s="1">
        <v>10.29</v>
      </c>
      <c r="D71" s="1" t="s">
        <v>69</v>
      </c>
      <c r="E71" s="1">
        <v>2.391</v>
      </c>
      <c r="F71" s="1" t="s">
        <v>69</v>
      </c>
      <c r="G71" s="1">
        <v>0.13</v>
      </c>
      <c r="H71" s="1" t="s">
        <v>69</v>
      </c>
      <c r="I71" s="1">
        <v>0.15</v>
      </c>
      <c r="J71" s="1" t="s">
        <v>69</v>
      </c>
      <c r="K71" s="1">
        <v>2</v>
      </c>
      <c r="L71" s="1" t="s">
        <v>69</v>
      </c>
      <c r="M71" s="1">
        <v>6.3999999999999996E-10</v>
      </c>
      <c r="N71" s="1" t="s">
        <v>69</v>
      </c>
      <c r="O71" s="1">
        <v>0</v>
      </c>
      <c r="P71" s="1" t="s">
        <v>69</v>
      </c>
      <c r="Q71" s="1">
        <v>0</v>
      </c>
      <c r="R71" s="1" t="s">
        <v>69</v>
      </c>
      <c r="S71" s="1">
        <v>0</v>
      </c>
      <c r="T71" s="1" t="s">
        <v>69</v>
      </c>
      <c r="U71" s="1">
        <v>0</v>
      </c>
      <c r="V71" s="1" t="s">
        <v>69</v>
      </c>
      <c r="W71" s="1">
        <v>22.970999999359996</v>
      </c>
      <c r="X71" s="1" t="s">
        <v>69</v>
      </c>
      <c r="Y71" s="1">
        <v>0</v>
      </c>
      <c r="Z71" s="1" t="s">
        <v>69</v>
      </c>
      <c r="AA71" s="1">
        <v>0</v>
      </c>
      <c r="AB71" s="1" t="s">
        <v>69</v>
      </c>
      <c r="AC71" s="1">
        <v>30</v>
      </c>
      <c r="AD71" s="1" t="s">
        <v>69</v>
      </c>
      <c r="AE71" s="1">
        <v>0</v>
      </c>
      <c r="AF71" s="1" t="s">
        <v>69</v>
      </c>
      <c r="AG71" s="1">
        <v>0</v>
      </c>
      <c r="AH71" s="1" t="s">
        <v>69</v>
      </c>
      <c r="AI71" s="1">
        <v>0</v>
      </c>
      <c r="AJ71" s="14">
        <f t="shared" si="3"/>
        <v>0.3</v>
      </c>
      <c r="AL71">
        <f t="shared" si="4"/>
        <v>22.970999999999997</v>
      </c>
      <c r="AM71">
        <f t="shared" si="5"/>
        <v>22.970999999359996</v>
      </c>
      <c r="AN71" s="100"/>
      <c r="AO71" s="11"/>
    </row>
    <row r="72" spans="2:41" x14ac:dyDescent="0.3">
      <c r="B72" s="4" t="s">
        <v>70</v>
      </c>
      <c r="C72" s="1">
        <v>4.91</v>
      </c>
      <c r="D72" s="1" t="s">
        <v>70</v>
      </c>
      <c r="E72" s="1">
        <v>3.0419999999999998</v>
      </c>
      <c r="F72" s="1" t="s">
        <v>70</v>
      </c>
      <c r="G72" s="1">
        <v>0.08</v>
      </c>
      <c r="H72" s="1" t="s">
        <v>70</v>
      </c>
      <c r="I72" s="1">
        <v>0.1</v>
      </c>
      <c r="J72" s="1" t="s">
        <v>70</v>
      </c>
      <c r="K72" s="1">
        <v>2</v>
      </c>
      <c r="L72" s="1" t="s">
        <v>70</v>
      </c>
      <c r="M72" s="1">
        <v>6.3999999999999996E-10</v>
      </c>
      <c r="N72" s="1" t="s">
        <v>70</v>
      </c>
      <c r="O72" s="1">
        <v>1.6799999999967952E-3</v>
      </c>
      <c r="P72" s="1" t="s">
        <v>70</v>
      </c>
      <c r="Q72" s="1">
        <v>0</v>
      </c>
      <c r="R72" s="1" t="s">
        <v>70</v>
      </c>
      <c r="S72" s="1">
        <v>0</v>
      </c>
      <c r="T72" s="1" t="s">
        <v>70</v>
      </c>
      <c r="U72" s="1">
        <v>0</v>
      </c>
      <c r="V72" s="1" t="s">
        <v>70</v>
      </c>
      <c r="W72" s="1">
        <v>12.863881298352158</v>
      </c>
      <c r="X72" s="1" t="s">
        <v>70</v>
      </c>
      <c r="Y72" s="1">
        <v>0</v>
      </c>
      <c r="Z72" s="1" t="s">
        <v>70</v>
      </c>
      <c r="AA72" s="1">
        <v>0</v>
      </c>
      <c r="AB72" s="1" t="s">
        <v>70</v>
      </c>
      <c r="AC72" s="1">
        <v>30</v>
      </c>
      <c r="AD72" s="1" t="s">
        <v>70</v>
      </c>
      <c r="AE72" s="1">
        <v>0</v>
      </c>
      <c r="AF72" s="1" t="s">
        <v>70</v>
      </c>
      <c r="AG72" s="1">
        <v>0</v>
      </c>
      <c r="AH72" s="1" t="s">
        <v>70</v>
      </c>
      <c r="AI72" s="1">
        <v>0</v>
      </c>
      <c r="AJ72" s="14">
        <f t="shared" si="3"/>
        <v>0.3</v>
      </c>
      <c r="AL72">
        <f t="shared" si="4"/>
        <v>12.863679999999997</v>
      </c>
      <c r="AM72">
        <f t="shared" si="5"/>
        <v>12.863881298352158</v>
      </c>
      <c r="AN72" s="100"/>
      <c r="AO72" s="11"/>
    </row>
    <row r="73" spans="2:41" x14ac:dyDescent="0.3">
      <c r="B73" s="4" t="s">
        <v>71</v>
      </c>
      <c r="C73" s="1">
        <v>3.33</v>
      </c>
      <c r="D73" s="1" t="s">
        <v>71</v>
      </c>
      <c r="E73" s="1">
        <v>2.61</v>
      </c>
      <c r="F73" s="1" t="s">
        <v>71</v>
      </c>
      <c r="G73" s="1">
        <v>0.08</v>
      </c>
      <c r="H73" s="1" t="s">
        <v>71</v>
      </c>
      <c r="I73" s="1">
        <v>0.1</v>
      </c>
      <c r="J73" s="1" t="s">
        <v>71</v>
      </c>
      <c r="K73" s="1">
        <v>2</v>
      </c>
      <c r="L73" s="1" t="s">
        <v>71</v>
      </c>
      <c r="M73" s="1">
        <v>6.3999999999999996E-10</v>
      </c>
      <c r="N73" s="1" t="s">
        <v>71</v>
      </c>
      <c r="O73" s="1">
        <v>1.6799999999967952E-3</v>
      </c>
      <c r="P73" s="1" t="s">
        <v>71</v>
      </c>
      <c r="Q73" s="1">
        <v>0</v>
      </c>
      <c r="R73" s="1" t="s">
        <v>71</v>
      </c>
      <c r="S73" s="1">
        <v>0</v>
      </c>
      <c r="T73" s="1" t="s">
        <v>71</v>
      </c>
      <c r="U73" s="1">
        <v>0</v>
      </c>
      <c r="V73" s="1" t="s">
        <v>71</v>
      </c>
      <c r="W73" s="1">
        <v>9.2718812983521577</v>
      </c>
      <c r="X73" s="1" t="s">
        <v>71</v>
      </c>
      <c r="Y73" s="1">
        <v>0</v>
      </c>
      <c r="Z73" s="1" t="s">
        <v>71</v>
      </c>
      <c r="AA73" s="1">
        <v>0</v>
      </c>
      <c r="AB73" s="1" t="s">
        <v>71</v>
      </c>
      <c r="AC73" s="1">
        <v>30</v>
      </c>
      <c r="AD73" s="1" t="s">
        <v>71</v>
      </c>
      <c r="AE73" s="1">
        <v>0</v>
      </c>
      <c r="AF73" s="1" t="s">
        <v>71</v>
      </c>
      <c r="AG73" s="1">
        <v>0</v>
      </c>
      <c r="AH73" s="1" t="s">
        <v>71</v>
      </c>
      <c r="AI73" s="1">
        <v>0</v>
      </c>
      <c r="AJ73" s="14">
        <f t="shared" si="3"/>
        <v>0.3</v>
      </c>
      <c r="AL73">
        <f t="shared" si="4"/>
        <v>9.2716799999999964</v>
      </c>
      <c r="AM73">
        <f t="shared" si="5"/>
        <v>9.2718812983521577</v>
      </c>
      <c r="AN73" s="100"/>
      <c r="AO73" s="11"/>
    </row>
    <row r="74" spans="2:41" x14ac:dyDescent="0.3">
      <c r="B74" s="4" t="s">
        <v>72</v>
      </c>
      <c r="C74" s="1">
        <v>1.89</v>
      </c>
      <c r="D74" s="1" t="s">
        <v>72</v>
      </c>
      <c r="E74" s="1">
        <v>1.99</v>
      </c>
      <c r="F74" s="1" t="s">
        <v>72</v>
      </c>
      <c r="G74" s="1">
        <v>0.08</v>
      </c>
      <c r="H74" s="1" t="s">
        <v>72</v>
      </c>
      <c r="I74" s="1">
        <v>0.1</v>
      </c>
      <c r="J74" s="1" t="s">
        <v>72</v>
      </c>
      <c r="K74" s="1">
        <v>2</v>
      </c>
      <c r="L74" s="1" t="s">
        <v>72</v>
      </c>
      <c r="M74" s="1">
        <v>6.3999999999999996E-10</v>
      </c>
      <c r="N74" s="1" t="s">
        <v>72</v>
      </c>
      <c r="O74" s="1">
        <v>1.6799999999967952E-3</v>
      </c>
      <c r="P74" s="1" t="s">
        <v>72</v>
      </c>
      <c r="Q74" s="1">
        <v>0</v>
      </c>
      <c r="R74" s="1" t="s">
        <v>72</v>
      </c>
      <c r="S74" s="1">
        <v>0</v>
      </c>
      <c r="T74" s="1" t="s">
        <v>72</v>
      </c>
      <c r="U74" s="1">
        <v>0</v>
      </c>
      <c r="V74" s="1" t="s">
        <v>72</v>
      </c>
      <c r="W74" s="1">
        <v>5.7718812983521568</v>
      </c>
      <c r="X74" s="1" t="s">
        <v>72</v>
      </c>
      <c r="Y74" s="1">
        <v>0</v>
      </c>
      <c r="Z74" s="1" t="s">
        <v>72</v>
      </c>
      <c r="AA74" s="1">
        <v>0</v>
      </c>
      <c r="AB74" s="1" t="s">
        <v>72</v>
      </c>
      <c r="AC74" s="1">
        <v>30</v>
      </c>
      <c r="AD74" s="1" t="s">
        <v>72</v>
      </c>
      <c r="AE74" s="1">
        <v>0</v>
      </c>
      <c r="AF74" s="1" t="s">
        <v>72</v>
      </c>
      <c r="AG74" s="1">
        <v>0</v>
      </c>
      <c r="AH74" s="1" t="s">
        <v>72</v>
      </c>
      <c r="AI74" s="1">
        <v>0</v>
      </c>
      <c r="AJ74" s="14">
        <f t="shared" si="3"/>
        <v>0.3</v>
      </c>
      <c r="AL74">
        <f t="shared" si="4"/>
        <v>5.7716799999999964</v>
      </c>
      <c r="AM74">
        <f t="shared" si="5"/>
        <v>5.7718812983521568</v>
      </c>
      <c r="AN74" s="100"/>
      <c r="AO74" s="11"/>
    </row>
    <row r="75" spans="2:41" x14ac:dyDescent="0.3">
      <c r="B75" s="4" t="s">
        <v>73</v>
      </c>
      <c r="C75" s="1">
        <v>1.51</v>
      </c>
      <c r="D75" s="1" t="s">
        <v>73</v>
      </c>
      <c r="E75" s="1">
        <v>2.8069999999999999</v>
      </c>
      <c r="F75" s="1" t="s">
        <v>73</v>
      </c>
      <c r="G75" s="1">
        <v>0.08</v>
      </c>
      <c r="H75" s="1" t="s">
        <v>73</v>
      </c>
      <c r="I75" s="1">
        <v>0.1</v>
      </c>
      <c r="J75" s="1" t="s">
        <v>73</v>
      </c>
      <c r="K75" s="1">
        <v>2</v>
      </c>
      <c r="L75" s="1" t="s">
        <v>73</v>
      </c>
      <c r="M75" s="1">
        <v>6.3999999999999996E-10</v>
      </c>
      <c r="N75" s="1" t="s">
        <v>73</v>
      </c>
      <c r="O75" s="1">
        <v>1.6799999999967952E-3</v>
      </c>
      <c r="P75" s="1" t="s">
        <v>73</v>
      </c>
      <c r="Q75" s="1">
        <v>0</v>
      </c>
      <c r="R75" s="1" t="s">
        <v>73</v>
      </c>
      <c r="S75" s="1">
        <v>0</v>
      </c>
      <c r="T75" s="1" t="s">
        <v>73</v>
      </c>
      <c r="U75" s="1">
        <v>0</v>
      </c>
      <c r="V75" s="1" t="s">
        <v>73</v>
      </c>
      <c r="W75" s="1">
        <v>5.8288812983521572</v>
      </c>
      <c r="X75" s="1" t="s">
        <v>73</v>
      </c>
      <c r="Y75" s="1">
        <v>0</v>
      </c>
      <c r="Z75" s="1" t="s">
        <v>73</v>
      </c>
      <c r="AA75" s="1">
        <v>0</v>
      </c>
      <c r="AB75" s="1" t="s">
        <v>73</v>
      </c>
      <c r="AC75" s="1">
        <v>30</v>
      </c>
      <c r="AD75" s="1" t="s">
        <v>73</v>
      </c>
      <c r="AE75" s="1">
        <v>0</v>
      </c>
      <c r="AF75" s="1" t="s">
        <v>73</v>
      </c>
      <c r="AG75" s="1">
        <v>0</v>
      </c>
      <c r="AH75" s="1" t="s">
        <v>73</v>
      </c>
      <c r="AI75" s="1">
        <v>0</v>
      </c>
      <c r="AJ75" s="14">
        <f t="shared" si="3"/>
        <v>0.3</v>
      </c>
      <c r="AL75">
        <f t="shared" si="4"/>
        <v>5.8286799999999968</v>
      </c>
      <c r="AM75">
        <f t="shared" si="5"/>
        <v>5.8288812983521572</v>
      </c>
      <c r="AN75" s="100"/>
      <c r="AO75" s="11"/>
    </row>
    <row r="76" spans="2:41" x14ac:dyDescent="0.3">
      <c r="B76" s="4" t="s">
        <v>74</v>
      </c>
      <c r="C76" s="1">
        <v>1.43</v>
      </c>
      <c r="D76" s="1" t="s">
        <v>74</v>
      </c>
      <c r="E76" s="1">
        <v>2.6560000000000001</v>
      </c>
      <c r="F76" s="1" t="s">
        <v>74</v>
      </c>
      <c r="G76" s="1">
        <v>0.08</v>
      </c>
      <c r="H76" s="1" t="s">
        <v>74</v>
      </c>
      <c r="I76" s="1">
        <v>0.1</v>
      </c>
      <c r="J76" s="1" t="s">
        <v>74</v>
      </c>
      <c r="K76" s="1">
        <v>2</v>
      </c>
      <c r="L76" s="1" t="s">
        <v>74</v>
      </c>
      <c r="M76" s="1">
        <v>6.3999999999999996E-10</v>
      </c>
      <c r="N76" s="1" t="s">
        <v>74</v>
      </c>
      <c r="O76" s="1">
        <v>13.65575063583351</v>
      </c>
      <c r="P76" s="1" t="s">
        <v>74</v>
      </c>
      <c r="Q76" s="1">
        <v>0</v>
      </c>
      <c r="R76" s="1" t="s">
        <v>74</v>
      </c>
      <c r="S76" s="1">
        <v>0</v>
      </c>
      <c r="T76" s="1" t="s">
        <v>74</v>
      </c>
      <c r="U76" s="1">
        <v>0</v>
      </c>
      <c r="V76" s="1" t="s">
        <v>74</v>
      </c>
      <c r="W76" s="1">
        <v>20.807993992454637</v>
      </c>
      <c r="X76" s="1" t="s">
        <v>74</v>
      </c>
      <c r="Y76" s="1">
        <v>0</v>
      </c>
      <c r="Z76" s="1" t="s">
        <v>74</v>
      </c>
      <c r="AA76" s="1">
        <v>0</v>
      </c>
      <c r="AB76" s="1" t="s">
        <v>74</v>
      </c>
      <c r="AC76" s="1">
        <v>43.654070635833513</v>
      </c>
      <c r="AD76" s="1" t="s">
        <v>74</v>
      </c>
      <c r="AE76" s="1">
        <v>0</v>
      </c>
      <c r="AF76" s="1" t="s">
        <v>74</v>
      </c>
      <c r="AG76" s="1">
        <v>0</v>
      </c>
      <c r="AH76" s="1" t="s">
        <v>74</v>
      </c>
      <c r="AI76" s="1">
        <v>0</v>
      </c>
      <c r="AJ76" s="14">
        <f t="shared" si="3"/>
        <v>0.43654070635833514</v>
      </c>
      <c r="AL76">
        <f t="shared" si="4"/>
        <v>19.171750635833511</v>
      </c>
      <c r="AM76">
        <f t="shared" si="5"/>
        <v>20.807993992454637</v>
      </c>
      <c r="AN76" s="100"/>
      <c r="AO76" s="11"/>
    </row>
    <row r="77" spans="2:41" x14ac:dyDescent="0.3">
      <c r="B77" s="4" t="s">
        <v>75</v>
      </c>
      <c r="C77" s="1">
        <v>1.02</v>
      </c>
      <c r="D77" s="1" t="s">
        <v>75</v>
      </c>
      <c r="E77" s="1">
        <v>1.893</v>
      </c>
      <c r="F77" s="1" t="s">
        <v>75</v>
      </c>
      <c r="G77" s="1">
        <v>0.08</v>
      </c>
      <c r="H77" s="1" t="s">
        <v>75</v>
      </c>
      <c r="I77" s="1">
        <v>0.1</v>
      </c>
      <c r="J77" s="1" t="s">
        <v>75</v>
      </c>
      <c r="K77" s="1">
        <v>2</v>
      </c>
      <c r="L77" s="1" t="s">
        <v>75</v>
      </c>
      <c r="M77" s="1">
        <v>6.3999999999999996E-10</v>
      </c>
      <c r="N77" s="1" t="s">
        <v>75</v>
      </c>
      <c r="O77" s="1">
        <v>18.812831000571521</v>
      </c>
      <c r="P77" s="1" t="s">
        <v>75</v>
      </c>
      <c r="Q77" s="1">
        <v>0</v>
      </c>
      <c r="R77" s="1" t="s">
        <v>75</v>
      </c>
      <c r="S77" s="1">
        <v>0</v>
      </c>
      <c r="T77" s="1" t="s">
        <v>75</v>
      </c>
      <c r="U77" s="1">
        <v>0</v>
      </c>
      <c r="V77" s="1" t="s">
        <v>75</v>
      </c>
      <c r="W77" s="1">
        <v>25</v>
      </c>
      <c r="X77" s="1" t="s">
        <v>75</v>
      </c>
      <c r="Y77" s="1">
        <v>0</v>
      </c>
      <c r="Z77" s="1" t="s">
        <v>75</v>
      </c>
      <c r="AA77" s="1">
        <v>0</v>
      </c>
      <c r="AB77" s="1" t="s">
        <v>75</v>
      </c>
      <c r="AC77" s="1">
        <v>62.464457008449429</v>
      </c>
      <c r="AD77" s="1" t="s">
        <v>75</v>
      </c>
      <c r="AE77" s="1">
        <v>0</v>
      </c>
      <c r="AF77" s="1" t="s">
        <v>75</v>
      </c>
      <c r="AG77" s="1">
        <v>0</v>
      </c>
      <c r="AH77" s="1" t="s">
        <v>75</v>
      </c>
      <c r="AI77" s="1">
        <v>0</v>
      </c>
      <c r="AJ77" s="14">
        <f t="shared" si="3"/>
        <v>0.62464457008449426</v>
      </c>
      <c r="AL77">
        <f t="shared" si="4"/>
        <v>22.745831000571521</v>
      </c>
      <c r="AM77">
        <f t="shared" si="5"/>
        <v>25</v>
      </c>
      <c r="AN77" s="100"/>
      <c r="AO77" s="11"/>
    </row>
    <row r="78" spans="2:41" x14ac:dyDescent="0.3">
      <c r="B78" s="4" t="s">
        <v>76</v>
      </c>
      <c r="C78" s="1">
        <v>0.91</v>
      </c>
      <c r="D78" s="1" t="s">
        <v>76</v>
      </c>
      <c r="E78" s="1">
        <v>1.7010000000000001</v>
      </c>
      <c r="F78" s="1" t="s">
        <v>76</v>
      </c>
      <c r="G78" s="1">
        <v>0.08</v>
      </c>
      <c r="H78" s="1" t="s">
        <v>76</v>
      </c>
      <c r="I78" s="1">
        <v>0.1</v>
      </c>
      <c r="J78" s="1" t="s">
        <v>76</v>
      </c>
      <c r="K78" s="1">
        <v>2</v>
      </c>
      <c r="L78" s="1" t="s">
        <v>76</v>
      </c>
      <c r="M78" s="1">
        <v>6.3999999999999996E-10</v>
      </c>
      <c r="N78" s="1" t="s">
        <v>76</v>
      </c>
      <c r="O78" s="1">
        <v>19.180747000571522</v>
      </c>
      <c r="P78" s="1" t="s">
        <v>76</v>
      </c>
      <c r="Q78" s="1">
        <v>0</v>
      </c>
      <c r="R78" s="1" t="s">
        <v>76</v>
      </c>
      <c r="S78" s="1">
        <v>0</v>
      </c>
      <c r="T78" s="1" t="s">
        <v>76</v>
      </c>
      <c r="U78" s="1">
        <v>0</v>
      </c>
      <c r="V78" s="1" t="s">
        <v>76</v>
      </c>
      <c r="W78" s="1">
        <v>25</v>
      </c>
      <c r="X78" s="1" t="s">
        <v>76</v>
      </c>
      <c r="Y78" s="1">
        <v>0</v>
      </c>
      <c r="Z78" s="1" t="s">
        <v>76</v>
      </c>
      <c r="AA78" s="1">
        <v>0</v>
      </c>
      <c r="AB78" s="1" t="s">
        <v>76</v>
      </c>
      <c r="AC78" s="1">
        <v>81.641705999428481</v>
      </c>
      <c r="AD78" s="1" t="s">
        <v>76</v>
      </c>
      <c r="AE78" s="1">
        <v>0</v>
      </c>
      <c r="AF78" s="1" t="s">
        <v>76</v>
      </c>
      <c r="AG78" s="1">
        <v>0</v>
      </c>
      <c r="AH78" s="1" t="s">
        <v>76</v>
      </c>
      <c r="AI78" s="1">
        <v>0</v>
      </c>
      <c r="AJ78" s="14">
        <f t="shared" si="3"/>
        <v>0.81641705999428482</v>
      </c>
      <c r="AL78">
        <f t="shared" si="4"/>
        <v>22.701747000571523</v>
      </c>
      <c r="AM78">
        <f t="shared" si="5"/>
        <v>25</v>
      </c>
      <c r="AN78" s="100"/>
      <c r="AO78" s="11"/>
    </row>
    <row r="79" spans="2:41" x14ac:dyDescent="0.3">
      <c r="B79" s="4" t="s">
        <v>77</v>
      </c>
      <c r="C79" s="1">
        <v>1.1499999999999999</v>
      </c>
      <c r="D79" s="1" t="s">
        <v>77</v>
      </c>
      <c r="E79" s="1">
        <v>2.1419999999999999</v>
      </c>
      <c r="F79" s="1" t="s">
        <v>77</v>
      </c>
      <c r="G79" s="1">
        <v>0.08</v>
      </c>
      <c r="H79" s="1" t="s">
        <v>77</v>
      </c>
      <c r="I79" s="1">
        <v>0.1</v>
      </c>
      <c r="J79" s="1" t="s">
        <v>77</v>
      </c>
      <c r="K79" s="1">
        <v>2</v>
      </c>
      <c r="L79" s="1" t="s">
        <v>77</v>
      </c>
      <c r="M79">
        <v>6.3999999999999996E-10</v>
      </c>
      <c r="N79" s="1" t="s">
        <v>77</v>
      </c>
      <c r="O79" s="1">
        <v>18.358294000571519</v>
      </c>
      <c r="P79" s="1" t="s">
        <v>77</v>
      </c>
      <c r="Q79" s="1">
        <v>0</v>
      </c>
      <c r="R79" s="1" t="s">
        <v>77</v>
      </c>
      <c r="S79" s="1">
        <v>0</v>
      </c>
      <c r="T79" s="1" t="s">
        <v>77</v>
      </c>
      <c r="U79" s="1">
        <v>0</v>
      </c>
      <c r="V79" s="1" t="s">
        <v>77</v>
      </c>
      <c r="W79" s="1">
        <v>25</v>
      </c>
      <c r="X79" s="1" t="s">
        <v>77</v>
      </c>
      <c r="Y79" s="1">
        <v>0</v>
      </c>
      <c r="Z79" s="1" t="s">
        <v>77</v>
      </c>
      <c r="AA79" s="1">
        <v>0</v>
      </c>
      <c r="AB79" s="1" t="s">
        <v>77</v>
      </c>
      <c r="AC79" s="1">
        <v>99.995428064464036</v>
      </c>
      <c r="AD79" s="1" t="s">
        <v>77</v>
      </c>
      <c r="AE79" s="1">
        <v>0</v>
      </c>
      <c r="AF79" s="1" t="s">
        <v>77</v>
      </c>
      <c r="AG79" s="1">
        <v>0</v>
      </c>
      <c r="AH79" s="1" t="s">
        <v>77</v>
      </c>
      <c r="AI79" s="1">
        <v>0</v>
      </c>
      <c r="AJ79" s="14">
        <f t="shared" si="3"/>
        <v>0.99995428064464031</v>
      </c>
      <c r="AL79">
        <f t="shared" si="4"/>
        <v>22.800294000571519</v>
      </c>
      <c r="AM79">
        <f t="shared" si="5"/>
        <v>25</v>
      </c>
      <c r="AN79" s="100"/>
      <c r="AO79" s="11"/>
    </row>
    <row r="80" spans="2:41" x14ac:dyDescent="0.3">
      <c r="B80" s="4" t="s">
        <v>78</v>
      </c>
      <c r="C80" s="1">
        <v>1.32</v>
      </c>
      <c r="D80" s="1" t="s">
        <v>78</v>
      </c>
      <c r="E80" s="1">
        <v>2.4569999999999999</v>
      </c>
      <c r="F80" s="1" t="s">
        <v>78</v>
      </c>
      <c r="G80" s="1">
        <v>0.13</v>
      </c>
      <c r="H80" s="1" t="s">
        <v>78</v>
      </c>
      <c r="I80" s="1">
        <v>0.15</v>
      </c>
      <c r="J80" s="1" t="s">
        <v>78</v>
      </c>
      <c r="K80" s="1">
        <v>2</v>
      </c>
      <c r="L80" s="1" t="s">
        <v>78</v>
      </c>
      <c r="M80">
        <v>6.3999999999999996E-10</v>
      </c>
      <c r="N80" s="1" t="s">
        <v>78</v>
      </c>
      <c r="O80" s="1">
        <v>0</v>
      </c>
      <c r="P80" s="1" t="s">
        <v>78</v>
      </c>
      <c r="Q80" s="1">
        <v>0</v>
      </c>
      <c r="R80" s="1" t="s">
        <v>78</v>
      </c>
      <c r="S80" s="1">
        <v>0</v>
      </c>
      <c r="T80" s="1" t="s">
        <v>78</v>
      </c>
      <c r="U80" s="1">
        <v>30</v>
      </c>
      <c r="V80" s="1" t="s">
        <v>78</v>
      </c>
      <c r="W80" s="1">
        <v>0</v>
      </c>
      <c r="X80" s="1" t="s">
        <v>78</v>
      </c>
      <c r="Y80" s="1">
        <v>21.903000000639999</v>
      </c>
      <c r="Z80" s="1" t="s">
        <v>78</v>
      </c>
      <c r="AA80" s="1">
        <v>0</v>
      </c>
      <c r="AB80" s="1" t="s">
        <v>78</v>
      </c>
      <c r="AC80" s="1">
        <v>69.989828320492435</v>
      </c>
      <c r="AD80" s="1" t="s">
        <v>78</v>
      </c>
      <c r="AE80" s="1">
        <v>0</v>
      </c>
      <c r="AF80" s="1" t="s">
        <v>78</v>
      </c>
      <c r="AG80" s="1">
        <v>0</v>
      </c>
      <c r="AH80" s="1" t="s">
        <v>78</v>
      </c>
      <c r="AI80" s="1">
        <v>0</v>
      </c>
      <c r="AJ80" s="14">
        <f t="shared" si="3"/>
        <v>0.69989828320492431</v>
      </c>
      <c r="AL80">
        <f t="shared" si="4"/>
        <v>27.00000000064</v>
      </c>
      <c r="AM80">
        <f t="shared" si="5"/>
        <v>30</v>
      </c>
      <c r="AN80" s="100"/>
      <c r="AO80" s="11"/>
    </row>
    <row r="81" spans="2:41" x14ac:dyDescent="0.3">
      <c r="B81" s="4" t="s">
        <v>79</v>
      </c>
      <c r="C81" s="1">
        <v>0.64</v>
      </c>
      <c r="D81" s="1" t="s">
        <v>79</v>
      </c>
      <c r="E81" s="1">
        <v>1.5409999999999999</v>
      </c>
      <c r="F81" s="1" t="s">
        <v>79</v>
      </c>
      <c r="G81" s="1">
        <v>0.13</v>
      </c>
      <c r="H81" s="1" t="s">
        <v>79</v>
      </c>
      <c r="I81" s="1">
        <v>0.15</v>
      </c>
      <c r="J81" s="1" t="s">
        <v>79</v>
      </c>
      <c r="K81" s="1">
        <v>2</v>
      </c>
      <c r="L81" s="1" t="s">
        <v>79</v>
      </c>
      <c r="M81">
        <v>5.74</v>
      </c>
      <c r="N81" s="1" t="s">
        <v>79</v>
      </c>
      <c r="O81" s="1">
        <v>0</v>
      </c>
      <c r="P81" s="1" t="s">
        <v>79</v>
      </c>
      <c r="Q81" s="1">
        <v>5.74</v>
      </c>
      <c r="R81" s="1" t="s">
        <v>79</v>
      </c>
      <c r="S81" s="1">
        <v>0</v>
      </c>
      <c r="T81" s="1" t="s">
        <v>79</v>
      </c>
      <c r="U81" s="1">
        <v>8.53084398361257</v>
      </c>
      <c r="V81" s="1" t="s">
        <v>79</v>
      </c>
      <c r="W81" s="1">
        <v>0</v>
      </c>
      <c r="X81" s="1" t="s">
        <v>79</v>
      </c>
      <c r="Y81" s="1">
        <v>10.596759585251313</v>
      </c>
      <c r="Z81" s="1" t="s">
        <v>79</v>
      </c>
      <c r="AA81" s="1">
        <v>0</v>
      </c>
      <c r="AB81" s="1" t="s">
        <v>79</v>
      </c>
      <c r="AC81" s="1">
        <v>61.455064906493917</v>
      </c>
      <c r="AD81" s="1" t="s">
        <v>79</v>
      </c>
      <c r="AE81" s="1">
        <v>0</v>
      </c>
      <c r="AF81" s="1" t="s">
        <v>79</v>
      </c>
      <c r="AG81" s="1">
        <v>0</v>
      </c>
      <c r="AH81" s="1" t="s">
        <v>79</v>
      </c>
      <c r="AI81" s="1">
        <v>0</v>
      </c>
      <c r="AJ81" s="14">
        <f t="shared" si="3"/>
        <v>0.61455064906493917</v>
      </c>
      <c r="AL81">
        <f t="shared" si="4"/>
        <v>13.417759585251313</v>
      </c>
      <c r="AM81">
        <f t="shared" si="5"/>
        <v>14.27084398361257</v>
      </c>
      <c r="AN81" s="100"/>
      <c r="AO81" s="11"/>
    </row>
    <row r="82" spans="2:41" x14ac:dyDescent="0.3">
      <c r="B82" s="4" t="s">
        <v>80</v>
      </c>
      <c r="C82" s="1">
        <v>0.7</v>
      </c>
      <c r="D82" s="1" t="s">
        <v>80</v>
      </c>
      <c r="E82" s="1">
        <v>1.702</v>
      </c>
      <c r="F82" s="1" t="s">
        <v>80</v>
      </c>
      <c r="G82" s="1">
        <v>0.13</v>
      </c>
      <c r="H82" s="1" t="s">
        <v>80</v>
      </c>
      <c r="I82" s="1">
        <v>0.15</v>
      </c>
      <c r="J82" s="1" t="s">
        <v>80</v>
      </c>
      <c r="K82" s="1">
        <v>2</v>
      </c>
      <c r="L82" s="1" t="s">
        <v>80</v>
      </c>
      <c r="M82">
        <v>9.41</v>
      </c>
      <c r="N82" s="1" t="s">
        <v>80</v>
      </c>
      <c r="O82" s="1">
        <v>0</v>
      </c>
      <c r="P82" s="1" t="s">
        <v>80</v>
      </c>
      <c r="Q82" s="1">
        <v>9.41</v>
      </c>
      <c r="R82" s="1" t="s">
        <v>80</v>
      </c>
      <c r="S82" s="1">
        <v>0</v>
      </c>
      <c r="T82" s="1" t="s">
        <v>80</v>
      </c>
      <c r="U82" s="1">
        <v>0</v>
      </c>
      <c r="V82" s="1" t="s">
        <v>80</v>
      </c>
      <c r="W82" s="1">
        <v>0</v>
      </c>
      <c r="X82" s="1" t="s">
        <v>80</v>
      </c>
      <c r="Y82" s="1">
        <v>6.3079999999999998</v>
      </c>
      <c r="Z82" s="1" t="s">
        <v>80</v>
      </c>
      <c r="AA82" s="1">
        <v>0</v>
      </c>
      <c r="AB82" s="1" t="s">
        <v>80</v>
      </c>
      <c r="AC82" s="1">
        <v>61.451623422859157</v>
      </c>
      <c r="AD82" s="1" t="s">
        <v>80</v>
      </c>
      <c r="AE82" s="1">
        <v>0</v>
      </c>
      <c r="AF82" s="1" t="s">
        <v>80</v>
      </c>
      <c r="AG82" s="1">
        <v>0</v>
      </c>
      <c r="AH82" s="1" t="s">
        <v>80</v>
      </c>
      <c r="AI82" s="1">
        <v>0</v>
      </c>
      <c r="AJ82" s="14">
        <f t="shared" si="3"/>
        <v>0.61451623422859158</v>
      </c>
      <c r="AL82">
        <f t="shared" si="4"/>
        <v>9.41</v>
      </c>
      <c r="AM82">
        <f t="shared" si="5"/>
        <v>9.41</v>
      </c>
      <c r="AN82" s="100"/>
      <c r="AO82" s="11"/>
    </row>
    <row r="83" spans="2:41" x14ac:dyDescent="0.3">
      <c r="B83" s="4" t="s">
        <v>81</v>
      </c>
      <c r="C83" s="1">
        <v>1.22</v>
      </c>
      <c r="D83" s="1" t="s">
        <v>81</v>
      </c>
      <c r="E83" s="1">
        <v>5.0739999999999998</v>
      </c>
      <c r="F83" s="1" t="s">
        <v>81</v>
      </c>
      <c r="G83" s="1">
        <v>0.13</v>
      </c>
      <c r="H83" s="1" t="s">
        <v>81</v>
      </c>
      <c r="I83" s="1">
        <v>0.15</v>
      </c>
      <c r="J83" s="1" t="s">
        <v>81</v>
      </c>
      <c r="K83" s="1">
        <v>1</v>
      </c>
      <c r="L83" s="1" t="s">
        <v>81</v>
      </c>
      <c r="M83">
        <v>7.42</v>
      </c>
      <c r="N83" s="1" t="s">
        <v>81</v>
      </c>
      <c r="O83" s="1">
        <v>0</v>
      </c>
      <c r="P83" s="1" t="s">
        <v>81</v>
      </c>
      <c r="Q83" s="1">
        <v>7.42</v>
      </c>
      <c r="R83" s="1" t="s">
        <v>81</v>
      </c>
      <c r="S83" s="1">
        <v>0</v>
      </c>
      <c r="T83" s="1" t="s">
        <v>81</v>
      </c>
      <c r="U83" s="1">
        <v>0.10444444444444301</v>
      </c>
      <c r="V83" s="1" t="s">
        <v>81</v>
      </c>
      <c r="W83" s="1">
        <v>0</v>
      </c>
      <c r="X83" s="1" t="s">
        <v>81</v>
      </c>
      <c r="Y83" s="1">
        <v>0</v>
      </c>
      <c r="Z83" s="1" t="s">
        <v>81</v>
      </c>
      <c r="AA83" s="1">
        <v>0</v>
      </c>
      <c r="AB83" s="1" t="s">
        <v>81</v>
      </c>
      <c r="AC83" s="1">
        <v>61.343737687503037</v>
      </c>
      <c r="AD83" s="1" t="s">
        <v>81</v>
      </c>
      <c r="AE83" s="1">
        <v>0</v>
      </c>
      <c r="AF83" s="1" t="s">
        <v>81</v>
      </c>
      <c r="AG83" s="1">
        <v>0</v>
      </c>
      <c r="AH83" s="1" t="s">
        <v>81</v>
      </c>
      <c r="AI83" s="1">
        <v>0</v>
      </c>
      <c r="AJ83" s="14">
        <f t="shared" si="3"/>
        <v>0.61343737687503042</v>
      </c>
      <c r="AL83">
        <f t="shared" si="4"/>
        <v>7.5139999999999993</v>
      </c>
      <c r="AM83">
        <f t="shared" si="5"/>
        <v>7.5244444444444429</v>
      </c>
      <c r="AN83" s="100"/>
      <c r="AO83" s="11"/>
    </row>
    <row r="84" spans="2:41" x14ac:dyDescent="0.3">
      <c r="B84" s="4" t="s">
        <v>82</v>
      </c>
      <c r="C84" s="1">
        <v>4.51</v>
      </c>
      <c r="D84" s="1" t="s">
        <v>82</v>
      </c>
      <c r="E84" s="1">
        <v>9.7330000000000005</v>
      </c>
      <c r="F84" s="1" t="s">
        <v>82</v>
      </c>
      <c r="G84" s="1">
        <v>0.13</v>
      </c>
      <c r="H84" s="1" t="s">
        <v>82</v>
      </c>
      <c r="I84" s="1">
        <v>0.15</v>
      </c>
      <c r="J84" s="1" t="s">
        <v>82</v>
      </c>
      <c r="K84" s="1">
        <v>1</v>
      </c>
      <c r="L84" s="1" t="s">
        <v>82</v>
      </c>
      <c r="M84">
        <v>22.66</v>
      </c>
      <c r="N84" s="1" t="s">
        <v>82</v>
      </c>
      <c r="O84" s="1">
        <v>3.4889510000000001</v>
      </c>
      <c r="P84" s="1" t="s">
        <v>82</v>
      </c>
      <c r="Q84" s="1">
        <v>22.66</v>
      </c>
      <c r="R84" s="1" t="s">
        <v>82</v>
      </c>
      <c r="S84" s="1">
        <v>0</v>
      </c>
      <c r="T84" s="1" t="s">
        <v>82</v>
      </c>
      <c r="U84" s="1">
        <v>0</v>
      </c>
      <c r="V84" s="1" t="s">
        <v>82</v>
      </c>
      <c r="W84" s="1">
        <v>0</v>
      </c>
      <c r="X84" s="1" t="s">
        <v>82</v>
      </c>
      <c r="Y84" s="1">
        <v>0</v>
      </c>
      <c r="Z84" s="1" t="s">
        <v>82</v>
      </c>
      <c r="AA84" s="1">
        <v>0</v>
      </c>
      <c r="AB84" s="1" t="s">
        <v>82</v>
      </c>
      <c r="AC84" s="1">
        <v>64.829253438192538</v>
      </c>
      <c r="AD84" s="1" t="s">
        <v>82</v>
      </c>
      <c r="AE84" s="1">
        <v>0</v>
      </c>
      <c r="AF84" s="1" t="s">
        <v>82</v>
      </c>
      <c r="AG84" s="1">
        <v>0</v>
      </c>
      <c r="AH84" s="1" t="s">
        <v>82</v>
      </c>
      <c r="AI84" s="1">
        <v>0</v>
      </c>
      <c r="AJ84" s="14">
        <f t="shared" si="3"/>
        <v>0.64829253438192536</v>
      </c>
      <c r="AL84">
        <f t="shared" si="4"/>
        <v>22.241951</v>
      </c>
      <c r="AM84">
        <f t="shared" si="5"/>
        <v>22.66</v>
      </c>
      <c r="AN84" s="100"/>
      <c r="AO84" s="11"/>
    </row>
    <row r="85" spans="2:41" x14ac:dyDescent="0.3">
      <c r="B85" s="4" t="s">
        <v>83</v>
      </c>
      <c r="C85" s="1">
        <v>3.38</v>
      </c>
      <c r="D85" s="1" t="s">
        <v>83</v>
      </c>
      <c r="E85" s="1">
        <v>7.298</v>
      </c>
      <c r="F85" s="1" t="s">
        <v>83</v>
      </c>
      <c r="G85" s="1">
        <v>0.13</v>
      </c>
      <c r="H85" s="1" t="s">
        <v>83</v>
      </c>
      <c r="I85" s="1">
        <v>0.15</v>
      </c>
      <c r="J85" s="1" t="s">
        <v>83</v>
      </c>
      <c r="K85" s="1">
        <v>1</v>
      </c>
      <c r="L85" s="1" t="s">
        <v>83</v>
      </c>
      <c r="M85">
        <v>32.9</v>
      </c>
      <c r="N85" s="1" t="s">
        <v>83</v>
      </c>
      <c r="O85" s="1">
        <v>14.236205999999997</v>
      </c>
      <c r="P85" s="1" t="s">
        <v>83</v>
      </c>
      <c r="Q85" s="1">
        <v>30</v>
      </c>
      <c r="R85" s="1" t="s">
        <v>83</v>
      </c>
      <c r="S85" s="1">
        <v>0</v>
      </c>
      <c r="T85" s="1" t="s">
        <v>83</v>
      </c>
      <c r="U85" s="1">
        <v>0</v>
      </c>
      <c r="V85" s="1" t="s">
        <v>83</v>
      </c>
      <c r="W85" s="1">
        <v>0</v>
      </c>
      <c r="X85" s="1" t="s">
        <v>83</v>
      </c>
      <c r="Y85" s="1">
        <v>0</v>
      </c>
      <c r="Z85" s="1" t="s">
        <v>83</v>
      </c>
      <c r="AA85" s="1">
        <v>0</v>
      </c>
      <c r="AB85" s="1" t="s">
        <v>83</v>
      </c>
      <c r="AC85" s="1">
        <v>79.061829000000003</v>
      </c>
      <c r="AD85" s="1" t="s">
        <v>83</v>
      </c>
      <c r="AE85" s="1">
        <v>0</v>
      </c>
      <c r="AF85" s="1" t="s">
        <v>83</v>
      </c>
      <c r="AG85" s="1">
        <v>0</v>
      </c>
      <c r="AH85" s="1" t="s">
        <v>83</v>
      </c>
      <c r="AI85" s="1">
        <v>0</v>
      </c>
      <c r="AJ85" s="14">
        <f t="shared" si="3"/>
        <v>0.79061829000000006</v>
      </c>
      <c r="AL85">
        <f t="shared" si="4"/>
        <v>28.294205999999996</v>
      </c>
      <c r="AM85">
        <f t="shared" si="5"/>
        <v>30</v>
      </c>
      <c r="AN85" s="100"/>
      <c r="AO85" s="11"/>
    </row>
    <row r="86" spans="2:41" x14ac:dyDescent="0.3">
      <c r="B86" s="4" t="s">
        <v>84</v>
      </c>
      <c r="C86" s="1">
        <v>2.75</v>
      </c>
      <c r="D86" s="1" t="s">
        <v>84</v>
      </c>
      <c r="E86" s="1">
        <v>1.0529999999999999</v>
      </c>
      <c r="F86" s="1" t="s">
        <v>84</v>
      </c>
      <c r="G86" s="1">
        <v>0.13</v>
      </c>
      <c r="H86" s="1" t="s">
        <v>84</v>
      </c>
      <c r="I86" s="1">
        <v>0.15</v>
      </c>
      <c r="J86" s="1" t="s">
        <v>84</v>
      </c>
      <c r="K86" s="1">
        <v>1</v>
      </c>
      <c r="L86" s="1" t="s">
        <v>84</v>
      </c>
      <c r="M86">
        <v>31.31</v>
      </c>
      <c r="N86" s="1" t="s">
        <v>84</v>
      </c>
      <c r="O86" s="1">
        <v>20.938170999999997</v>
      </c>
      <c r="P86" s="1" t="s">
        <v>84</v>
      </c>
      <c r="Q86" s="1">
        <v>30</v>
      </c>
      <c r="R86" s="1" t="s">
        <v>84</v>
      </c>
      <c r="S86" s="1">
        <v>0</v>
      </c>
      <c r="T86" s="1" t="s">
        <v>84</v>
      </c>
      <c r="U86" s="1">
        <v>0</v>
      </c>
      <c r="V86" s="1" t="s">
        <v>84</v>
      </c>
      <c r="W86" s="1">
        <v>0</v>
      </c>
      <c r="X86" s="1" t="s">
        <v>84</v>
      </c>
      <c r="Y86" s="1">
        <v>0</v>
      </c>
      <c r="Z86" s="1" t="s">
        <v>84</v>
      </c>
      <c r="AA86" s="1">
        <v>0</v>
      </c>
      <c r="AB86" s="1" t="s">
        <v>84</v>
      </c>
      <c r="AC86" s="1">
        <v>99.99557253757601</v>
      </c>
      <c r="AD86" s="1" t="s">
        <v>84</v>
      </c>
      <c r="AE86" s="1">
        <v>0</v>
      </c>
      <c r="AF86" s="1" t="s">
        <v>84</v>
      </c>
      <c r="AG86" s="1">
        <v>0</v>
      </c>
      <c r="AH86" s="1" t="s">
        <v>84</v>
      </c>
      <c r="AI86" s="1">
        <v>0</v>
      </c>
      <c r="AJ86" s="14">
        <f t="shared" si="3"/>
        <v>0.99995572537576005</v>
      </c>
      <c r="AL86">
        <f t="shared" si="4"/>
        <v>27.491170999999998</v>
      </c>
      <c r="AM86">
        <f t="shared" si="5"/>
        <v>30</v>
      </c>
      <c r="AN86" s="100"/>
      <c r="AO86" s="11"/>
    </row>
    <row r="87" spans="2:41" x14ac:dyDescent="0.3">
      <c r="B87" s="4" t="s">
        <v>85</v>
      </c>
      <c r="C87" s="1">
        <v>5.32</v>
      </c>
      <c r="D87" s="1" t="s">
        <v>85</v>
      </c>
      <c r="E87" s="1">
        <v>1.2350000000000001</v>
      </c>
      <c r="F87" s="1" t="s">
        <v>85</v>
      </c>
      <c r="G87" s="1">
        <v>0.13</v>
      </c>
      <c r="H87" s="1" t="s">
        <v>85</v>
      </c>
      <c r="I87" s="1">
        <v>0.15</v>
      </c>
      <c r="J87" s="1" t="s">
        <v>85</v>
      </c>
      <c r="K87" s="1">
        <v>2</v>
      </c>
      <c r="L87" s="1" t="s">
        <v>85</v>
      </c>
      <c r="M87">
        <v>20.59</v>
      </c>
      <c r="N87" s="1" t="s">
        <v>85</v>
      </c>
      <c r="O87" s="1">
        <v>0</v>
      </c>
      <c r="P87" s="1" t="s">
        <v>85</v>
      </c>
      <c r="Q87" s="1">
        <v>20.59</v>
      </c>
      <c r="R87" s="1" t="s">
        <v>85</v>
      </c>
      <c r="S87" s="1">
        <v>0</v>
      </c>
      <c r="T87" s="1" t="s">
        <v>85</v>
      </c>
      <c r="U87" s="1">
        <v>0</v>
      </c>
      <c r="V87" s="1" t="s">
        <v>85</v>
      </c>
      <c r="W87" s="1">
        <v>0</v>
      </c>
      <c r="X87" s="1" t="s">
        <v>85</v>
      </c>
      <c r="Y87" s="1">
        <v>8.7149999999999999</v>
      </c>
      <c r="Z87" s="1" t="s">
        <v>85</v>
      </c>
      <c r="AA87" s="1">
        <v>0</v>
      </c>
      <c r="AB87" s="1" t="s">
        <v>85</v>
      </c>
      <c r="AC87" s="1">
        <v>99.989972785513913</v>
      </c>
      <c r="AD87" s="1" t="s">
        <v>85</v>
      </c>
      <c r="AE87" s="1">
        <v>0</v>
      </c>
      <c r="AF87" s="1" t="s">
        <v>85</v>
      </c>
      <c r="AG87" s="1">
        <v>0</v>
      </c>
      <c r="AH87" s="1" t="s">
        <v>85</v>
      </c>
      <c r="AI87" s="1">
        <v>0</v>
      </c>
      <c r="AJ87" s="14">
        <f t="shared" si="3"/>
        <v>0.99989972785513914</v>
      </c>
      <c r="AL87">
        <f t="shared" si="4"/>
        <v>20.59</v>
      </c>
      <c r="AM87">
        <f t="shared" si="5"/>
        <v>20.59</v>
      </c>
      <c r="AN87" s="100"/>
      <c r="AO87" s="11"/>
    </row>
    <row r="88" spans="2:41" x14ac:dyDescent="0.3">
      <c r="B88" s="4" t="s">
        <v>86</v>
      </c>
      <c r="C88" s="1">
        <v>5.98</v>
      </c>
      <c r="D88" s="1" t="s">
        <v>86</v>
      </c>
      <c r="E88" s="1">
        <v>7.5</v>
      </c>
      <c r="F88" s="1" t="s">
        <v>86</v>
      </c>
      <c r="G88" s="1">
        <v>0.13</v>
      </c>
      <c r="H88" s="1" t="s">
        <v>86</v>
      </c>
      <c r="I88" s="1">
        <v>0.15</v>
      </c>
      <c r="J88" s="1" t="s">
        <v>86</v>
      </c>
      <c r="K88" s="1">
        <v>2</v>
      </c>
      <c r="L88" s="1" t="s">
        <v>86</v>
      </c>
      <c r="M88">
        <v>8.7799999999999994</v>
      </c>
      <c r="N88" s="1" t="s">
        <v>86</v>
      </c>
      <c r="O88" s="1">
        <v>0</v>
      </c>
      <c r="P88" s="1" t="s">
        <v>86</v>
      </c>
      <c r="Q88" s="1">
        <v>8.7799999999999994</v>
      </c>
      <c r="R88" s="1" t="s">
        <v>86</v>
      </c>
      <c r="S88" s="1">
        <v>0</v>
      </c>
      <c r="T88" s="1" t="s">
        <v>86</v>
      </c>
      <c r="U88" s="1">
        <v>7.0910857371130049</v>
      </c>
      <c r="V88" s="1" t="s">
        <v>86</v>
      </c>
      <c r="W88" s="1">
        <v>4.2980228365982978</v>
      </c>
      <c r="X88" s="1" t="s">
        <v>86</v>
      </c>
      <c r="Y88" s="1">
        <v>0</v>
      </c>
      <c r="Z88" s="1" t="s">
        <v>86</v>
      </c>
      <c r="AA88" s="1">
        <v>0</v>
      </c>
      <c r="AB88" s="1" t="s">
        <v>86</v>
      </c>
      <c r="AC88" s="1">
        <v>92.893287609924926</v>
      </c>
      <c r="AD88" s="1" t="s">
        <v>86</v>
      </c>
      <c r="AE88" s="1">
        <v>0</v>
      </c>
      <c r="AF88" s="1" t="s">
        <v>86</v>
      </c>
      <c r="AG88" s="1">
        <v>0</v>
      </c>
      <c r="AH88" s="1" t="s">
        <v>86</v>
      </c>
      <c r="AI88" s="1">
        <v>0</v>
      </c>
      <c r="AJ88" s="14">
        <f t="shared" si="3"/>
        <v>0.92893287609924924</v>
      </c>
      <c r="AL88">
        <f t="shared" si="4"/>
        <v>19.46</v>
      </c>
      <c r="AM88">
        <f t="shared" si="5"/>
        <v>20.169108573711302</v>
      </c>
      <c r="AN88" s="100"/>
      <c r="AO88" s="11"/>
    </row>
    <row r="89" spans="2:41" x14ac:dyDescent="0.3">
      <c r="B89" s="4" t="s">
        <v>87</v>
      </c>
      <c r="C89" s="1">
        <v>2.82</v>
      </c>
      <c r="D89" s="1" t="s">
        <v>87</v>
      </c>
      <c r="E89" s="1">
        <v>6.0860000000000003</v>
      </c>
      <c r="F89" s="1" t="s">
        <v>87</v>
      </c>
      <c r="G89" s="1">
        <v>0.13</v>
      </c>
      <c r="H89" s="1" t="s">
        <v>87</v>
      </c>
      <c r="I89" s="1">
        <v>0.15</v>
      </c>
      <c r="J89" s="1" t="s">
        <v>87</v>
      </c>
      <c r="K89" s="1">
        <v>2</v>
      </c>
      <c r="L89" s="1" t="s">
        <v>87</v>
      </c>
      <c r="M89">
        <v>12.08</v>
      </c>
      <c r="N89" s="1" t="s">
        <v>87</v>
      </c>
      <c r="O89" s="1">
        <v>0</v>
      </c>
      <c r="P89" s="1" t="s">
        <v>87</v>
      </c>
      <c r="Q89" s="1">
        <v>12.08</v>
      </c>
      <c r="R89" s="1" t="s">
        <v>87</v>
      </c>
      <c r="S89" s="1">
        <v>0</v>
      </c>
      <c r="T89" s="1" t="s">
        <v>87</v>
      </c>
      <c r="U89" s="1">
        <v>0</v>
      </c>
      <c r="V89" s="1" t="s">
        <v>87</v>
      </c>
      <c r="W89" s="1">
        <v>0</v>
      </c>
      <c r="X89" s="1" t="s">
        <v>87</v>
      </c>
      <c r="Y89" s="1">
        <v>0.35400000000000098</v>
      </c>
      <c r="Z89" s="1" t="s">
        <v>87</v>
      </c>
      <c r="AA89" s="1">
        <v>0</v>
      </c>
      <c r="AB89" s="1" t="s">
        <v>87</v>
      </c>
      <c r="AC89" s="1">
        <v>92.888085585818772</v>
      </c>
      <c r="AD89" s="1" t="s">
        <v>87</v>
      </c>
      <c r="AE89" s="1">
        <v>0</v>
      </c>
      <c r="AF89" s="1" t="s">
        <v>87</v>
      </c>
      <c r="AG89" s="1">
        <v>0</v>
      </c>
      <c r="AH89" s="1" t="s">
        <v>87</v>
      </c>
      <c r="AI89" s="1">
        <v>0</v>
      </c>
      <c r="AJ89" s="14">
        <f t="shared" si="3"/>
        <v>0.92888085585818769</v>
      </c>
      <c r="AL89">
        <f t="shared" si="4"/>
        <v>12.08</v>
      </c>
      <c r="AM89">
        <f t="shared" si="5"/>
        <v>12.08</v>
      </c>
      <c r="AN89" s="100"/>
      <c r="AO89" s="11"/>
    </row>
    <row r="90" spans="2:41" x14ac:dyDescent="0.3">
      <c r="B90" s="4" t="s">
        <v>88</v>
      </c>
      <c r="C90" s="1">
        <v>2.0299999999999998</v>
      </c>
      <c r="D90" s="1" t="s">
        <v>88</v>
      </c>
      <c r="E90" s="1">
        <v>4.3929999999999998</v>
      </c>
      <c r="F90" s="1" t="s">
        <v>88</v>
      </c>
      <c r="G90" s="1">
        <v>0.13</v>
      </c>
      <c r="H90" s="1" t="s">
        <v>88</v>
      </c>
      <c r="I90" s="1">
        <v>0.15</v>
      </c>
      <c r="J90" s="1" t="s">
        <v>88</v>
      </c>
      <c r="K90" s="1">
        <v>2</v>
      </c>
      <c r="L90" s="1" t="s">
        <v>88</v>
      </c>
      <c r="M90">
        <v>11.3</v>
      </c>
      <c r="N90" s="1" t="s">
        <v>88</v>
      </c>
      <c r="O90" s="1">
        <v>0</v>
      </c>
      <c r="P90" s="1" t="s">
        <v>88</v>
      </c>
      <c r="Q90" s="1">
        <v>11.3</v>
      </c>
      <c r="R90" s="1" t="s">
        <v>88</v>
      </c>
      <c r="S90" s="1">
        <v>0</v>
      </c>
      <c r="T90" s="1" t="s">
        <v>88</v>
      </c>
      <c r="U90" s="1">
        <v>0</v>
      </c>
      <c r="V90" s="1" t="s">
        <v>88</v>
      </c>
      <c r="W90" s="1">
        <v>0</v>
      </c>
      <c r="X90" s="1" t="s">
        <v>88</v>
      </c>
      <c r="Y90" s="1">
        <v>2.8470000000000013</v>
      </c>
      <c r="Z90" s="1" t="s">
        <v>88</v>
      </c>
      <c r="AA90" s="1">
        <v>0</v>
      </c>
      <c r="AB90" s="1" t="s">
        <v>88</v>
      </c>
      <c r="AC90" s="1">
        <v>92.882883853025973</v>
      </c>
      <c r="AD90" s="1" t="s">
        <v>88</v>
      </c>
      <c r="AE90" s="1">
        <v>0</v>
      </c>
      <c r="AF90" s="1" t="s">
        <v>88</v>
      </c>
      <c r="AG90" s="1">
        <v>0</v>
      </c>
      <c r="AH90" s="1" t="s">
        <v>88</v>
      </c>
      <c r="AI90" s="1">
        <v>0</v>
      </c>
      <c r="AJ90" s="14">
        <f t="shared" si="3"/>
        <v>0.92882883853025977</v>
      </c>
      <c r="AL90">
        <f t="shared" si="4"/>
        <v>11.3</v>
      </c>
      <c r="AM90">
        <f t="shared" si="5"/>
        <v>11.3</v>
      </c>
      <c r="AN90" s="100"/>
      <c r="AO90" s="11"/>
    </row>
    <row r="91" spans="2:41" x14ac:dyDescent="0.3">
      <c r="B91" s="4" t="s">
        <v>89</v>
      </c>
      <c r="C91" s="1">
        <v>3.29</v>
      </c>
      <c r="D91" s="1" t="s">
        <v>89</v>
      </c>
      <c r="E91" s="1">
        <v>6.0250000000000004</v>
      </c>
      <c r="F91" s="1" t="s">
        <v>89</v>
      </c>
      <c r="G91" s="1">
        <v>0.13</v>
      </c>
      <c r="H91" s="1" t="s">
        <v>89</v>
      </c>
      <c r="I91" s="1">
        <v>0.15</v>
      </c>
      <c r="J91" s="1" t="s">
        <v>89</v>
      </c>
      <c r="K91" s="1">
        <v>2</v>
      </c>
      <c r="L91" s="1" t="s">
        <v>89</v>
      </c>
      <c r="M91">
        <v>7.89</v>
      </c>
      <c r="N91" s="1" t="s">
        <v>89</v>
      </c>
      <c r="O91" s="1">
        <v>0</v>
      </c>
      <c r="P91" s="1" t="s">
        <v>89</v>
      </c>
      <c r="Q91" s="1">
        <v>7.89</v>
      </c>
      <c r="R91" s="1" t="s">
        <v>89</v>
      </c>
      <c r="S91" s="1">
        <v>0</v>
      </c>
      <c r="T91" s="1" t="s">
        <v>89</v>
      </c>
      <c r="U91" s="1">
        <v>0</v>
      </c>
      <c r="V91" s="1" t="s">
        <v>89</v>
      </c>
      <c r="W91" s="1">
        <v>4.7150000000000007</v>
      </c>
      <c r="X91" s="1" t="s">
        <v>89</v>
      </c>
      <c r="Y91" s="1">
        <v>0</v>
      </c>
      <c r="Z91" s="1" t="s">
        <v>89</v>
      </c>
      <c r="AA91" s="1">
        <v>0</v>
      </c>
      <c r="AB91" s="1" t="s">
        <v>89</v>
      </c>
      <c r="AC91" s="1">
        <v>92.877682411530202</v>
      </c>
      <c r="AD91" s="1" t="s">
        <v>89</v>
      </c>
      <c r="AE91" s="1">
        <v>0</v>
      </c>
      <c r="AF91" s="1" t="s">
        <v>89</v>
      </c>
      <c r="AG91" s="1">
        <v>0</v>
      </c>
      <c r="AH91" s="1" t="s">
        <v>89</v>
      </c>
      <c r="AI91" s="1">
        <v>0</v>
      </c>
      <c r="AJ91" s="14">
        <f t="shared" si="3"/>
        <v>0.92877682411530205</v>
      </c>
      <c r="AL91">
        <f t="shared" si="4"/>
        <v>12.605</v>
      </c>
      <c r="AM91">
        <f t="shared" si="5"/>
        <v>12.605</v>
      </c>
      <c r="AN91" s="100"/>
      <c r="AO91" s="11"/>
    </row>
    <row r="92" spans="2:41" x14ac:dyDescent="0.3">
      <c r="B92" s="4" t="s">
        <v>90</v>
      </c>
      <c r="C92" s="1">
        <v>5.86</v>
      </c>
      <c r="D92" s="1" t="s">
        <v>90</v>
      </c>
      <c r="E92" s="1">
        <v>4.7830000000000004</v>
      </c>
      <c r="F92" s="1" t="s">
        <v>90</v>
      </c>
      <c r="G92" s="1">
        <v>0.13</v>
      </c>
      <c r="H92" s="1" t="s">
        <v>90</v>
      </c>
      <c r="I92" s="1">
        <v>0.15</v>
      </c>
      <c r="J92" s="1" t="s">
        <v>90</v>
      </c>
      <c r="K92" s="1">
        <v>2</v>
      </c>
      <c r="L92" s="1" t="s">
        <v>90</v>
      </c>
      <c r="M92">
        <v>6.3999999999999996E-10</v>
      </c>
      <c r="N92" s="1" t="s">
        <v>90</v>
      </c>
      <c r="O92" s="1">
        <v>0</v>
      </c>
      <c r="P92" s="1" t="s">
        <v>90</v>
      </c>
      <c r="Q92" s="1">
        <v>0</v>
      </c>
      <c r="R92" s="1" t="s">
        <v>90</v>
      </c>
      <c r="S92" s="1">
        <v>0</v>
      </c>
      <c r="T92" s="1" t="s">
        <v>90</v>
      </c>
      <c r="U92" s="1">
        <v>0</v>
      </c>
      <c r="V92" s="1" t="s">
        <v>90</v>
      </c>
      <c r="W92" s="1">
        <v>16.50299999936</v>
      </c>
      <c r="X92" s="1" t="s">
        <v>90</v>
      </c>
      <c r="Y92" s="1">
        <v>0</v>
      </c>
      <c r="Z92" s="1" t="s">
        <v>90</v>
      </c>
      <c r="AA92" s="1">
        <v>0</v>
      </c>
      <c r="AB92" s="1" t="s">
        <v>90</v>
      </c>
      <c r="AC92" s="1">
        <v>92.872481261315158</v>
      </c>
      <c r="AD92" s="1" t="s">
        <v>90</v>
      </c>
      <c r="AE92" s="1">
        <v>0</v>
      </c>
      <c r="AF92" s="1" t="s">
        <v>90</v>
      </c>
      <c r="AG92" s="1">
        <v>0</v>
      </c>
      <c r="AH92" s="1" t="s">
        <v>90</v>
      </c>
      <c r="AI92" s="1">
        <v>0</v>
      </c>
      <c r="AJ92" s="14">
        <f t="shared" si="3"/>
        <v>0.92872481261315154</v>
      </c>
      <c r="AL92">
        <f t="shared" si="4"/>
        <v>16.503</v>
      </c>
      <c r="AM92">
        <f t="shared" si="5"/>
        <v>16.50299999936</v>
      </c>
      <c r="AN92" s="100"/>
      <c r="AO92" s="11"/>
    </row>
    <row r="93" spans="2:41" x14ac:dyDescent="0.3">
      <c r="B93" s="4" t="s">
        <v>91</v>
      </c>
      <c r="C93" s="1">
        <v>2.41</v>
      </c>
      <c r="D93" s="1" t="s">
        <v>91</v>
      </c>
      <c r="E93" s="1">
        <v>3.1890000000000001</v>
      </c>
      <c r="F93" s="1" t="s">
        <v>91</v>
      </c>
      <c r="G93" s="1">
        <v>0.13</v>
      </c>
      <c r="H93" s="1" t="s">
        <v>91</v>
      </c>
      <c r="I93" s="1">
        <v>0.15</v>
      </c>
      <c r="J93" s="1" t="s">
        <v>91</v>
      </c>
      <c r="K93" s="1">
        <v>1</v>
      </c>
      <c r="L93" s="1" t="s">
        <v>91</v>
      </c>
      <c r="M93">
        <v>6.3999999999999996E-10</v>
      </c>
      <c r="N93" s="1" t="s">
        <v>91</v>
      </c>
      <c r="O93" s="1">
        <v>0</v>
      </c>
      <c r="P93" s="1" t="s">
        <v>91</v>
      </c>
      <c r="Q93" s="1">
        <v>0</v>
      </c>
      <c r="R93" s="1" t="s">
        <v>91</v>
      </c>
      <c r="S93" s="1">
        <v>0</v>
      </c>
      <c r="T93" s="1" t="s">
        <v>91</v>
      </c>
      <c r="U93" s="1">
        <v>8.8988888881777779</v>
      </c>
      <c r="V93" s="1" t="s">
        <v>91</v>
      </c>
      <c r="W93" s="1">
        <v>0</v>
      </c>
      <c r="X93" s="1" t="s">
        <v>91</v>
      </c>
      <c r="Y93" s="1">
        <v>0</v>
      </c>
      <c r="Z93" s="1" t="s">
        <v>91</v>
      </c>
      <c r="AA93" s="1">
        <v>0</v>
      </c>
      <c r="AB93" s="1" t="s">
        <v>91</v>
      </c>
      <c r="AC93" s="1">
        <v>83.968391514186749</v>
      </c>
      <c r="AD93" s="1" t="s">
        <v>91</v>
      </c>
      <c r="AE93" s="1">
        <v>0</v>
      </c>
      <c r="AF93" s="1" t="s">
        <v>91</v>
      </c>
      <c r="AG93" s="1">
        <v>0</v>
      </c>
      <c r="AH93" s="1" t="s">
        <v>91</v>
      </c>
      <c r="AI93" s="1">
        <v>0</v>
      </c>
      <c r="AJ93" s="14">
        <f t="shared" si="3"/>
        <v>0.83968391514186747</v>
      </c>
      <c r="AL93">
        <f t="shared" si="4"/>
        <v>8.0090000000000003</v>
      </c>
      <c r="AM93">
        <f t="shared" si="5"/>
        <v>8.8988888881777779</v>
      </c>
      <c r="AN93" s="100"/>
      <c r="AO93" s="11"/>
    </row>
    <row r="94" spans="2:41" x14ac:dyDescent="0.3">
      <c r="B94" s="4" t="s">
        <v>92</v>
      </c>
      <c r="C94" s="1">
        <v>7.4</v>
      </c>
      <c r="D94" s="1" t="s">
        <v>92</v>
      </c>
      <c r="E94" s="1">
        <v>2.6920000000000002</v>
      </c>
      <c r="F94" s="1" t="s">
        <v>92</v>
      </c>
      <c r="G94" s="1">
        <v>0.13</v>
      </c>
      <c r="H94" s="1" t="s">
        <v>92</v>
      </c>
      <c r="I94" s="1">
        <v>0.15</v>
      </c>
      <c r="J94" s="1" t="s">
        <v>92</v>
      </c>
      <c r="K94" s="1">
        <v>1</v>
      </c>
      <c r="L94" s="1" t="s">
        <v>92</v>
      </c>
      <c r="M94">
        <v>6.3999999999999996E-10</v>
      </c>
      <c r="N94" s="1" t="s">
        <v>92</v>
      </c>
      <c r="O94" s="1">
        <v>0</v>
      </c>
      <c r="P94" s="1" t="s">
        <v>92</v>
      </c>
      <c r="Q94" s="1">
        <v>0</v>
      </c>
      <c r="R94" s="1" t="s">
        <v>92</v>
      </c>
      <c r="S94" s="1">
        <v>0</v>
      </c>
      <c r="T94" s="1" t="s">
        <v>92</v>
      </c>
      <c r="U94" s="1">
        <v>19.435555554844445</v>
      </c>
      <c r="V94" s="1" t="s">
        <v>92</v>
      </c>
      <c r="W94" s="1">
        <v>0</v>
      </c>
      <c r="X94" s="1" t="s">
        <v>92</v>
      </c>
      <c r="Y94" s="1">
        <v>0</v>
      </c>
      <c r="Z94" s="1" t="s">
        <v>92</v>
      </c>
      <c r="AA94" s="1">
        <v>0</v>
      </c>
      <c r="AB94" s="1" t="s">
        <v>92</v>
      </c>
      <c r="AC94" s="1">
        <v>64.528133729417505</v>
      </c>
      <c r="AD94" s="1" t="s">
        <v>92</v>
      </c>
      <c r="AE94" s="1">
        <v>0</v>
      </c>
      <c r="AF94" s="1" t="s">
        <v>92</v>
      </c>
      <c r="AG94" s="1">
        <v>0</v>
      </c>
      <c r="AH94" s="1" t="s">
        <v>92</v>
      </c>
      <c r="AI94" s="1">
        <v>0</v>
      </c>
      <c r="AJ94" s="14">
        <f t="shared" si="3"/>
        <v>0.64528133729417503</v>
      </c>
      <c r="AL94">
        <f t="shared" si="4"/>
        <v>17.492000000000001</v>
      </c>
      <c r="AM94">
        <f t="shared" si="5"/>
        <v>19.435555554844445</v>
      </c>
      <c r="AN94" s="100"/>
      <c r="AO94" s="11"/>
    </row>
    <row r="95" spans="2:41" x14ac:dyDescent="0.3">
      <c r="B95" s="4" t="s">
        <v>93</v>
      </c>
      <c r="C95" s="1">
        <v>9.4700000000000006</v>
      </c>
      <c r="D95" s="1" t="s">
        <v>93</v>
      </c>
      <c r="E95" s="1">
        <v>2.2010000000000001</v>
      </c>
      <c r="F95" s="1" t="s">
        <v>93</v>
      </c>
      <c r="G95" s="1">
        <v>0.13</v>
      </c>
      <c r="H95" s="1" t="s">
        <v>93</v>
      </c>
      <c r="I95" s="1">
        <v>0.15</v>
      </c>
      <c r="J95" s="1" t="s">
        <v>93</v>
      </c>
      <c r="K95" s="1">
        <v>1</v>
      </c>
      <c r="L95" s="1" t="s">
        <v>93</v>
      </c>
      <c r="M95">
        <v>6.3999999999999996E-10</v>
      </c>
      <c r="N95" s="1" t="s">
        <v>93</v>
      </c>
      <c r="O95" s="1">
        <v>0</v>
      </c>
      <c r="P95" s="1" t="s">
        <v>93</v>
      </c>
      <c r="Q95" s="1">
        <v>0</v>
      </c>
      <c r="R95" s="1" t="s">
        <v>93</v>
      </c>
      <c r="S95" s="1">
        <v>0</v>
      </c>
      <c r="T95" s="1" t="s">
        <v>93</v>
      </c>
      <c r="U95" s="1">
        <v>23.489999999288891</v>
      </c>
      <c r="V95" s="1" t="s">
        <v>93</v>
      </c>
      <c r="W95" s="1">
        <v>0</v>
      </c>
      <c r="X95" s="1" t="s">
        <v>93</v>
      </c>
      <c r="Y95" s="1">
        <v>0</v>
      </c>
      <c r="Z95" s="1" t="s">
        <v>93</v>
      </c>
      <c r="AA95" s="1">
        <v>0</v>
      </c>
      <c r="AB95" s="1" t="s">
        <v>93</v>
      </c>
      <c r="AC95" s="1">
        <v>41.034520154639772</v>
      </c>
      <c r="AD95" s="1" t="s">
        <v>93</v>
      </c>
      <c r="AE95" s="1">
        <v>0</v>
      </c>
      <c r="AF95" s="1" t="s">
        <v>93</v>
      </c>
      <c r="AG95" s="1">
        <v>0</v>
      </c>
      <c r="AH95" s="1" t="s">
        <v>93</v>
      </c>
      <c r="AI95" s="1">
        <v>0</v>
      </c>
      <c r="AJ95" s="14">
        <f t="shared" si="3"/>
        <v>0.4103452015463977</v>
      </c>
      <c r="AL95">
        <f t="shared" si="4"/>
        <v>21.141000000000002</v>
      </c>
      <c r="AM95">
        <f t="shared" si="5"/>
        <v>23.489999999288891</v>
      </c>
      <c r="AN95" s="100"/>
      <c r="AO95" s="11"/>
    </row>
    <row r="96" spans="2:41" x14ac:dyDescent="0.3">
      <c r="B96" s="4" t="s">
        <v>94</v>
      </c>
      <c r="C96" s="1">
        <v>3.79</v>
      </c>
      <c r="D96" s="1" t="s">
        <v>94</v>
      </c>
      <c r="E96" s="1">
        <v>2.3490000000000002</v>
      </c>
      <c r="F96" s="1" t="s">
        <v>94</v>
      </c>
      <c r="G96" s="1">
        <v>0.08</v>
      </c>
      <c r="H96" s="1" t="s">
        <v>94</v>
      </c>
      <c r="I96" s="1">
        <v>0.1</v>
      </c>
      <c r="J96" s="1" t="s">
        <v>94</v>
      </c>
      <c r="K96" s="1">
        <v>1</v>
      </c>
      <c r="L96" s="1" t="s">
        <v>94</v>
      </c>
      <c r="M96">
        <v>6.3999999999999996E-10</v>
      </c>
      <c r="N96" s="1" t="s">
        <v>94</v>
      </c>
      <c r="O96" s="1">
        <v>0</v>
      </c>
      <c r="P96" s="1" t="s">
        <v>94</v>
      </c>
      <c r="Q96" s="1">
        <v>0</v>
      </c>
      <c r="R96" s="1" t="s">
        <v>94</v>
      </c>
      <c r="S96" s="1">
        <v>0</v>
      </c>
      <c r="T96" s="1" t="s">
        <v>94</v>
      </c>
      <c r="U96" s="1">
        <v>11.032222221511113</v>
      </c>
      <c r="V96" s="1" t="s">
        <v>94</v>
      </c>
      <c r="W96" s="1">
        <v>0</v>
      </c>
      <c r="X96" s="1" t="s">
        <v>94</v>
      </c>
      <c r="Y96" s="1">
        <v>0</v>
      </c>
      <c r="Z96" s="1" t="s">
        <v>94</v>
      </c>
      <c r="AA96" s="1">
        <v>0</v>
      </c>
      <c r="AB96" s="1" t="s">
        <v>94</v>
      </c>
      <c r="AC96" s="1">
        <v>30</v>
      </c>
      <c r="AD96" s="1" t="s">
        <v>94</v>
      </c>
      <c r="AE96" s="1">
        <v>0</v>
      </c>
      <c r="AF96" s="1" t="s">
        <v>94</v>
      </c>
      <c r="AG96" s="1">
        <v>0</v>
      </c>
      <c r="AH96" s="1" t="s">
        <v>94</v>
      </c>
      <c r="AI96" s="1">
        <v>0</v>
      </c>
      <c r="AJ96" s="14">
        <f t="shared" si="3"/>
        <v>0.3</v>
      </c>
      <c r="AL96">
        <f t="shared" si="4"/>
        <v>9.9290000000000003</v>
      </c>
      <c r="AM96">
        <f t="shared" si="5"/>
        <v>11.032222221511113</v>
      </c>
      <c r="AN96" s="100"/>
      <c r="AO96" s="11"/>
    </row>
    <row r="97" spans="2:41" x14ac:dyDescent="0.3">
      <c r="B97" s="4" t="s">
        <v>95</v>
      </c>
      <c r="C97" s="1">
        <v>3</v>
      </c>
      <c r="D97" s="1" t="s">
        <v>95</v>
      </c>
      <c r="E97" s="1">
        <v>2.3519999999999999</v>
      </c>
      <c r="F97" s="1" t="s">
        <v>95</v>
      </c>
      <c r="G97" s="1">
        <v>0.08</v>
      </c>
      <c r="H97" s="1" t="s">
        <v>95</v>
      </c>
      <c r="I97" s="1">
        <v>0.1</v>
      </c>
      <c r="J97" s="1" t="s">
        <v>95</v>
      </c>
      <c r="K97" s="1">
        <v>2</v>
      </c>
      <c r="L97" s="1" t="s">
        <v>95</v>
      </c>
      <c r="M97">
        <v>6.3999999999999996E-10</v>
      </c>
      <c r="N97" s="1" t="s">
        <v>95</v>
      </c>
      <c r="O97" s="1">
        <v>1.6799999999967952E-3</v>
      </c>
      <c r="P97" s="1" t="s">
        <v>95</v>
      </c>
      <c r="Q97" s="1">
        <v>0</v>
      </c>
      <c r="R97" s="1" t="s">
        <v>95</v>
      </c>
      <c r="S97" s="1">
        <v>0</v>
      </c>
      <c r="T97" s="1" t="s">
        <v>95</v>
      </c>
      <c r="U97" s="1">
        <v>0</v>
      </c>
      <c r="V97" s="1" t="s">
        <v>95</v>
      </c>
      <c r="W97" s="1">
        <v>8.3538812983521584</v>
      </c>
      <c r="X97" s="1" t="s">
        <v>95</v>
      </c>
      <c r="Y97" s="1">
        <v>0</v>
      </c>
      <c r="Z97" s="1" t="s">
        <v>95</v>
      </c>
      <c r="AA97" s="1">
        <v>0</v>
      </c>
      <c r="AB97" s="1" t="s">
        <v>95</v>
      </c>
      <c r="AC97" s="1">
        <v>30</v>
      </c>
      <c r="AD97" s="1" t="s">
        <v>95</v>
      </c>
      <c r="AE97" s="1">
        <v>0</v>
      </c>
      <c r="AF97" s="1" t="s">
        <v>95</v>
      </c>
      <c r="AG97" s="1">
        <v>0</v>
      </c>
      <c r="AH97" s="1" t="s">
        <v>95</v>
      </c>
      <c r="AI97" s="1">
        <v>0</v>
      </c>
      <c r="AJ97" s="14">
        <f t="shared" si="3"/>
        <v>0.3</v>
      </c>
      <c r="AL97">
        <f t="shared" si="4"/>
        <v>8.3536799999999971</v>
      </c>
      <c r="AM97">
        <f t="shared" si="5"/>
        <v>8.3538812983521584</v>
      </c>
      <c r="AN97" s="100"/>
      <c r="AO97" s="11"/>
    </row>
    <row r="98" spans="2:41" x14ac:dyDescent="0.3">
      <c r="B98" s="4" t="s">
        <v>96</v>
      </c>
      <c r="C98" s="1">
        <v>1.55</v>
      </c>
      <c r="D98" s="1" t="s">
        <v>96</v>
      </c>
      <c r="E98" s="1">
        <v>1.637</v>
      </c>
      <c r="F98" s="1" t="s">
        <v>96</v>
      </c>
      <c r="G98" s="1">
        <v>0.08</v>
      </c>
      <c r="H98" s="1" t="s">
        <v>96</v>
      </c>
      <c r="I98" s="1">
        <v>0.1</v>
      </c>
      <c r="J98" s="1" t="s">
        <v>96</v>
      </c>
      <c r="K98" s="1">
        <v>2</v>
      </c>
      <c r="L98" s="1" t="s">
        <v>96</v>
      </c>
      <c r="M98">
        <v>6.3999999999999996E-10</v>
      </c>
      <c r="N98" s="1" t="s">
        <v>96</v>
      </c>
      <c r="O98" s="1">
        <v>1.6799999999967952E-3</v>
      </c>
      <c r="P98" s="1" t="s">
        <v>96</v>
      </c>
      <c r="Q98" s="1">
        <v>0</v>
      </c>
      <c r="R98" s="1" t="s">
        <v>96</v>
      </c>
      <c r="S98" s="1">
        <v>0</v>
      </c>
      <c r="T98" s="1" t="s">
        <v>96</v>
      </c>
      <c r="U98" s="1">
        <v>0</v>
      </c>
      <c r="V98" s="1" t="s">
        <v>96</v>
      </c>
      <c r="W98" s="1">
        <v>4.7388812983521573</v>
      </c>
      <c r="X98" s="1" t="s">
        <v>96</v>
      </c>
      <c r="Y98" s="1">
        <v>0</v>
      </c>
      <c r="Z98" s="1" t="s">
        <v>96</v>
      </c>
      <c r="AA98" s="1">
        <v>0</v>
      </c>
      <c r="AB98" s="1" t="s">
        <v>96</v>
      </c>
      <c r="AC98" s="1">
        <v>30</v>
      </c>
      <c r="AD98" s="1" t="s">
        <v>96</v>
      </c>
      <c r="AE98" s="1">
        <v>0</v>
      </c>
      <c r="AF98" s="1" t="s">
        <v>96</v>
      </c>
      <c r="AG98" s="1">
        <v>0</v>
      </c>
      <c r="AH98" s="1" t="s">
        <v>96</v>
      </c>
      <c r="AI98" s="1">
        <v>0</v>
      </c>
      <c r="AJ98" s="14">
        <f t="shared" si="3"/>
        <v>0.3</v>
      </c>
      <c r="AL98">
        <f t="shared" si="4"/>
        <v>4.7386799999999969</v>
      </c>
      <c r="AM98">
        <f t="shared" si="5"/>
        <v>4.7388812983521573</v>
      </c>
      <c r="AN98" s="100"/>
      <c r="AO98" s="11"/>
    </row>
    <row r="99" spans="2:41" x14ac:dyDescent="0.3">
      <c r="B99" s="4" t="s">
        <v>97</v>
      </c>
      <c r="C99" s="1">
        <v>1.1100000000000001</v>
      </c>
      <c r="D99" s="1" t="s">
        <v>97</v>
      </c>
      <c r="E99" s="1">
        <v>2.0640000000000001</v>
      </c>
      <c r="F99" s="1" t="s">
        <v>97</v>
      </c>
      <c r="G99" s="1">
        <v>0.08</v>
      </c>
      <c r="H99" s="1" t="s">
        <v>97</v>
      </c>
      <c r="I99" s="1">
        <v>0.1</v>
      </c>
      <c r="J99" s="1" t="s">
        <v>97</v>
      </c>
      <c r="K99" s="1">
        <v>2</v>
      </c>
      <c r="L99" s="1" t="s">
        <v>97</v>
      </c>
      <c r="M99">
        <v>6.3999999999999996E-10</v>
      </c>
      <c r="N99" s="1" t="s">
        <v>97</v>
      </c>
      <c r="O99" s="1">
        <v>1.6799999999967952E-3</v>
      </c>
      <c r="P99" s="1" t="s">
        <v>97</v>
      </c>
      <c r="Q99" s="1">
        <v>0</v>
      </c>
      <c r="R99" s="1" t="s">
        <v>97</v>
      </c>
      <c r="S99" s="1">
        <v>0</v>
      </c>
      <c r="T99" s="1" t="s">
        <v>97</v>
      </c>
      <c r="U99" s="1">
        <v>0</v>
      </c>
      <c r="V99" s="1" t="s">
        <v>97</v>
      </c>
      <c r="W99" s="1">
        <v>4.2858812983521579</v>
      </c>
      <c r="X99" s="1" t="s">
        <v>97</v>
      </c>
      <c r="Y99" s="1">
        <v>0</v>
      </c>
      <c r="Z99" s="1" t="s">
        <v>97</v>
      </c>
      <c r="AA99" s="1">
        <v>0</v>
      </c>
      <c r="AB99" s="1" t="s">
        <v>97</v>
      </c>
      <c r="AC99" s="1">
        <v>30</v>
      </c>
      <c r="AD99" s="1" t="s">
        <v>97</v>
      </c>
      <c r="AE99" s="1">
        <v>0</v>
      </c>
      <c r="AF99" s="1" t="s">
        <v>97</v>
      </c>
      <c r="AG99" s="1">
        <v>0</v>
      </c>
      <c r="AH99" s="1" t="s">
        <v>97</v>
      </c>
      <c r="AI99" s="1">
        <v>0</v>
      </c>
      <c r="AJ99" s="14">
        <f t="shared" si="3"/>
        <v>0.3</v>
      </c>
      <c r="AL99">
        <f t="shared" si="4"/>
        <v>4.2856799999999975</v>
      </c>
      <c r="AM99">
        <f t="shared" si="5"/>
        <v>4.2858812983521579</v>
      </c>
      <c r="AN99" s="100"/>
      <c r="AO99" s="11"/>
    </row>
    <row r="100" spans="2:41" x14ac:dyDescent="0.3">
      <c r="B100" s="4" t="s">
        <v>98</v>
      </c>
      <c r="C100" s="1">
        <v>1.02</v>
      </c>
      <c r="D100" s="1" t="s">
        <v>98</v>
      </c>
      <c r="E100" s="1">
        <v>1.8959999999999999</v>
      </c>
      <c r="F100" s="1" t="s">
        <v>98</v>
      </c>
      <c r="G100" s="1">
        <v>0.08</v>
      </c>
      <c r="H100" s="1" t="s">
        <v>98</v>
      </c>
      <c r="I100" s="1">
        <v>0.1</v>
      </c>
      <c r="J100" s="1" t="s">
        <v>98</v>
      </c>
      <c r="K100" s="1">
        <v>2</v>
      </c>
      <c r="L100" s="1" t="s">
        <v>98</v>
      </c>
      <c r="M100">
        <v>6.3999999999999996E-10</v>
      </c>
      <c r="N100" s="1" t="s">
        <v>98</v>
      </c>
      <c r="O100" s="1">
        <v>16.588591738943681</v>
      </c>
      <c r="P100" s="1" t="s">
        <v>98</v>
      </c>
      <c r="Q100" s="1">
        <v>0</v>
      </c>
      <c r="R100" s="1" t="s">
        <v>98</v>
      </c>
      <c r="S100" s="1">
        <v>0</v>
      </c>
      <c r="T100" s="1" t="s">
        <v>98</v>
      </c>
      <c r="U100" s="1">
        <v>0</v>
      </c>
      <c r="V100" s="1" t="s">
        <v>98</v>
      </c>
      <c r="W100" s="1">
        <v>22.512250546889319</v>
      </c>
      <c r="X100" s="1" t="s">
        <v>98</v>
      </c>
      <c r="Y100" s="1">
        <v>0</v>
      </c>
      <c r="Z100" s="1" t="s">
        <v>98</v>
      </c>
      <c r="AA100" s="1">
        <v>0</v>
      </c>
      <c r="AB100" s="1" t="s">
        <v>98</v>
      </c>
      <c r="AC100" s="1">
        <v>46.586911738943684</v>
      </c>
      <c r="AD100" s="1" t="s">
        <v>98</v>
      </c>
      <c r="AE100" s="1">
        <v>0</v>
      </c>
      <c r="AF100" s="1" t="s">
        <v>98</v>
      </c>
      <c r="AG100" s="1">
        <v>0</v>
      </c>
      <c r="AH100" s="1" t="s">
        <v>98</v>
      </c>
      <c r="AI100" s="1">
        <v>0</v>
      </c>
      <c r="AJ100" s="14">
        <f t="shared" si="3"/>
        <v>0.46586911738943682</v>
      </c>
      <c r="AL100">
        <f t="shared" si="4"/>
        <v>20.52459173894368</v>
      </c>
      <c r="AM100">
        <f t="shared" si="5"/>
        <v>22.512250546889319</v>
      </c>
      <c r="AN100" s="100"/>
      <c r="AO100" s="11"/>
    </row>
    <row r="101" spans="2:41" x14ac:dyDescent="0.3">
      <c r="B101" s="4" t="s">
        <v>99</v>
      </c>
      <c r="C101" s="1">
        <v>1.53</v>
      </c>
      <c r="D101" s="1" t="s">
        <v>99</v>
      </c>
      <c r="E101" s="1">
        <v>2.86</v>
      </c>
      <c r="F101" s="1" t="s">
        <v>99</v>
      </c>
      <c r="G101" s="1">
        <v>0.08</v>
      </c>
      <c r="H101" s="1" t="s">
        <v>99</v>
      </c>
      <c r="I101" s="1">
        <v>0.1</v>
      </c>
      <c r="J101" s="1" t="s">
        <v>99</v>
      </c>
      <c r="K101" s="1">
        <v>2</v>
      </c>
      <c r="L101" s="1" t="s">
        <v>99</v>
      </c>
      <c r="M101">
        <v>6.3999999999999996E-10</v>
      </c>
      <c r="N101" s="1" t="s">
        <v>99</v>
      </c>
      <c r="O101" s="1">
        <v>17.038440000571519</v>
      </c>
      <c r="P101" s="1" t="s">
        <v>99</v>
      </c>
      <c r="Q101" s="1">
        <v>0</v>
      </c>
      <c r="R101" s="1" t="s">
        <v>99</v>
      </c>
      <c r="S101" s="1">
        <v>0</v>
      </c>
      <c r="T101" s="1" t="s">
        <v>99</v>
      </c>
      <c r="U101" s="1">
        <v>0</v>
      </c>
      <c r="V101" s="1" t="s">
        <v>99</v>
      </c>
      <c r="W101" s="1">
        <v>25</v>
      </c>
      <c r="X101" s="1" t="s">
        <v>99</v>
      </c>
      <c r="Y101" s="1">
        <v>0</v>
      </c>
      <c r="Z101" s="1" t="s">
        <v>99</v>
      </c>
      <c r="AA101" s="1">
        <v>0</v>
      </c>
      <c r="AB101" s="1" t="s">
        <v>99</v>
      </c>
      <c r="AC101" s="1">
        <v>63.62274287245782</v>
      </c>
      <c r="AD101" s="1" t="s">
        <v>99</v>
      </c>
      <c r="AE101" s="1">
        <v>0</v>
      </c>
      <c r="AF101" s="1" t="s">
        <v>99</v>
      </c>
      <c r="AG101" s="1">
        <v>0</v>
      </c>
      <c r="AH101" s="1" t="s">
        <v>99</v>
      </c>
      <c r="AI101" s="1">
        <v>0</v>
      </c>
      <c r="AJ101" s="14">
        <f t="shared" si="3"/>
        <v>0.63622742872457816</v>
      </c>
      <c r="AL101">
        <f t="shared" si="4"/>
        <v>22.958440000571521</v>
      </c>
      <c r="AM101">
        <f t="shared" si="5"/>
        <v>25</v>
      </c>
      <c r="AN101" s="100"/>
      <c r="AO101" s="11"/>
    </row>
    <row r="102" spans="2:41" x14ac:dyDescent="0.3">
      <c r="B102" s="4" t="s">
        <v>100</v>
      </c>
      <c r="C102" s="1">
        <v>0.95</v>
      </c>
      <c r="D102" s="1" t="s">
        <v>100</v>
      </c>
      <c r="E102" s="1">
        <v>1.7729999999999999</v>
      </c>
      <c r="F102" s="1" t="s">
        <v>100</v>
      </c>
      <c r="G102" s="1">
        <v>0.08</v>
      </c>
      <c r="H102" s="1" t="s">
        <v>100</v>
      </c>
      <c r="I102" s="1">
        <v>0.1</v>
      </c>
      <c r="J102" s="1" t="s">
        <v>100</v>
      </c>
      <c r="K102" s="1">
        <v>2</v>
      </c>
      <c r="L102" s="1" t="s">
        <v>100</v>
      </c>
      <c r="M102">
        <v>6.3999999999999996E-10</v>
      </c>
      <c r="N102" s="1" t="s">
        <v>100</v>
      </c>
      <c r="O102" s="1">
        <v>19.04501100057152</v>
      </c>
      <c r="P102" s="1" t="s">
        <v>100</v>
      </c>
      <c r="Q102" s="1">
        <v>0</v>
      </c>
      <c r="R102" s="1" t="s">
        <v>100</v>
      </c>
      <c r="S102" s="1">
        <v>0</v>
      </c>
      <c r="T102" s="1" t="s">
        <v>100</v>
      </c>
      <c r="U102" s="1">
        <v>0</v>
      </c>
      <c r="V102" s="1" t="s">
        <v>100</v>
      </c>
      <c r="W102" s="1">
        <v>25</v>
      </c>
      <c r="X102" s="1" t="s">
        <v>100</v>
      </c>
      <c r="Y102" s="1">
        <v>0</v>
      </c>
      <c r="Z102" s="1" t="s">
        <v>100</v>
      </c>
      <c r="AA102" s="1">
        <v>0</v>
      </c>
      <c r="AB102" s="1" t="s">
        <v>100</v>
      </c>
      <c r="AC102" s="1">
        <v>82.664190999428484</v>
      </c>
      <c r="AD102" s="1" t="s">
        <v>100</v>
      </c>
      <c r="AE102" s="1">
        <v>0</v>
      </c>
      <c r="AF102" s="1" t="s">
        <v>100</v>
      </c>
      <c r="AG102" s="1">
        <v>0</v>
      </c>
      <c r="AH102" s="1" t="s">
        <v>100</v>
      </c>
      <c r="AI102" s="1">
        <v>0</v>
      </c>
      <c r="AJ102" s="14">
        <f t="shared" si="3"/>
        <v>0.82664190999428488</v>
      </c>
      <c r="AL102">
        <f t="shared" si="4"/>
        <v>22.718011000571522</v>
      </c>
      <c r="AM102">
        <f t="shared" si="5"/>
        <v>25</v>
      </c>
      <c r="AN102" s="100"/>
      <c r="AO102" s="11"/>
    </row>
    <row r="103" spans="2:41" x14ac:dyDescent="0.3">
      <c r="B103" s="4" t="s">
        <v>101</v>
      </c>
      <c r="C103" s="1">
        <v>1.45</v>
      </c>
      <c r="D103" s="1" t="s">
        <v>101</v>
      </c>
      <c r="E103" s="1">
        <v>2.6869999999999998</v>
      </c>
      <c r="F103" s="1" t="s">
        <v>101</v>
      </c>
      <c r="G103" s="1">
        <v>0.08</v>
      </c>
      <c r="H103" s="1" t="s">
        <v>101</v>
      </c>
      <c r="I103" s="1">
        <v>0.1</v>
      </c>
      <c r="J103" s="1" t="s">
        <v>101</v>
      </c>
      <c r="K103" s="1">
        <v>2</v>
      </c>
      <c r="L103" s="1" t="s">
        <v>101</v>
      </c>
      <c r="M103">
        <v>6.3999999999999996E-10</v>
      </c>
      <c r="N103" s="1" t="s">
        <v>101</v>
      </c>
      <c r="O103" s="1">
        <v>17.335809000571519</v>
      </c>
      <c r="P103" s="1" t="s">
        <v>101</v>
      </c>
      <c r="Q103" s="1">
        <v>0</v>
      </c>
      <c r="R103" s="1" t="s">
        <v>101</v>
      </c>
      <c r="S103" s="1">
        <v>0</v>
      </c>
      <c r="T103" s="1" t="s">
        <v>101</v>
      </c>
      <c r="U103" s="1">
        <v>0</v>
      </c>
      <c r="V103" s="1" t="s">
        <v>101</v>
      </c>
      <c r="W103" s="1">
        <v>25</v>
      </c>
      <c r="X103" s="1" t="s">
        <v>101</v>
      </c>
      <c r="Y103" s="1">
        <v>0</v>
      </c>
      <c r="Z103" s="1" t="s">
        <v>101</v>
      </c>
      <c r="AA103" s="1">
        <v>0</v>
      </c>
      <c r="AB103" s="1" t="s">
        <v>101</v>
      </c>
      <c r="AC103" s="1">
        <v>99.995370805304034</v>
      </c>
      <c r="AD103" s="1" t="s">
        <v>101</v>
      </c>
      <c r="AE103" s="1">
        <v>0</v>
      </c>
      <c r="AF103" s="1" t="s">
        <v>101</v>
      </c>
      <c r="AG103" s="1">
        <v>0</v>
      </c>
      <c r="AH103" s="1" t="s">
        <v>101</v>
      </c>
      <c r="AI103" s="1">
        <v>0</v>
      </c>
      <c r="AJ103" s="14">
        <f t="shared" si="3"/>
        <v>0.99995370805304029</v>
      </c>
      <c r="AL103">
        <f t="shared" si="4"/>
        <v>22.922809000571519</v>
      </c>
      <c r="AM103">
        <f t="shared" si="5"/>
        <v>25</v>
      </c>
      <c r="AN103" s="100"/>
      <c r="AO103" s="11"/>
    </row>
    <row r="104" spans="2:41" x14ac:dyDescent="0.3">
      <c r="B104" s="4" t="s">
        <v>102</v>
      </c>
      <c r="C104" s="1">
        <v>0.96</v>
      </c>
      <c r="D104" s="1" t="s">
        <v>102</v>
      </c>
      <c r="E104" s="1">
        <v>1.7849999999999999</v>
      </c>
      <c r="F104" s="1" t="s">
        <v>102</v>
      </c>
      <c r="G104" s="1">
        <v>0.13</v>
      </c>
      <c r="H104" s="1" t="s">
        <v>102</v>
      </c>
      <c r="I104" s="1">
        <v>0.15</v>
      </c>
      <c r="J104" s="1" t="s">
        <v>102</v>
      </c>
      <c r="K104" s="1">
        <v>2</v>
      </c>
      <c r="L104" s="1" t="s">
        <v>102</v>
      </c>
      <c r="M104">
        <v>6.3999999999999996E-10</v>
      </c>
      <c r="N104" s="1" t="s">
        <v>102</v>
      </c>
      <c r="O104" s="1">
        <v>0</v>
      </c>
      <c r="P104" s="1" t="s">
        <v>102</v>
      </c>
      <c r="Q104" s="1">
        <v>0</v>
      </c>
      <c r="R104" s="1" t="s">
        <v>102</v>
      </c>
      <c r="S104" s="1">
        <v>0</v>
      </c>
      <c r="T104" s="1" t="s">
        <v>102</v>
      </c>
      <c r="U104" s="1">
        <v>4.116666665955556</v>
      </c>
      <c r="V104" s="1" t="s">
        <v>102</v>
      </c>
      <c r="W104" s="1">
        <v>0</v>
      </c>
      <c r="X104" s="1" t="s">
        <v>102</v>
      </c>
      <c r="Y104" s="1">
        <v>0</v>
      </c>
      <c r="Z104" s="1" t="s">
        <v>102</v>
      </c>
      <c r="AA104" s="1">
        <v>0</v>
      </c>
      <c r="AB104" s="1" t="s">
        <v>102</v>
      </c>
      <c r="AC104" s="1">
        <v>95.873104398583394</v>
      </c>
      <c r="AD104" s="1" t="s">
        <v>102</v>
      </c>
      <c r="AE104" s="1">
        <v>0</v>
      </c>
      <c r="AF104" s="1" t="s">
        <v>102</v>
      </c>
      <c r="AG104" s="1">
        <v>0</v>
      </c>
      <c r="AH104" s="1" t="s">
        <v>102</v>
      </c>
      <c r="AI104" s="1">
        <v>0</v>
      </c>
      <c r="AJ104" s="14">
        <f t="shared" si="3"/>
        <v>0.95873104398583398</v>
      </c>
      <c r="AL104">
        <f t="shared" si="4"/>
        <v>3.7050000000000001</v>
      </c>
      <c r="AM104">
        <f t="shared" si="5"/>
        <v>4.116666665955556</v>
      </c>
      <c r="AN104" s="100"/>
      <c r="AO104" s="11"/>
    </row>
    <row r="105" spans="2:41" x14ac:dyDescent="0.3">
      <c r="B105" s="4" t="s">
        <v>103</v>
      </c>
      <c r="C105" s="1">
        <v>0.53</v>
      </c>
      <c r="D105" s="1" t="s">
        <v>103</v>
      </c>
      <c r="E105" s="1">
        <v>1.276</v>
      </c>
      <c r="F105" s="1" t="s">
        <v>103</v>
      </c>
      <c r="G105" s="1">
        <v>0.13</v>
      </c>
      <c r="H105" s="1" t="s">
        <v>103</v>
      </c>
      <c r="I105" s="1">
        <v>0.15</v>
      </c>
      <c r="J105" s="1" t="s">
        <v>103</v>
      </c>
      <c r="K105" s="1">
        <v>2</v>
      </c>
      <c r="L105" s="1" t="s">
        <v>103</v>
      </c>
      <c r="M105">
        <v>7.5E-10</v>
      </c>
      <c r="N105" s="1" t="s">
        <v>103</v>
      </c>
      <c r="O105" s="1">
        <v>0</v>
      </c>
      <c r="P105" s="1" t="s">
        <v>103</v>
      </c>
      <c r="Q105" s="1">
        <v>0</v>
      </c>
      <c r="R105" s="1" t="s">
        <v>103</v>
      </c>
      <c r="S105" s="1">
        <v>0</v>
      </c>
      <c r="T105" s="1" t="s">
        <v>103</v>
      </c>
      <c r="U105" s="1">
        <v>2.5955555547222224</v>
      </c>
      <c r="V105" s="1" t="s">
        <v>103</v>
      </c>
      <c r="W105" s="1">
        <v>0</v>
      </c>
      <c r="X105" s="1" t="s">
        <v>103</v>
      </c>
      <c r="Y105" s="1">
        <v>0</v>
      </c>
      <c r="Z105" s="1" t="s">
        <v>103</v>
      </c>
      <c r="AA105" s="1">
        <v>0</v>
      </c>
      <c r="AB105" s="1" t="s">
        <v>103</v>
      </c>
      <c r="AC105" s="1">
        <v>93.272179950014859</v>
      </c>
      <c r="AD105" s="1" t="s">
        <v>103</v>
      </c>
      <c r="AE105" s="1">
        <v>0</v>
      </c>
      <c r="AF105" s="1" t="s">
        <v>103</v>
      </c>
      <c r="AG105" s="1">
        <v>0</v>
      </c>
      <c r="AH105" s="1" t="s">
        <v>103</v>
      </c>
      <c r="AI105" s="1">
        <v>0</v>
      </c>
      <c r="AJ105" s="14">
        <f t="shared" si="3"/>
        <v>0.93272179950014855</v>
      </c>
      <c r="AL105">
        <f t="shared" si="4"/>
        <v>2.3360000000000003</v>
      </c>
      <c r="AM105">
        <f t="shared" si="5"/>
        <v>2.5955555547222224</v>
      </c>
      <c r="AN105" s="100"/>
      <c r="AO105" s="11"/>
    </row>
    <row r="106" spans="2:41" x14ac:dyDescent="0.3">
      <c r="B106" s="4" t="s">
        <v>104</v>
      </c>
      <c r="C106" s="1">
        <v>0.82</v>
      </c>
      <c r="D106" s="1" t="s">
        <v>104</v>
      </c>
      <c r="E106" s="1">
        <v>1.994</v>
      </c>
      <c r="F106" s="1" t="s">
        <v>104</v>
      </c>
      <c r="G106" s="1">
        <v>0.13</v>
      </c>
      <c r="H106" s="1" t="s">
        <v>104</v>
      </c>
      <c r="I106" s="1">
        <v>0.15</v>
      </c>
      <c r="J106" s="1" t="s">
        <v>104</v>
      </c>
      <c r="K106" s="1">
        <v>1</v>
      </c>
      <c r="L106" s="1" t="s">
        <v>104</v>
      </c>
      <c r="M106">
        <v>10.220000000000001</v>
      </c>
      <c r="N106" s="1" t="s">
        <v>104</v>
      </c>
      <c r="O106" s="1">
        <v>5.8812980000000001</v>
      </c>
      <c r="P106" s="1" t="s">
        <v>104</v>
      </c>
      <c r="Q106" s="1">
        <v>10.220000000000001</v>
      </c>
      <c r="R106" s="1" t="s">
        <v>104</v>
      </c>
      <c r="S106" s="1">
        <v>0</v>
      </c>
      <c r="T106" s="1" t="s">
        <v>104</v>
      </c>
      <c r="U106" s="1">
        <v>0</v>
      </c>
      <c r="V106" s="1" t="s">
        <v>104</v>
      </c>
      <c r="W106" s="1">
        <v>0</v>
      </c>
      <c r="X106" s="1" t="s">
        <v>104</v>
      </c>
      <c r="Y106" s="1">
        <v>0</v>
      </c>
      <c r="Z106" s="1" t="s">
        <v>104</v>
      </c>
      <c r="AA106" s="1">
        <v>0</v>
      </c>
      <c r="AB106" s="1" t="s">
        <v>104</v>
      </c>
      <c r="AC106" s="1">
        <v>99.148254707937667</v>
      </c>
      <c r="AD106" s="1" t="s">
        <v>104</v>
      </c>
      <c r="AE106" s="1">
        <v>0</v>
      </c>
      <c r="AF106" s="1" t="s">
        <v>104</v>
      </c>
      <c r="AG106" s="1">
        <v>0</v>
      </c>
      <c r="AH106" s="1" t="s">
        <v>104</v>
      </c>
      <c r="AI106" s="1">
        <v>0</v>
      </c>
      <c r="AJ106" s="14">
        <f t="shared" si="3"/>
        <v>0.99148254707937666</v>
      </c>
      <c r="AL106">
        <f t="shared" si="4"/>
        <v>9.5152979999999996</v>
      </c>
      <c r="AM106">
        <f t="shared" si="5"/>
        <v>10.220000000000001</v>
      </c>
      <c r="AN106" s="100"/>
      <c r="AO106" s="11"/>
    </row>
    <row r="107" spans="2:41" x14ac:dyDescent="0.3">
      <c r="B107" s="4" t="s">
        <v>105</v>
      </c>
      <c r="C107" s="1">
        <v>1.52</v>
      </c>
      <c r="D107" s="1" t="s">
        <v>105</v>
      </c>
      <c r="E107" s="1">
        <v>6.3280000000000003</v>
      </c>
      <c r="F107" s="1" t="s">
        <v>105</v>
      </c>
      <c r="G107" s="1">
        <v>0.13</v>
      </c>
      <c r="H107" s="1" t="s">
        <v>105</v>
      </c>
      <c r="I107" s="1">
        <v>0.15</v>
      </c>
      <c r="J107" s="1" t="s">
        <v>105</v>
      </c>
      <c r="K107" s="1">
        <v>1</v>
      </c>
      <c r="L107" s="1" t="s">
        <v>105</v>
      </c>
      <c r="M107">
        <v>5.77</v>
      </c>
      <c r="N107" s="1" t="s">
        <v>105</v>
      </c>
      <c r="O107" s="1">
        <v>0</v>
      </c>
      <c r="P107" s="1" t="s">
        <v>105</v>
      </c>
      <c r="Q107" s="1">
        <v>5.77</v>
      </c>
      <c r="R107" s="1" t="s">
        <v>105</v>
      </c>
      <c r="S107" s="1">
        <v>0</v>
      </c>
      <c r="T107" s="1" t="s">
        <v>105</v>
      </c>
      <c r="U107" s="1">
        <v>3.9977777777777783</v>
      </c>
      <c r="V107" s="1" t="s">
        <v>105</v>
      </c>
      <c r="W107" s="1">
        <v>0</v>
      </c>
      <c r="X107" s="1" t="s">
        <v>105</v>
      </c>
      <c r="Y107" s="1">
        <v>0</v>
      </c>
      <c r="Z107" s="1" t="s">
        <v>105</v>
      </c>
      <c r="AA107" s="1">
        <v>0</v>
      </c>
      <c r="AB107" s="1" t="s">
        <v>105</v>
      </c>
      <c r="AC107" s="1">
        <v>95.144924627896245</v>
      </c>
      <c r="AD107" s="1" t="s">
        <v>105</v>
      </c>
      <c r="AE107" s="1">
        <v>0</v>
      </c>
      <c r="AF107" s="1" t="s">
        <v>105</v>
      </c>
      <c r="AG107" s="1">
        <v>0</v>
      </c>
      <c r="AH107" s="1" t="s">
        <v>105</v>
      </c>
      <c r="AI107" s="1">
        <v>0</v>
      </c>
      <c r="AJ107" s="14">
        <f t="shared" si="3"/>
        <v>0.95144924627896243</v>
      </c>
      <c r="AL107">
        <f t="shared" si="4"/>
        <v>9.3680000000000003</v>
      </c>
      <c r="AM107">
        <f t="shared" si="5"/>
        <v>9.767777777777777</v>
      </c>
      <c r="AN107" s="100"/>
      <c r="AO107" s="11"/>
    </row>
    <row r="108" spans="2:41" x14ac:dyDescent="0.3">
      <c r="B108" s="4" t="s">
        <v>106</v>
      </c>
      <c r="C108" s="1">
        <v>2.75</v>
      </c>
      <c r="D108" s="1" t="s">
        <v>106</v>
      </c>
      <c r="E108" s="1">
        <v>5.9459999999999997</v>
      </c>
      <c r="F108" s="1" t="s">
        <v>106</v>
      </c>
      <c r="G108" s="1">
        <v>0.13</v>
      </c>
      <c r="H108" s="1" t="s">
        <v>106</v>
      </c>
      <c r="I108" s="1">
        <v>0.15</v>
      </c>
      <c r="J108" s="1" t="s">
        <v>106</v>
      </c>
      <c r="K108" s="1">
        <v>1</v>
      </c>
      <c r="L108" s="1" t="s">
        <v>106</v>
      </c>
      <c r="M108">
        <v>4.68</v>
      </c>
      <c r="N108" s="1" t="s">
        <v>106</v>
      </c>
      <c r="O108" s="1">
        <v>0</v>
      </c>
      <c r="P108" s="1" t="s">
        <v>106</v>
      </c>
      <c r="Q108" s="1">
        <v>4.68</v>
      </c>
      <c r="R108" s="1" t="s">
        <v>106</v>
      </c>
      <c r="S108" s="1">
        <v>0</v>
      </c>
      <c r="T108" s="1" t="s">
        <v>106</v>
      </c>
      <c r="U108" s="1">
        <v>7.5177777777777779</v>
      </c>
      <c r="V108" s="1" t="s">
        <v>106</v>
      </c>
      <c r="W108" s="1">
        <v>0</v>
      </c>
      <c r="X108" s="1" t="s">
        <v>106</v>
      </c>
      <c r="Y108" s="1">
        <v>0</v>
      </c>
      <c r="Z108" s="1" t="s">
        <v>106</v>
      </c>
      <c r="AA108" s="1">
        <v>0</v>
      </c>
      <c r="AB108" s="1" t="s">
        <v>106</v>
      </c>
      <c r="AC108" s="1">
        <v>87.621818734339314</v>
      </c>
      <c r="AD108" s="1" t="s">
        <v>106</v>
      </c>
      <c r="AE108" s="1">
        <v>0</v>
      </c>
      <c r="AF108" s="1" t="s">
        <v>106</v>
      </c>
      <c r="AG108" s="1">
        <v>0</v>
      </c>
      <c r="AH108" s="1" t="s">
        <v>106</v>
      </c>
      <c r="AI108" s="1">
        <v>0</v>
      </c>
      <c r="AJ108" s="14">
        <f t="shared" si="3"/>
        <v>0.87621818734339318</v>
      </c>
      <c r="AL108">
        <f t="shared" si="4"/>
        <v>11.446</v>
      </c>
      <c r="AM108">
        <f t="shared" si="5"/>
        <v>12.197777777777777</v>
      </c>
      <c r="AN108" s="100"/>
      <c r="AO108" s="11"/>
    </row>
    <row r="109" spans="2:41" x14ac:dyDescent="0.3">
      <c r="B109" s="4" t="s">
        <v>107</v>
      </c>
      <c r="C109" s="1">
        <v>2.44</v>
      </c>
      <c r="D109" s="1" t="s">
        <v>107</v>
      </c>
      <c r="E109" s="1">
        <v>5.2679999999999998</v>
      </c>
      <c r="F109" s="1" t="s">
        <v>107</v>
      </c>
      <c r="G109" s="1">
        <v>0.13</v>
      </c>
      <c r="H109" s="1" t="s">
        <v>107</v>
      </c>
      <c r="I109" s="1">
        <v>0.15</v>
      </c>
      <c r="J109" s="1" t="s">
        <v>107</v>
      </c>
      <c r="K109" s="1">
        <v>1</v>
      </c>
      <c r="L109" s="1" t="s">
        <v>107</v>
      </c>
      <c r="M109">
        <v>5.47</v>
      </c>
      <c r="N109" s="1" t="s">
        <v>107</v>
      </c>
      <c r="O109" s="1">
        <v>0</v>
      </c>
      <c r="P109" s="1" t="s">
        <v>107</v>
      </c>
      <c r="Q109" s="1">
        <v>5.47</v>
      </c>
      <c r="R109" s="1" t="s">
        <v>107</v>
      </c>
      <c r="S109" s="1">
        <v>0</v>
      </c>
      <c r="T109" s="1" t="s">
        <v>107</v>
      </c>
      <c r="U109" s="1">
        <v>5.1977777777777785</v>
      </c>
      <c r="V109" s="1" t="s">
        <v>107</v>
      </c>
      <c r="W109" s="1">
        <v>0</v>
      </c>
      <c r="X109" s="1" t="s">
        <v>107</v>
      </c>
      <c r="Y109" s="1">
        <v>0</v>
      </c>
      <c r="Z109" s="1" t="s">
        <v>107</v>
      </c>
      <c r="AA109" s="1">
        <v>0</v>
      </c>
      <c r="AB109" s="1" t="s">
        <v>107</v>
      </c>
      <c r="AC109" s="1">
        <v>82.419134134712422</v>
      </c>
      <c r="AD109" s="1" t="s">
        <v>107</v>
      </c>
      <c r="AE109" s="1">
        <v>0</v>
      </c>
      <c r="AF109" s="1" t="s">
        <v>107</v>
      </c>
      <c r="AG109" s="1">
        <v>0</v>
      </c>
      <c r="AH109" s="1" t="s">
        <v>107</v>
      </c>
      <c r="AI109" s="1">
        <v>0</v>
      </c>
      <c r="AJ109" s="14">
        <f t="shared" si="3"/>
        <v>0.82419134134712424</v>
      </c>
      <c r="AL109">
        <f t="shared" si="4"/>
        <v>10.148</v>
      </c>
      <c r="AM109">
        <f t="shared" si="5"/>
        <v>10.667777777777779</v>
      </c>
      <c r="AN109" s="100"/>
      <c r="AO109" s="11"/>
    </row>
    <row r="110" spans="2:41" x14ac:dyDescent="0.3">
      <c r="B110" s="4" t="s">
        <v>108</v>
      </c>
      <c r="C110" s="1">
        <v>1.83</v>
      </c>
      <c r="D110" s="1" t="s">
        <v>108</v>
      </c>
      <c r="E110" s="1">
        <v>0.7</v>
      </c>
      <c r="F110" s="1" t="s">
        <v>108</v>
      </c>
      <c r="G110" s="1">
        <v>0.13</v>
      </c>
      <c r="H110" s="1" t="s">
        <v>108</v>
      </c>
      <c r="I110" s="1">
        <v>0.15</v>
      </c>
      <c r="J110" s="1" t="s">
        <v>108</v>
      </c>
      <c r="K110" s="1">
        <v>1</v>
      </c>
      <c r="L110" s="1" t="s">
        <v>108</v>
      </c>
      <c r="M110">
        <v>6.01</v>
      </c>
      <c r="N110" s="1" t="s">
        <v>108</v>
      </c>
      <c r="O110" s="1">
        <v>1.4734499999999993</v>
      </c>
      <c r="P110" s="1" t="s">
        <v>108</v>
      </c>
      <c r="Q110" s="1">
        <v>6.01</v>
      </c>
      <c r="R110" s="1" t="s">
        <v>108</v>
      </c>
      <c r="S110" s="1">
        <v>0</v>
      </c>
      <c r="T110" s="1" t="s">
        <v>108</v>
      </c>
      <c r="U110" s="1">
        <v>0</v>
      </c>
      <c r="V110" s="1" t="s">
        <v>108</v>
      </c>
      <c r="W110" s="1">
        <v>0</v>
      </c>
      <c r="X110" s="1" t="s">
        <v>108</v>
      </c>
      <c r="Y110" s="1">
        <v>0</v>
      </c>
      <c r="Z110" s="1" t="s">
        <v>108</v>
      </c>
      <c r="AA110" s="1">
        <v>0</v>
      </c>
      <c r="AB110" s="1" t="s">
        <v>108</v>
      </c>
      <c r="AC110" s="1">
        <v>83.88796866320088</v>
      </c>
      <c r="AD110" s="1" t="s">
        <v>108</v>
      </c>
      <c r="AE110" s="1">
        <v>0</v>
      </c>
      <c r="AF110" s="1" t="s">
        <v>108</v>
      </c>
      <c r="AG110" s="1">
        <v>0</v>
      </c>
      <c r="AH110" s="1" t="s">
        <v>108</v>
      </c>
      <c r="AI110" s="1">
        <v>0</v>
      </c>
      <c r="AJ110" s="14">
        <f t="shared" si="3"/>
        <v>0.83887968663200885</v>
      </c>
      <c r="AL110">
        <f t="shared" si="4"/>
        <v>5.8334499999999991</v>
      </c>
      <c r="AM110">
        <f t="shared" si="5"/>
        <v>6.01</v>
      </c>
      <c r="AN110" s="100"/>
      <c r="AO110" s="11"/>
    </row>
    <row r="111" spans="2:41" x14ac:dyDescent="0.3">
      <c r="B111" s="4" t="s">
        <v>109</v>
      </c>
      <c r="C111" s="1">
        <v>6.15</v>
      </c>
      <c r="D111" s="1" t="s">
        <v>109</v>
      </c>
      <c r="E111" s="1">
        <v>1.429</v>
      </c>
      <c r="F111" s="1" t="s">
        <v>109</v>
      </c>
      <c r="G111" s="1">
        <v>0.13</v>
      </c>
      <c r="H111" s="1" t="s">
        <v>109</v>
      </c>
      <c r="I111" s="1">
        <v>0.15</v>
      </c>
      <c r="J111" s="1" t="s">
        <v>109</v>
      </c>
      <c r="K111" s="1">
        <v>1</v>
      </c>
      <c r="L111" s="1" t="s">
        <v>109</v>
      </c>
      <c r="M111">
        <v>15.97</v>
      </c>
      <c r="N111" s="1" t="s">
        <v>109</v>
      </c>
      <c r="O111" s="1">
        <v>2.0012129999999981</v>
      </c>
      <c r="P111" s="1" t="s">
        <v>109</v>
      </c>
      <c r="Q111" s="1">
        <v>15.97</v>
      </c>
      <c r="R111" s="1" t="s">
        <v>109</v>
      </c>
      <c r="S111" s="1">
        <v>0</v>
      </c>
      <c r="T111" s="1" t="s">
        <v>109</v>
      </c>
      <c r="U111" s="1">
        <v>0</v>
      </c>
      <c r="V111" s="1" t="s">
        <v>109</v>
      </c>
      <c r="W111" s="1">
        <v>0</v>
      </c>
      <c r="X111" s="1" t="s">
        <v>109</v>
      </c>
      <c r="Y111" s="1">
        <v>0</v>
      </c>
      <c r="Z111" s="1" t="s">
        <v>109</v>
      </c>
      <c r="AA111" s="1">
        <v>0</v>
      </c>
      <c r="AB111" s="1" t="s">
        <v>109</v>
      </c>
      <c r="AC111" s="1">
        <v>85.884483936955732</v>
      </c>
      <c r="AD111" s="1" t="s">
        <v>109</v>
      </c>
      <c r="AE111" s="1">
        <v>0</v>
      </c>
      <c r="AF111" s="1" t="s">
        <v>109</v>
      </c>
      <c r="AG111" s="1">
        <v>0</v>
      </c>
      <c r="AH111" s="1" t="s">
        <v>109</v>
      </c>
      <c r="AI111" s="1">
        <v>0</v>
      </c>
      <c r="AJ111" s="14">
        <f t="shared" si="3"/>
        <v>0.85884483936955736</v>
      </c>
      <c r="AL111">
        <f t="shared" si="4"/>
        <v>15.730212999999999</v>
      </c>
      <c r="AM111">
        <f t="shared" si="5"/>
        <v>15.97</v>
      </c>
      <c r="AN111" s="100"/>
      <c r="AO111" s="11"/>
    </row>
    <row r="112" spans="2:41" x14ac:dyDescent="0.3">
      <c r="B112" s="4" t="s">
        <v>110</v>
      </c>
      <c r="C112" s="1">
        <v>3.94</v>
      </c>
      <c r="D112" s="1" t="s">
        <v>110</v>
      </c>
      <c r="E112" s="1">
        <v>4.95</v>
      </c>
      <c r="F112" s="1" t="s">
        <v>110</v>
      </c>
      <c r="G112" s="1">
        <v>0.13</v>
      </c>
      <c r="H112" s="1" t="s">
        <v>110</v>
      </c>
      <c r="I112" s="1">
        <v>0.15</v>
      </c>
      <c r="J112" s="1" t="s">
        <v>110</v>
      </c>
      <c r="K112" s="1">
        <v>2</v>
      </c>
      <c r="L112" s="1" t="s">
        <v>110</v>
      </c>
      <c r="M112">
        <v>7.89</v>
      </c>
      <c r="N112" s="1" t="s">
        <v>110</v>
      </c>
      <c r="O112" s="1">
        <v>0</v>
      </c>
      <c r="P112" s="1" t="s">
        <v>110</v>
      </c>
      <c r="Q112" s="1">
        <v>7.89</v>
      </c>
      <c r="R112" s="1" t="s">
        <v>110</v>
      </c>
      <c r="S112" s="1">
        <v>0</v>
      </c>
      <c r="T112" s="1" t="s">
        <v>110</v>
      </c>
      <c r="U112" s="1">
        <v>5.4888888888888889</v>
      </c>
      <c r="V112" s="1" t="s">
        <v>110</v>
      </c>
      <c r="W112" s="1">
        <v>0</v>
      </c>
      <c r="X112" s="1" t="s">
        <v>110</v>
      </c>
      <c r="Y112" s="1">
        <v>0</v>
      </c>
      <c r="Z112" s="1" t="s">
        <v>110</v>
      </c>
      <c r="AA112" s="1">
        <v>0</v>
      </c>
      <c r="AB112" s="1" t="s">
        <v>110</v>
      </c>
      <c r="AC112" s="1">
        <v>80.390785516966375</v>
      </c>
      <c r="AD112" s="1" t="s">
        <v>110</v>
      </c>
      <c r="AE112" s="1">
        <v>0</v>
      </c>
      <c r="AF112" s="1" t="s">
        <v>110</v>
      </c>
      <c r="AG112" s="1">
        <v>0</v>
      </c>
      <c r="AH112" s="1" t="s">
        <v>110</v>
      </c>
      <c r="AI112" s="1">
        <v>0</v>
      </c>
      <c r="AJ112" s="14">
        <f t="shared" si="3"/>
        <v>0.80390785516966379</v>
      </c>
      <c r="AL112">
        <f t="shared" si="4"/>
        <v>12.83</v>
      </c>
      <c r="AM112">
        <f t="shared" si="5"/>
        <v>13.378888888888888</v>
      </c>
      <c r="AN112" s="100"/>
      <c r="AO112" s="11"/>
    </row>
    <row r="113" spans="2:41" x14ac:dyDescent="0.3">
      <c r="B113" s="4" t="s">
        <v>111</v>
      </c>
      <c r="C113" s="1">
        <v>4.16</v>
      </c>
      <c r="D113" s="1" t="s">
        <v>111</v>
      </c>
      <c r="E113" s="1">
        <v>8.9809999999999999</v>
      </c>
      <c r="F113" s="1" t="s">
        <v>111</v>
      </c>
      <c r="G113" s="1">
        <v>0.13</v>
      </c>
      <c r="H113" s="1" t="s">
        <v>111</v>
      </c>
      <c r="I113" s="1">
        <v>0.15</v>
      </c>
      <c r="J113" s="1" t="s">
        <v>111</v>
      </c>
      <c r="K113" s="1">
        <v>2</v>
      </c>
      <c r="L113" s="1" t="s">
        <v>111</v>
      </c>
      <c r="M113">
        <v>7.55</v>
      </c>
      <c r="N113" s="1" t="s">
        <v>111</v>
      </c>
      <c r="O113" s="1">
        <v>0</v>
      </c>
      <c r="P113" s="1" t="s">
        <v>111</v>
      </c>
      <c r="Q113" s="1">
        <v>7.55</v>
      </c>
      <c r="R113" s="1" t="s">
        <v>111</v>
      </c>
      <c r="S113" s="1">
        <v>0</v>
      </c>
      <c r="T113" s="1" t="s">
        <v>111</v>
      </c>
      <c r="U113" s="1">
        <v>10.834444444444447</v>
      </c>
      <c r="V113" s="1" t="s">
        <v>111</v>
      </c>
      <c r="W113" s="1">
        <v>0</v>
      </c>
      <c r="X113" s="1" t="s">
        <v>111</v>
      </c>
      <c r="Y113" s="1">
        <v>0</v>
      </c>
      <c r="Z113" s="1" t="s">
        <v>111</v>
      </c>
      <c r="AA113" s="1">
        <v>0</v>
      </c>
      <c r="AB113" s="1" t="s">
        <v>111</v>
      </c>
      <c r="AC113" s="1">
        <v>69.551839188532981</v>
      </c>
      <c r="AD113" s="1" t="s">
        <v>111</v>
      </c>
      <c r="AE113" s="1">
        <v>0</v>
      </c>
      <c r="AF113" s="1" t="s">
        <v>111</v>
      </c>
      <c r="AG113" s="1">
        <v>0</v>
      </c>
      <c r="AH113" s="1" t="s">
        <v>111</v>
      </c>
      <c r="AI113" s="1">
        <v>0</v>
      </c>
      <c r="AJ113" s="14">
        <f t="shared" si="3"/>
        <v>0.69551839188532982</v>
      </c>
      <c r="AL113">
        <f t="shared" si="4"/>
        <v>17.301000000000002</v>
      </c>
      <c r="AM113">
        <f t="shared" si="5"/>
        <v>18.384444444444448</v>
      </c>
      <c r="AN113" s="100"/>
      <c r="AO113" s="11"/>
    </row>
    <row r="114" spans="2:41" x14ac:dyDescent="0.3">
      <c r="B114" s="4" t="s">
        <v>112</v>
      </c>
      <c r="C114" s="1">
        <v>1.99</v>
      </c>
      <c r="D114" s="1" t="s">
        <v>112</v>
      </c>
      <c r="E114" s="1">
        <v>4.2969999999999997</v>
      </c>
      <c r="F114" s="1" t="s">
        <v>112</v>
      </c>
      <c r="G114" s="1">
        <v>0.13</v>
      </c>
      <c r="H114" s="1" t="s">
        <v>112</v>
      </c>
      <c r="I114" s="1">
        <v>0.15</v>
      </c>
      <c r="J114" s="1" t="s">
        <v>112</v>
      </c>
      <c r="K114" s="1">
        <v>2</v>
      </c>
      <c r="L114" s="1" t="s">
        <v>112</v>
      </c>
      <c r="M114">
        <v>5.68</v>
      </c>
      <c r="N114" s="1" t="s">
        <v>112</v>
      </c>
      <c r="O114" s="1">
        <v>0</v>
      </c>
      <c r="P114" s="1" t="s">
        <v>112</v>
      </c>
      <c r="Q114" s="1">
        <v>5.68</v>
      </c>
      <c r="R114" s="1" t="s">
        <v>112</v>
      </c>
      <c r="S114" s="1">
        <v>0</v>
      </c>
      <c r="T114" s="1" t="s">
        <v>112</v>
      </c>
      <c r="U114" s="1">
        <v>2.8855555555555545</v>
      </c>
      <c r="V114" s="1" t="s">
        <v>112</v>
      </c>
      <c r="W114" s="1">
        <v>0</v>
      </c>
      <c r="X114" s="1" t="s">
        <v>112</v>
      </c>
      <c r="Y114" s="1">
        <v>0</v>
      </c>
      <c r="Z114" s="1" t="s">
        <v>112</v>
      </c>
      <c r="AA114" s="1">
        <v>0</v>
      </c>
      <c r="AB114" s="1" t="s">
        <v>112</v>
      </c>
      <c r="AC114" s="1">
        <v>66.662388729982865</v>
      </c>
      <c r="AD114" s="1" t="s">
        <v>112</v>
      </c>
      <c r="AE114" s="1">
        <v>0</v>
      </c>
      <c r="AF114" s="1" t="s">
        <v>112</v>
      </c>
      <c r="AG114" s="1">
        <v>0</v>
      </c>
      <c r="AH114" s="1" t="s">
        <v>112</v>
      </c>
      <c r="AI114" s="1">
        <v>0</v>
      </c>
      <c r="AJ114" s="14">
        <f t="shared" si="3"/>
        <v>0.66662388729982869</v>
      </c>
      <c r="AL114">
        <f t="shared" si="4"/>
        <v>8.2769999999999992</v>
      </c>
      <c r="AM114">
        <f t="shared" si="5"/>
        <v>8.5655555555555551</v>
      </c>
      <c r="AN114" s="100"/>
      <c r="AO114" s="11"/>
    </row>
    <row r="115" spans="2:41" x14ac:dyDescent="0.3">
      <c r="B115" s="4" t="s">
        <v>113</v>
      </c>
      <c r="C115" s="1">
        <v>3.39</v>
      </c>
      <c r="D115" s="1" t="s">
        <v>113</v>
      </c>
      <c r="E115" s="1">
        <v>6.1959999999999997</v>
      </c>
      <c r="F115" s="1" t="s">
        <v>113</v>
      </c>
      <c r="G115" s="1">
        <v>0.13</v>
      </c>
      <c r="H115" s="1" t="s">
        <v>113</v>
      </c>
      <c r="I115" s="1">
        <v>0.15</v>
      </c>
      <c r="J115" s="1" t="s">
        <v>113</v>
      </c>
      <c r="K115" s="1">
        <v>2</v>
      </c>
      <c r="L115" s="1" t="s">
        <v>113</v>
      </c>
      <c r="M115">
        <v>8.0999999999999999E-10</v>
      </c>
      <c r="N115" s="1" t="s">
        <v>113</v>
      </c>
      <c r="O115" s="1">
        <v>0</v>
      </c>
      <c r="P115" s="1" t="s">
        <v>113</v>
      </c>
      <c r="Q115" s="1">
        <v>0</v>
      </c>
      <c r="R115" s="1" t="s">
        <v>113</v>
      </c>
      <c r="S115" s="1">
        <v>0</v>
      </c>
      <c r="T115" s="1" t="s">
        <v>113</v>
      </c>
      <c r="U115" s="1">
        <v>14.417777776877777</v>
      </c>
      <c r="V115" s="1" t="s">
        <v>113</v>
      </c>
      <c r="W115" s="1">
        <v>0</v>
      </c>
      <c r="X115" s="1" t="s">
        <v>113</v>
      </c>
      <c r="Y115" s="1">
        <v>0</v>
      </c>
      <c r="Z115" s="1" t="s">
        <v>113</v>
      </c>
      <c r="AA115" s="1">
        <v>0</v>
      </c>
      <c r="AB115" s="1" t="s">
        <v>113</v>
      </c>
      <c r="AC115" s="1">
        <v>52.240877859336216</v>
      </c>
      <c r="AD115" s="1" t="s">
        <v>113</v>
      </c>
      <c r="AE115" s="1">
        <v>0</v>
      </c>
      <c r="AF115" s="1" t="s">
        <v>113</v>
      </c>
      <c r="AG115" s="1">
        <v>0</v>
      </c>
      <c r="AH115" s="1" t="s">
        <v>113</v>
      </c>
      <c r="AI115" s="1">
        <v>0</v>
      </c>
      <c r="AJ115" s="14">
        <f t="shared" si="3"/>
        <v>0.52240877859336221</v>
      </c>
      <c r="AL115">
        <f t="shared" si="4"/>
        <v>12.975999999999999</v>
      </c>
      <c r="AM115">
        <f t="shared" si="5"/>
        <v>14.417777776877777</v>
      </c>
      <c r="AN115" s="100"/>
      <c r="AO115" s="11"/>
    </row>
    <row r="116" spans="2:41" x14ac:dyDescent="0.3">
      <c r="B116" s="4" t="s">
        <v>114</v>
      </c>
      <c r="C116" s="1">
        <v>3.93</v>
      </c>
      <c r="D116" s="1" t="s">
        <v>114</v>
      </c>
      <c r="E116" s="1">
        <v>3.2130000000000001</v>
      </c>
      <c r="F116" s="1" t="s">
        <v>114</v>
      </c>
      <c r="G116" s="1">
        <v>0.13</v>
      </c>
      <c r="H116" s="1" t="s">
        <v>114</v>
      </c>
      <c r="I116" s="1">
        <v>0.15</v>
      </c>
      <c r="J116" s="1" t="s">
        <v>114</v>
      </c>
      <c r="K116" s="1">
        <v>2</v>
      </c>
      <c r="L116" s="1" t="s">
        <v>114</v>
      </c>
      <c r="M116">
        <v>6.3999999999999996E-10</v>
      </c>
      <c r="N116" s="1" t="s">
        <v>114</v>
      </c>
      <c r="O116" s="1">
        <v>0</v>
      </c>
      <c r="P116" s="1" t="s">
        <v>114</v>
      </c>
      <c r="Q116" s="1">
        <v>0</v>
      </c>
      <c r="R116" s="1" t="s">
        <v>114</v>
      </c>
      <c r="S116" s="1">
        <v>0</v>
      </c>
      <c r="T116" s="1" t="s">
        <v>114</v>
      </c>
      <c r="U116" s="1">
        <v>12.303333332622223</v>
      </c>
      <c r="V116" s="1" t="s">
        <v>114</v>
      </c>
      <c r="W116" s="1">
        <v>0</v>
      </c>
      <c r="X116" s="1" t="s">
        <v>114</v>
      </c>
      <c r="Y116" s="1">
        <v>0</v>
      </c>
      <c r="Z116" s="1" t="s">
        <v>114</v>
      </c>
      <c r="AA116" s="1">
        <v>0</v>
      </c>
      <c r="AB116" s="1" t="s">
        <v>114</v>
      </c>
      <c r="AC116" s="1">
        <v>39.934619037553873</v>
      </c>
      <c r="AD116" s="1" t="s">
        <v>114</v>
      </c>
      <c r="AE116" s="1">
        <v>0</v>
      </c>
      <c r="AF116" s="1" t="s">
        <v>114</v>
      </c>
      <c r="AG116" s="1">
        <v>0</v>
      </c>
      <c r="AH116" s="1" t="s">
        <v>114</v>
      </c>
      <c r="AI116" s="1">
        <v>0</v>
      </c>
      <c r="AJ116" s="14">
        <f t="shared" si="3"/>
        <v>0.3993461903755387</v>
      </c>
      <c r="AL116">
        <f t="shared" si="4"/>
        <v>11.073</v>
      </c>
      <c r="AM116">
        <f t="shared" si="5"/>
        <v>12.303333332622223</v>
      </c>
      <c r="AN116" s="100"/>
      <c r="AO116" s="11"/>
    </row>
    <row r="117" spans="2:41" x14ac:dyDescent="0.3">
      <c r="B117" s="4" t="s">
        <v>115</v>
      </c>
      <c r="C117" s="1">
        <v>2.09</v>
      </c>
      <c r="D117" s="1" t="s">
        <v>115</v>
      </c>
      <c r="E117" s="1">
        <v>2.7650000000000001</v>
      </c>
      <c r="F117" s="1" t="s">
        <v>115</v>
      </c>
      <c r="G117" s="1">
        <v>0.13</v>
      </c>
      <c r="H117" s="1" t="s">
        <v>115</v>
      </c>
      <c r="I117" s="1">
        <v>0.15</v>
      </c>
      <c r="J117" s="1" t="s">
        <v>115</v>
      </c>
      <c r="K117" s="1">
        <v>2</v>
      </c>
      <c r="L117" s="1" t="s">
        <v>115</v>
      </c>
      <c r="M117">
        <v>6.3999999999999996E-10</v>
      </c>
      <c r="N117" s="1" t="s">
        <v>115</v>
      </c>
      <c r="O117" s="1">
        <v>0</v>
      </c>
      <c r="P117" s="1" t="s">
        <v>115</v>
      </c>
      <c r="Q117" s="1">
        <v>0</v>
      </c>
      <c r="R117" s="1" t="s">
        <v>115</v>
      </c>
      <c r="S117" s="1">
        <v>0</v>
      </c>
      <c r="T117" s="1" t="s">
        <v>115</v>
      </c>
      <c r="U117" s="1">
        <v>7.7166666659555565</v>
      </c>
      <c r="V117" s="1" t="s">
        <v>115</v>
      </c>
      <c r="W117" s="1">
        <v>0</v>
      </c>
      <c r="X117" s="1" t="s">
        <v>115</v>
      </c>
      <c r="Y117" s="1">
        <v>0</v>
      </c>
      <c r="Z117" s="1" t="s">
        <v>115</v>
      </c>
      <c r="AA117" s="1">
        <v>0</v>
      </c>
      <c r="AB117" s="1" t="s">
        <v>115</v>
      </c>
      <c r="AC117" s="1">
        <v>32.215716032932214</v>
      </c>
      <c r="AD117" s="1" t="s">
        <v>115</v>
      </c>
      <c r="AE117" s="1">
        <v>0</v>
      </c>
      <c r="AF117" s="1" t="s">
        <v>115</v>
      </c>
      <c r="AG117" s="1">
        <v>0</v>
      </c>
      <c r="AH117" s="1" t="s">
        <v>115</v>
      </c>
      <c r="AI117" s="1">
        <v>0</v>
      </c>
      <c r="AJ117" s="14">
        <f t="shared" si="3"/>
        <v>0.32215716032932212</v>
      </c>
      <c r="AL117">
        <f t="shared" si="4"/>
        <v>6.9450000000000003</v>
      </c>
      <c r="AM117">
        <f t="shared" si="5"/>
        <v>7.7166666659555565</v>
      </c>
      <c r="AN117" s="100"/>
      <c r="AO117" s="11"/>
    </row>
    <row r="118" spans="2:41" x14ac:dyDescent="0.3">
      <c r="B118" s="4" t="s">
        <v>116</v>
      </c>
      <c r="C118" s="1">
        <v>7.41</v>
      </c>
      <c r="D118" s="1" t="s">
        <v>116</v>
      </c>
      <c r="E118" s="1">
        <v>2.6960000000000002</v>
      </c>
      <c r="F118" s="1" t="s">
        <v>116</v>
      </c>
      <c r="G118" s="1">
        <v>0.13</v>
      </c>
      <c r="H118" s="1" t="s">
        <v>116</v>
      </c>
      <c r="I118" s="1">
        <v>0.15</v>
      </c>
      <c r="J118" s="1" t="s">
        <v>116</v>
      </c>
      <c r="K118" s="1">
        <v>2</v>
      </c>
      <c r="L118" s="1" t="s">
        <v>116</v>
      </c>
      <c r="M118">
        <v>6.3999999999999996E-10</v>
      </c>
      <c r="N118" s="1" t="s">
        <v>116</v>
      </c>
      <c r="O118" s="1">
        <v>0</v>
      </c>
      <c r="P118" s="1" t="s">
        <v>116</v>
      </c>
      <c r="Q118" s="1">
        <v>0</v>
      </c>
      <c r="R118" s="1" t="s">
        <v>116</v>
      </c>
      <c r="S118" s="1">
        <v>0</v>
      </c>
      <c r="T118" s="1" t="s">
        <v>116</v>
      </c>
      <c r="U118" s="1">
        <v>2.2122318587491066</v>
      </c>
      <c r="V118" s="1" t="s">
        <v>116</v>
      </c>
      <c r="W118" s="1">
        <v>15.524991326485805</v>
      </c>
      <c r="X118" s="1" t="s">
        <v>116</v>
      </c>
      <c r="Y118" s="1">
        <v>0</v>
      </c>
      <c r="Z118" s="1" t="s">
        <v>116</v>
      </c>
      <c r="AA118" s="1">
        <v>0</v>
      </c>
      <c r="AB118" s="1" t="s">
        <v>116</v>
      </c>
      <c r="AC118" s="1">
        <v>30.001680094085266</v>
      </c>
      <c r="AD118" s="1" t="s">
        <v>116</v>
      </c>
      <c r="AE118" s="1">
        <v>0</v>
      </c>
      <c r="AF118" s="1" t="s">
        <v>116</v>
      </c>
      <c r="AG118" s="1">
        <v>0</v>
      </c>
      <c r="AH118" s="1" t="s">
        <v>116</v>
      </c>
      <c r="AI118" s="1">
        <v>0</v>
      </c>
      <c r="AJ118" s="14">
        <f t="shared" si="3"/>
        <v>0.30001680094085265</v>
      </c>
      <c r="AL118">
        <f t="shared" si="4"/>
        <v>17.516000000000002</v>
      </c>
      <c r="AM118">
        <f t="shared" si="5"/>
        <v>17.73722318523491</v>
      </c>
      <c r="AN118" s="100"/>
      <c r="AO118" s="11"/>
    </row>
    <row r="119" spans="2:41" x14ac:dyDescent="0.3">
      <c r="B119" s="4" t="s">
        <v>117</v>
      </c>
      <c r="C119" s="1">
        <v>5.59</v>
      </c>
      <c r="D119" s="1" t="s">
        <v>117</v>
      </c>
      <c r="E119" s="1">
        <v>1.3</v>
      </c>
      <c r="F119" s="1" t="s">
        <v>117</v>
      </c>
      <c r="G119" s="1">
        <v>0.13</v>
      </c>
      <c r="H119" s="1" t="s">
        <v>117</v>
      </c>
      <c r="I119" s="1">
        <v>0.15</v>
      </c>
      <c r="J119" s="1" t="s">
        <v>117</v>
      </c>
      <c r="K119" s="1">
        <v>2</v>
      </c>
      <c r="L119" s="1" t="s">
        <v>117</v>
      </c>
      <c r="M119">
        <v>6.3999999999999996E-10</v>
      </c>
      <c r="N119" s="1" t="s">
        <v>117</v>
      </c>
      <c r="O119" s="1">
        <v>0</v>
      </c>
      <c r="P119" s="1" t="s">
        <v>117</v>
      </c>
      <c r="Q119" s="1">
        <v>0</v>
      </c>
      <c r="R119" s="1" t="s">
        <v>117</v>
      </c>
      <c r="S119" s="1">
        <v>0</v>
      </c>
      <c r="T119" s="1" t="s">
        <v>117</v>
      </c>
      <c r="U119" s="1">
        <v>0</v>
      </c>
      <c r="V119" s="1" t="s">
        <v>117</v>
      </c>
      <c r="W119" s="1">
        <v>12.47999999936</v>
      </c>
      <c r="X119" s="1" t="s">
        <v>117</v>
      </c>
      <c r="Y119" s="1">
        <v>0</v>
      </c>
      <c r="Z119" s="1" t="s">
        <v>117</v>
      </c>
      <c r="AA119" s="1">
        <v>0</v>
      </c>
      <c r="AB119" s="1" t="s">
        <v>117</v>
      </c>
      <c r="AC119" s="1">
        <v>30</v>
      </c>
      <c r="AD119" s="1" t="s">
        <v>117</v>
      </c>
      <c r="AE119" s="1">
        <v>0</v>
      </c>
      <c r="AF119" s="1" t="s">
        <v>117</v>
      </c>
      <c r="AG119" s="1">
        <v>0</v>
      </c>
      <c r="AH119" s="1" t="s">
        <v>117</v>
      </c>
      <c r="AI119" s="1">
        <v>0</v>
      </c>
      <c r="AJ119" s="14">
        <f t="shared" si="3"/>
        <v>0.3</v>
      </c>
      <c r="AL119">
        <f t="shared" si="4"/>
        <v>12.48</v>
      </c>
      <c r="AM119">
        <f t="shared" si="5"/>
        <v>12.47999999936</v>
      </c>
      <c r="AN119" s="100"/>
      <c r="AO119" s="11"/>
    </row>
    <row r="120" spans="2:41" x14ac:dyDescent="0.3">
      <c r="B120" s="4" t="s">
        <v>118</v>
      </c>
      <c r="C120" s="1">
        <v>3.22</v>
      </c>
      <c r="D120" s="1" t="s">
        <v>118</v>
      </c>
      <c r="E120" s="1">
        <v>1.998</v>
      </c>
      <c r="F120" s="1" t="s">
        <v>118</v>
      </c>
      <c r="G120" s="1">
        <v>0.08</v>
      </c>
      <c r="H120" s="1" t="s">
        <v>118</v>
      </c>
      <c r="I120" s="1">
        <v>0.1</v>
      </c>
      <c r="J120" s="1" t="s">
        <v>118</v>
      </c>
      <c r="K120" s="1">
        <v>2</v>
      </c>
      <c r="L120" s="1" t="s">
        <v>118</v>
      </c>
      <c r="M120">
        <v>6.3999999999999996E-10</v>
      </c>
      <c r="N120" s="1" t="s">
        <v>118</v>
      </c>
      <c r="O120" s="1">
        <v>1.6799999999967952E-3</v>
      </c>
      <c r="P120" s="1" t="s">
        <v>118</v>
      </c>
      <c r="Q120" s="1">
        <v>0</v>
      </c>
      <c r="R120" s="1" t="s">
        <v>118</v>
      </c>
      <c r="S120" s="1">
        <v>0</v>
      </c>
      <c r="T120" s="1" t="s">
        <v>118</v>
      </c>
      <c r="U120" s="1">
        <v>0</v>
      </c>
      <c r="V120" s="1" t="s">
        <v>118</v>
      </c>
      <c r="W120" s="1">
        <v>8.4398812983521587</v>
      </c>
      <c r="X120" s="1" t="s">
        <v>118</v>
      </c>
      <c r="Y120" s="1">
        <v>0</v>
      </c>
      <c r="Z120" s="1" t="s">
        <v>118</v>
      </c>
      <c r="AA120" s="1">
        <v>0</v>
      </c>
      <c r="AB120" s="1" t="s">
        <v>118</v>
      </c>
      <c r="AC120" s="1">
        <v>30</v>
      </c>
      <c r="AD120" s="1" t="s">
        <v>118</v>
      </c>
      <c r="AE120" s="1">
        <v>0</v>
      </c>
      <c r="AF120" s="1" t="s">
        <v>118</v>
      </c>
      <c r="AG120" s="1">
        <v>0</v>
      </c>
      <c r="AH120" s="1" t="s">
        <v>118</v>
      </c>
      <c r="AI120" s="1">
        <v>0</v>
      </c>
      <c r="AJ120" s="14">
        <f t="shared" si="3"/>
        <v>0.3</v>
      </c>
      <c r="AL120">
        <f t="shared" si="4"/>
        <v>8.4396799999999974</v>
      </c>
      <c r="AM120">
        <f t="shared" si="5"/>
        <v>8.4398812983521587</v>
      </c>
      <c r="AN120" s="100"/>
      <c r="AO120" s="11"/>
    </row>
    <row r="121" spans="2:41" x14ac:dyDescent="0.3">
      <c r="B121" s="4" t="s">
        <v>119</v>
      </c>
      <c r="C121" s="1">
        <v>2.73</v>
      </c>
      <c r="D121" s="1" t="s">
        <v>119</v>
      </c>
      <c r="E121" s="1">
        <v>2.1429999999999998</v>
      </c>
      <c r="F121" s="1" t="s">
        <v>119</v>
      </c>
      <c r="G121" s="1">
        <v>0.08</v>
      </c>
      <c r="H121" s="1" t="s">
        <v>119</v>
      </c>
      <c r="I121" s="1">
        <v>0.1</v>
      </c>
      <c r="J121" s="1" t="s">
        <v>119</v>
      </c>
      <c r="K121" s="1">
        <v>2</v>
      </c>
      <c r="L121" s="1" t="s">
        <v>119</v>
      </c>
      <c r="M121">
        <v>6.3999999999999996E-10</v>
      </c>
      <c r="N121" s="1" t="s">
        <v>119</v>
      </c>
      <c r="O121" s="1">
        <v>1.6799999999967952E-3</v>
      </c>
      <c r="P121" s="1" t="s">
        <v>119</v>
      </c>
      <c r="Q121" s="1">
        <v>0</v>
      </c>
      <c r="R121" s="1" t="s">
        <v>119</v>
      </c>
      <c r="S121" s="1">
        <v>0</v>
      </c>
      <c r="T121" s="1" t="s">
        <v>119</v>
      </c>
      <c r="U121" s="1">
        <v>0</v>
      </c>
      <c r="V121" s="1" t="s">
        <v>119</v>
      </c>
      <c r="W121" s="1">
        <v>7.604881298352157</v>
      </c>
      <c r="X121" s="1" t="s">
        <v>119</v>
      </c>
      <c r="Y121" s="1">
        <v>0</v>
      </c>
      <c r="Z121" s="1" t="s">
        <v>119</v>
      </c>
      <c r="AA121" s="1">
        <v>0</v>
      </c>
      <c r="AB121" s="1" t="s">
        <v>119</v>
      </c>
      <c r="AC121" s="1">
        <v>30</v>
      </c>
      <c r="AD121" s="1" t="s">
        <v>119</v>
      </c>
      <c r="AE121" s="1">
        <v>0</v>
      </c>
      <c r="AF121" s="1" t="s">
        <v>119</v>
      </c>
      <c r="AG121" s="1">
        <v>0</v>
      </c>
      <c r="AH121" s="1" t="s">
        <v>119</v>
      </c>
      <c r="AI121" s="1">
        <v>0</v>
      </c>
      <c r="AJ121" s="14">
        <f t="shared" si="3"/>
        <v>0.3</v>
      </c>
      <c r="AL121">
        <f t="shared" si="4"/>
        <v>7.6046799999999966</v>
      </c>
      <c r="AM121">
        <f t="shared" si="5"/>
        <v>7.604881298352157</v>
      </c>
      <c r="AN121" s="100"/>
      <c r="AO121" s="11"/>
    </row>
    <row r="122" spans="2:41" x14ac:dyDescent="0.3">
      <c r="B122" s="4" t="s">
        <v>120</v>
      </c>
      <c r="C122" s="1">
        <v>2.31</v>
      </c>
      <c r="D122" s="1" t="s">
        <v>120</v>
      </c>
      <c r="E122" s="1">
        <v>2.4319999999999999</v>
      </c>
      <c r="F122" s="1" t="s">
        <v>120</v>
      </c>
      <c r="G122" s="1">
        <v>0.08</v>
      </c>
      <c r="H122" s="1" t="s">
        <v>120</v>
      </c>
      <c r="I122" s="1">
        <v>0.1</v>
      </c>
      <c r="J122" s="1" t="s">
        <v>120</v>
      </c>
      <c r="K122" s="1">
        <v>2</v>
      </c>
      <c r="L122" s="1" t="s">
        <v>120</v>
      </c>
      <c r="M122">
        <v>6.3999999999999996E-10</v>
      </c>
      <c r="N122" s="1" t="s">
        <v>120</v>
      </c>
      <c r="O122" s="1">
        <v>1.6799999999967952E-3</v>
      </c>
      <c r="P122" s="1" t="s">
        <v>120</v>
      </c>
      <c r="Q122" s="1">
        <v>0</v>
      </c>
      <c r="R122" s="1" t="s">
        <v>120</v>
      </c>
      <c r="S122" s="1">
        <v>0</v>
      </c>
      <c r="T122" s="1" t="s">
        <v>120</v>
      </c>
      <c r="U122" s="1">
        <v>0</v>
      </c>
      <c r="V122" s="1" t="s">
        <v>120</v>
      </c>
      <c r="W122" s="1">
        <v>7.0538812983521568</v>
      </c>
      <c r="X122" s="1" t="s">
        <v>120</v>
      </c>
      <c r="Y122" s="1">
        <v>0</v>
      </c>
      <c r="Z122" s="1" t="s">
        <v>120</v>
      </c>
      <c r="AA122" s="1">
        <v>0</v>
      </c>
      <c r="AB122" s="1" t="s">
        <v>120</v>
      </c>
      <c r="AC122" s="1">
        <v>30</v>
      </c>
      <c r="AD122" s="1" t="s">
        <v>120</v>
      </c>
      <c r="AE122" s="1">
        <v>0</v>
      </c>
      <c r="AF122" s="1" t="s">
        <v>120</v>
      </c>
      <c r="AG122" s="1">
        <v>0</v>
      </c>
      <c r="AH122" s="1" t="s">
        <v>120</v>
      </c>
      <c r="AI122" s="1">
        <v>0</v>
      </c>
      <c r="AJ122" s="14">
        <f t="shared" si="3"/>
        <v>0.3</v>
      </c>
      <c r="AL122">
        <f t="shared" si="4"/>
        <v>7.0536799999999964</v>
      </c>
      <c r="AM122">
        <f t="shared" si="5"/>
        <v>7.0538812983521568</v>
      </c>
      <c r="AN122" s="100"/>
      <c r="AO122" s="11"/>
    </row>
    <row r="123" spans="2:41" x14ac:dyDescent="0.3">
      <c r="B123" s="4" t="s">
        <v>121</v>
      </c>
      <c r="C123" s="1">
        <v>1.1000000000000001</v>
      </c>
      <c r="D123" s="1" t="s">
        <v>121</v>
      </c>
      <c r="E123" s="1">
        <v>2.04</v>
      </c>
      <c r="F123" s="1" t="s">
        <v>121</v>
      </c>
      <c r="G123" s="1">
        <v>0.08</v>
      </c>
      <c r="H123" s="1" t="s">
        <v>121</v>
      </c>
      <c r="I123" s="1">
        <v>0.1</v>
      </c>
      <c r="J123" s="1" t="s">
        <v>121</v>
      </c>
      <c r="K123" s="1">
        <v>2</v>
      </c>
      <c r="L123" s="1" t="s">
        <v>121</v>
      </c>
      <c r="M123">
        <v>6.3999999999999996E-10</v>
      </c>
      <c r="N123" s="1" t="s">
        <v>121</v>
      </c>
      <c r="O123" s="1">
        <v>1.6799999999967952E-3</v>
      </c>
      <c r="P123" s="1" t="s">
        <v>121</v>
      </c>
      <c r="Q123" s="1">
        <v>0</v>
      </c>
      <c r="R123" s="1" t="s">
        <v>121</v>
      </c>
      <c r="S123" s="1">
        <v>0</v>
      </c>
      <c r="T123" s="1" t="s">
        <v>121</v>
      </c>
      <c r="U123" s="1">
        <v>0</v>
      </c>
      <c r="V123" s="1" t="s">
        <v>121</v>
      </c>
      <c r="W123" s="1">
        <v>4.2418812983521574</v>
      </c>
      <c r="X123" s="1" t="s">
        <v>121</v>
      </c>
      <c r="Y123" s="1">
        <v>0</v>
      </c>
      <c r="Z123" s="1" t="s">
        <v>121</v>
      </c>
      <c r="AA123" s="1">
        <v>0</v>
      </c>
      <c r="AB123" s="1" t="s">
        <v>121</v>
      </c>
      <c r="AC123" s="1">
        <v>30</v>
      </c>
      <c r="AD123" s="1" t="s">
        <v>121</v>
      </c>
      <c r="AE123" s="1">
        <v>0</v>
      </c>
      <c r="AF123" s="1" t="s">
        <v>121</v>
      </c>
      <c r="AG123" s="1">
        <v>0</v>
      </c>
      <c r="AH123" s="1" t="s">
        <v>121</v>
      </c>
      <c r="AI123" s="1">
        <v>0</v>
      </c>
      <c r="AJ123" s="14">
        <f t="shared" si="3"/>
        <v>0.3</v>
      </c>
      <c r="AL123">
        <f t="shared" si="4"/>
        <v>4.241679999999997</v>
      </c>
      <c r="AM123">
        <f t="shared" si="5"/>
        <v>4.2418812983521574</v>
      </c>
      <c r="AN123" s="100"/>
      <c r="AO123" s="11"/>
    </row>
    <row r="124" spans="2:41" x14ac:dyDescent="0.3">
      <c r="B124" s="4" t="s">
        <v>122</v>
      </c>
      <c r="C124" s="1">
        <v>1.21</v>
      </c>
      <c r="D124" s="1" t="s">
        <v>122</v>
      </c>
      <c r="E124" s="1">
        <v>2.238</v>
      </c>
      <c r="F124" s="1" t="s">
        <v>122</v>
      </c>
      <c r="G124" s="1">
        <v>0.08</v>
      </c>
      <c r="H124" s="1" t="s">
        <v>122</v>
      </c>
      <c r="I124" s="1">
        <v>0.1</v>
      </c>
      <c r="J124" s="1" t="s">
        <v>122</v>
      </c>
      <c r="K124" s="1">
        <v>2</v>
      </c>
      <c r="L124" s="1" t="s">
        <v>122</v>
      </c>
      <c r="M124">
        <v>6.3999999999999996E-10</v>
      </c>
      <c r="N124" s="1" t="s">
        <v>122</v>
      </c>
      <c r="O124" s="1">
        <v>16.293098264217182</v>
      </c>
      <c r="P124" s="1" t="s">
        <v>122</v>
      </c>
      <c r="Q124" s="1">
        <v>0</v>
      </c>
      <c r="R124" s="1" t="s">
        <v>122</v>
      </c>
      <c r="S124" s="1">
        <v>0</v>
      </c>
      <c r="T124" s="1" t="s">
        <v>122</v>
      </c>
      <c r="U124" s="1">
        <v>0</v>
      </c>
      <c r="V124" s="1" t="s">
        <v>122</v>
      </c>
      <c r="W124" s="1">
        <v>22.903350799155277</v>
      </c>
      <c r="X124" s="1" t="s">
        <v>122</v>
      </c>
      <c r="Y124" s="1">
        <v>0</v>
      </c>
      <c r="Z124" s="1" t="s">
        <v>122</v>
      </c>
      <c r="AA124" s="1">
        <v>0</v>
      </c>
      <c r="AB124" s="1" t="s">
        <v>122</v>
      </c>
      <c r="AC124" s="1">
        <v>46.291418264217185</v>
      </c>
      <c r="AD124" s="1" t="s">
        <v>122</v>
      </c>
      <c r="AE124" s="1">
        <v>0</v>
      </c>
      <c r="AF124" s="1" t="s">
        <v>122</v>
      </c>
      <c r="AG124" s="1">
        <v>0</v>
      </c>
      <c r="AH124" s="1" t="s">
        <v>122</v>
      </c>
      <c r="AI124" s="1">
        <v>0</v>
      </c>
      <c r="AJ124" s="14">
        <f t="shared" si="3"/>
        <v>0.46291418264217188</v>
      </c>
      <c r="AL124">
        <f t="shared" si="4"/>
        <v>20.95109826421718</v>
      </c>
      <c r="AM124">
        <f t="shared" si="5"/>
        <v>22.903350799155277</v>
      </c>
      <c r="AN124" s="100"/>
      <c r="AO124" s="11"/>
    </row>
    <row r="125" spans="2:41" x14ac:dyDescent="0.3">
      <c r="B125" s="4" t="s">
        <v>123</v>
      </c>
      <c r="C125" s="1">
        <v>0.9</v>
      </c>
      <c r="D125" s="1" t="s">
        <v>123</v>
      </c>
      <c r="E125" s="1">
        <v>1.6679999999999999</v>
      </c>
      <c r="F125" s="1" t="s">
        <v>123</v>
      </c>
      <c r="G125" s="1">
        <v>0.08</v>
      </c>
      <c r="H125" s="1" t="s">
        <v>123</v>
      </c>
      <c r="I125" s="1">
        <v>0.1</v>
      </c>
      <c r="J125" s="1" t="s">
        <v>123</v>
      </c>
      <c r="K125" s="1">
        <v>2</v>
      </c>
      <c r="L125" s="1" t="s">
        <v>123</v>
      </c>
      <c r="M125">
        <v>6.3999999999999996E-10</v>
      </c>
      <c r="N125" s="1" t="s">
        <v>123</v>
      </c>
      <c r="O125" s="1">
        <v>19.228076000571519</v>
      </c>
      <c r="P125" s="1" t="s">
        <v>123</v>
      </c>
      <c r="Q125" s="1">
        <v>0</v>
      </c>
      <c r="R125" s="1" t="s">
        <v>123</v>
      </c>
      <c r="S125" s="1">
        <v>0</v>
      </c>
      <c r="T125" s="1" t="s">
        <v>123</v>
      </c>
      <c r="U125" s="1">
        <v>0</v>
      </c>
      <c r="V125" s="1" t="s">
        <v>123</v>
      </c>
      <c r="W125" s="1">
        <v>25</v>
      </c>
      <c r="X125" s="1" t="s">
        <v>123</v>
      </c>
      <c r="Y125" s="1">
        <v>0</v>
      </c>
      <c r="Z125" s="1" t="s">
        <v>123</v>
      </c>
      <c r="AA125" s="1">
        <v>0</v>
      </c>
      <c r="AB125" s="1" t="s">
        <v>123</v>
      </c>
      <c r="AC125" s="1">
        <v>65.516901945365902</v>
      </c>
      <c r="AD125" s="1" t="s">
        <v>123</v>
      </c>
      <c r="AE125" s="1">
        <v>0</v>
      </c>
      <c r="AF125" s="1" t="s">
        <v>123</v>
      </c>
      <c r="AG125" s="1">
        <v>0</v>
      </c>
      <c r="AH125" s="1" t="s">
        <v>123</v>
      </c>
      <c r="AI125" s="1">
        <v>0</v>
      </c>
      <c r="AJ125" s="14">
        <f t="shared" si="3"/>
        <v>0.65516901945365902</v>
      </c>
      <c r="AL125">
        <f t="shared" si="4"/>
        <v>22.696076000571519</v>
      </c>
      <c r="AM125">
        <f t="shared" si="5"/>
        <v>25</v>
      </c>
      <c r="AN125" s="100"/>
      <c r="AO125" s="11"/>
    </row>
    <row r="126" spans="2:41" x14ac:dyDescent="0.3">
      <c r="B126" s="4" t="s">
        <v>124</v>
      </c>
      <c r="C126" s="1">
        <v>1.58</v>
      </c>
      <c r="D126" s="1" t="s">
        <v>124</v>
      </c>
      <c r="E126" s="1">
        <v>2.9369999999999998</v>
      </c>
      <c r="F126" s="1" t="s">
        <v>124</v>
      </c>
      <c r="G126" s="1">
        <v>0.08</v>
      </c>
      <c r="H126" s="1" t="s">
        <v>124</v>
      </c>
      <c r="I126" s="1">
        <v>0.1</v>
      </c>
      <c r="J126" s="1" t="s">
        <v>124</v>
      </c>
      <c r="K126" s="1">
        <v>2</v>
      </c>
      <c r="L126" s="1" t="s">
        <v>124</v>
      </c>
      <c r="M126">
        <v>6.3999999999999996E-10</v>
      </c>
      <c r="N126" s="1" t="s">
        <v>124</v>
      </c>
      <c r="O126" s="1">
        <v>16.880379000571519</v>
      </c>
      <c r="P126" s="1" t="s">
        <v>124</v>
      </c>
      <c r="Q126" s="1">
        <v>0</v>
      </c>
      <c r="R126" s="1" t="s">
        <v>124</v>
      </c>
      <c r="S126" s="1">
        <v>0</v>
      </c>
      <c r="T126" s="1" t="s">
        <v>124</v>
      </c>
      <c r="U126" s="1">
        <v>0</v>
      </c>
      <c r="V126" s="1" t="s">
        <v>124</v>
      </c>
      <c r="W126" s="1">
        <v>25</v>
      </c>
      <c r="X126" s="1" t="s">
        <v>124</v>
      </c>
      <c r="Y126" s="1">
        <v>0</v>
      </c>
      <c r="Z126" s="1" t="s">
        <v>124</v>
      </c>
      <c r="AA126" s="1">
        <v>0</v>
      </c>
      <c r="AB126" s="1" t="s">
        <v>124</v>
      </c>
      <c r="AC126" s="1">
        <v>82.393611999428487</v>
      </c>
      <c r="AD126" s="1" t="s">
        <v>124</v>
      </c>
      <c r="AE126" s="1">
        <v>0</v>
      </c>
      <c r="AF126" s="1" t="s">
        <v>124</v>
      </c>
      <c r="AG126" s="1">
        <v>0</v>
      </c>
      <c r="AH126" s="1" t="s">
        <v>124</v>
      </c>
      <c r="AI126" s="1">
        <v>0</v>
      </c>
      <c r="AJ126" s="14">
        <f t="shared" si="3"/>
        <v>0.82393611999428484</v>
      </c>
      <c r="AL126">
        <f t="shared" si="4"/>
        <v>22.977379000571517</v>
      </c>
      <c r="AM126">
        <f t="shared" si="5"/>
        <v>25</v>
      </c>
      <c r="AN126" s="100"/>
      <c r="AO126" s="11"/>
    </row>
    <row r="127" spans="2:41" x14ac:dyDescent="0.3">
      <c r="B127" s="4" t="s">
        <v>125</v>
      </c>
      <c r="C127" s="1">
        <v>1.37</v>
      </c>
      <c r="D127" s="1" t="s">
        <v>125</v>
      </c>
      <c r="E127" s="1">
        <v>2.544</v>
      </c>
      <c r="F127" s="1" t="s">
        <v>125</v>
      </c>
      <c r="G127" s="1">
        <v>0.08</v>
      </c>
      <c r="H127" s="1" t="s">
        <v>125</v>
      </c>
      <c r="I127" s="1">
        <v>0.1</v>
      </c>
      <c r="J127" s="1" t="s">
        <v>125</v>
      </c>
      <c r="K127" s="1">
        <v>2</v>
      </c>
      <c r="L127" s="1" t="s">
        <v>125</v>
      </c>
      <c r="M127">
        <v>6.3999999999999996E-10</v>
      </c>
      <c r="N127" s="1" t="s">
        <v>125</v>
      </c>
      <c r="O127" s="1">
        <v>17.606388000571521</v>
      </c>
      <c r="P127" s="1" t="s">
        <v>125</v>
      </c>
      <c r="Q127" s="1">
        <v>0</v>
      </c>
      <c r="R127" s="1" t="s">
        <v>125</v>
      </c>
      <c r="S127" s="1">
        <v>0</v>
      </c>
      <c r="T127" s="1" t="s">
        <v>125</v>
      </c>
      <c r="U127" s="1">
        <v>0</v>
      </c>
      <c r="V127" s="1" t="s">
        <v>125</v>
      </c>
      <c r="W127" s="1">
        <v>25</v>
      </c>
      <c r="X127" s="1" t="s">
        <v>125</v>
      </c>
      <c r="Y127" s="1">
        <v>0</v>
      </c>
      <c r="Z127" s="1" t="s">
        <v>125</v>
      </c>
      <c r="AA127" s="1">
        <v>0</v>
      </c>
      <c r="AB127" s="1" t="s">
        <v>125</v>
      </c>
      <c r="AC127" s="1">
        <v>99.995385957728047</v>
      </c>
      <c r="AD127" s="1" t="s">
        <v>125</v>
      </c>
      <c r="AE127" s="1">
        <v>0</v>
      </c>
      <c r="AF127" s="1" t="s">
        <v>125</v>
      </c>
      <c r="AG127" s="1">
        <v>0</v>
      </c>
      <c r="AH127" s="1" t="s">
        <v>125</v>
      </c>
      <c r="AI127" s="1">
        <v>0</v>
      </c>
      <c r="AJ127" s="14">
        <f t="shared" si="3"/>
        <v>0.99995385957728045</v>
      </c>
      <c r="AL127">
        <f t="shared" si="4"/>
        <v>22.890388000571519</v>
      </c>
      <c r="AM127">
        <f t="shared" si="5"/>
        <v>25</v>
      </c>
      <c r="AN127" s="100"/>
      <c r="AO127" s="11"/>
    </row>
    <row r="128" spans="2:41" x14ac:dyDescent="0.3">
      <c r="B128" s="4" t="s">
        <v>126</v>
      </c>
      <c r="C128" s="1">
        <v>1.3</v>
      </c>
      <c r="D128" s="1" t="s">
        <v>126</v>
      </c>
      <c r="E128" s="1">
        <v>2.4169999999999998</v>
      </c>
      <c r="F128" s="1" t="s">
        <v>126</v>
      </c>
      <c r="G128" s="1">
        <v>0.13</v>
      </c>
      <c r="H128" s="1" t="s">
        <v>126</v>
      </c>
      <c r="I128" s="1">
        <v>0.15</v>
      </c>
      <c r="J128" s="1" t="s">
        <v>126</v>
      </c>
      <c r="K128" s="1">
        <v>2</v>
      </c>
      <c r="L128" s="1" t="s">
        <v>126</v>
      </c>
      <c r="M128">
        <v>6.3999999999999996E-10</v>
      </c>
      <c r="N128" s="1" t="s">
        <v>126</v>
      </c>
      <c r="O128" s="1">
        <v>0</v>
      </c>
      <c r="P128" s="1" t="s">
        <v>126</v>
      </c>
      <c r="Q128" s="1">
        <v>0</v>
      </c>
      <c r="R128" s="1" t="s">
        <v>126</v>
      </c>
      <c r="S128" s="1">
        <v>0</v>
      </c>
      <c r="T128" s="1" t="s">
        <v>126</v>
      </c>
      <c r="U128" s="1">
        <v>5.5744444437333334</v>
      </c>
      <c r="V128" s="1" t="s">
        <v>126</v>
      </c>
      <c r="W128" s="1">
        <v>0</v>
      </c>
      <c r="X128" s="1" t="s">
        <v>126</v>
      </c>
      <c r="Y128" s="1">
        <v>0</v>
      </c>
      <c r="Z128" s="1" t="s">
        <v>126</v>
      </c>
      <c r="AA128" s="1">
        <v>0</v>
      </c>
      <c r="AB128" s="1" t="s">
        <v>126</v>
      </c>
      <c r="AC128" s="1">
        <v>94.415341772381097</v>
      </c>
      <c r="AD128" s="1" t="s">
        <v>126</v>
      </c>
      <c r="AE128" s="1">
        <v>0</v>
      </c>
      <c r="AF128" s="1" t="s">
        <v>126</v>
      </c>
      <c r="AG128" s="1">
        <v>0</v>
      </c>
      <c r="AH128" s="1" t="s">
        <v>126</v>
      </c>
      <c r="AI128" s="1">
        <v>0</v>
      </c>
      <c r="AJ128" s="14">
        <f t="shared" si="3"/>
        <v>0.94415341772381101</v>
      </c>
      <c r="AL128">
        <f t="shared" si="4"/>
        <v>5.0169999999999995</v>
      </c>
      <c r="AM128">
        <f t="shared" si="5"/>
        <v>5.5744444437333334</v>
      </c>
      <c r="AN128" s="100"/>
      <c r="AO128" s="11"/>
    </row>
    <row r="129" spans="2:41" x14ac:dyDescent="0.3">
      <c r="B129" s="4" t="s">
        <v>127</v>
      </c>
      <c r="C129" s="1">
        <v>0.7</v>
      </c>
      <c r="D129" s="1" t="s">
        <v>127</v>
      </c>
      <c r="E129" s="1">
        <v>1.6950000000000001</v>
      </c>
      <c r="F129" s="1" t="s">
        <v>127</v>
      </c>
      <c r="G129" s="1">
        <v>0.13</v>
      </c>
      <c r="H129" s="1" t="s">
        <v>127</v>
      </c>
      <c r="I129" s="1">
        <v>0.15</v>
      </c>
      <c r="J129" s="1" t="s">
        <v>127</v>
      </c>
      <c r="K129" s="1">
        <v>2</v>
      </c>
      <c r="L129" s="1" t="s">
        <v>127</v>
      </c>
      <c r="M129">
        <v>5.4999999999999996E-10</v>
      </c>
      <c r="N129" s="1" t="s">
        <v>127</v>
      </c>
      <c r="O129" s="1">
        <v>0</v>
      </c>
      <c r="P129" s="1" t="s">
        <v>127</v>
      </c>
      <c r="Q129" s="1">
        <v>0</v>
      </c>
      <c r="R129" s="1" t="s">
        <v>127</v>
      </c>
      <c r="S129" s="1">
        <v>0</v>
      </c>
      <c r="T129" s="1" t="s">
        <v>127</v>
      </c>
      <c r="U129" s="1">
        <v>3.4388888882777775</v>
      </c>
      <c r="V129" s="1" t="s">
        <v>127</v>
      </c>
      <c r="W129" s="1">
        <v>0</v>
      </c>
      <c r="X129" s="1" t="s">
        <v>127</v>
      </c>
      <c r="Y129" s="1">
        <v>0</v>
      </c>
      <c r="Z129" s="1" t="s">
        <v>127</v>
      </c>
      <c r="AA129" s="1">
        <v>0</v>
      </c>
      <c r="AB129" s="1" t="s">
        <v>127</v>
      </c>
      <c r="AC129" s="1">
        <v>90.971165624964073</v>
      </c>
      <c r="AD129" s="1" t="s">
        <v>127</v>
      </c>
      <c r="AE129" s="1">
        <v>0</v>
      </c>
      <c r="AF129" s="1" t="s">
        <v>127</v>
      </c>
      <c r="AG129" s="1">
        <v>0</v>
      </c>
      <c r="AH129" s="1" t="s">
        <v>127</v>
      </c>
      <c r="AI129" s="1">
        <v>0</v>
      </c>
      <c r="AJ129" s="14">
        <f t="shared" si="3"/>
        <v>0.90971165624964068</v>
      </c>
      <c r="AL129">
        <f t="shared" si="4"/>
        <v>3.0949999999999998</v>
      </c>
      <c r="AM129">
        <f t="shared" si="5"/>
        <v>3.4388888882777775</v>
      </c>
      <c r="AN129" s="100"/>
      <c r="AO129" s="11"/>
    </row>
    <row r="130" spans="2:41" x14ac:dyDescent="0.3">
      <c r="B130" s="4" t="s">
        <v>128</v>
      </c>
      <c r="C130" s="1">
        <v>0.59</v>
      </c>
      <c r="D130" s="1" t="s">
        <v>128</v>
      </c>
      <c r="E130" s="1">
        <v>1.44</v>
      </c>
      <c r="F130" s="1" t="s">
        <v>128</v>
      </c>
      <c r="G130" s="1">
        <v>0.13</v>
      </c>
      <c r="H130" s="1" t="s">
        <v>128</v>
      </c>
      <c r="I130" s="1">
        <v>0.15</v>
      </c>
      <c r="J130" s="1" t="s">
        <v>128</v>
      </c>
      <c r="K130" s="1">
        <v>2</v>
      </c>
      <c r="L130" s="1" t="s">
        <v>128</v>
      </c>
      <c r="M130">
        <v>8.4999999999999996E-10</v>
      </c>
      <c r="N130" s="1" t="s">
        <v>128</v>
      </c>
      <c r="O130" s="1">
        <v>0</v>
      </c>
      <c r="P130" s="1" t="s">
        <v>128</v>
      </c>
      <c r="Q130" s="1">
        <v>0</v>
      </c>
      <c r="R130" s="1" t="s">
        <v>128</v>
      </c>
      <c r="S130" s="1">
        <v>0</v>
      </c>
      <c r="T130" s="1" t="s">
        <v>128</v>
      </c>
      <c r="U130" s="1">
        <v>2.4408509317929514</v>
      </c>
      <c r="V130" s="1" t="s">
        <v>128</v>
      </c>
      <c r="W130" s="1">
        <v>0.42323416053634372</v>
      </c>
      <c r="X130" s="1" t="s">
        <v>128</v>
      </c>
      <c r="Y130" s="1">
        <v>0</v>
      </c>
      <c r="Z130" s="1" t="s">
        <v>128</v>
      </c>
      <c r="AA130" s="1">
        <v>0</v>
      </c>
      <c r="AB130" s="1" t="s">
        <v>128</v>
      </c>
      <c r="AC130" s="1">
        <v>88.525220307896134</v>
      </c>
      <c r="AD130" s="1" t="s">
        <v>128</v>
      </c>
      <c r="AE130" s="1">
        <v>0</v>
      </c>
      <c r="AF130" s="1" t="s">
        <v>128</v>
      </c>
      <c r="AG130" s="1">
        <v>0</v>
      </c>
      <c r="AH130" s="1" t="s">
        <v>128</v>
      </c>
      <c r="AI130" s="1">
        <v>0</v>
      </c>
      <c r="AJ130" s="14">
        <f t="shared" si="3"/>
        <v>0.88525220307896135</v>
      </c>
      <c r="AL130">
        <f t="shared" si="4"/>
        <v>2.62</v>
      </c>
      <c r="AM130">
        <f t="shared" si="5"/>
        <v>2.8640850923292951</v>
      </c>
      <c r="AN130" s="100"/>
      <c r="AO130" s="11"/>
    </row>
    <row r="131" spans="2:41" x14ac:dyDescent="0.3">
      <c r="B131" s="4" t="s">
        <v>129</v>
      </c>
      <c r="C131" s="1">
        <v>1.19</v>
      </c>
      <c r="D131" s="1" t="s">
        <v>129</v>
      </c>
      <c r="E131" s="1">
        <v>4.952</v>
      </c>
      <c r="F131" s="1" t="s">
        <v>129</v>
      </c>
      <c r="G131" s="1">
        <v>0.13</v>
      </c>
      <c r="H131" s="1" t="s">
        <v>129</v>
      </c>
      <c r="I131" s="1">
        <v>0.15</v>
      </c>
      <c r="J131" s="1" t="s">
        <v>129</v>
      </c>
      <c r="K131" s="1">
        <v>2</v>
      </c>
      <c r="L131" s="1" t="s">
        <v>129</v>
      </c>
      <c r="M131">
        <v>7.2E-10</v>
      </c>
      <c r="N131" s="1" t="s">
        <v>129</v>
      </c>
      <c r="O131" s="1">
        <v>0</v>
      </c>
      <c r="P131" s="1" t="s">
        <v>129</v>
      </c>
      <c r="Q131" s="1">
        <v>0</v>
      </c>
      <c r="R131" s="1" t="s">
        <v>129</v>
      </c>
      <c r="S131" s="1">
        <v>0</v>
      </c>
      <c r="T131" s="1" t="s">
        <v>129</v>
      </c>
      <c r="U131" s="1">
        <v>0</v>
      </c>
      <c r="V131" s="1" t="s">
        <v>129</v>
      </c>
      <c r="W131" s="1">
        <v>7.3319999992799998</v>
      </c>
      <c r="X131" s="1" t="s">
        <v>129</v>
      </c>
      <c r="Y131" s="1">
        <v>0</v>
      </c>
      <c r="Z131" s="1" t="s">
        <v>129</v>
      </c>
      <c r="AA131" s="1">
        <v>0</v>
      </c>
      <c r="AB131" s="1" t="s">
        <v>129</v>
      </c>
      <c r="AC131" s="1">
        <v>88.520262895558901</v>
      </c>
      <c r="AD131" s="1" t="s">
        <v>129</v>
      </c>
      <c r="AE131" s="1">
        <v>0</v>
      </c>
      <c r="AF131" s="1" t="s">
        <v>129</v>
      </c>
      <c r="AG131" s="1">
        <v>0</v>
      </c>
      <c r="AH131" s="1" t="s">
        <v>129</v>
      </c>
      <c r="AI131" s="1">
        <v>0</v>
      </c>
      <c r="AJ131" s="14">
        <f t="shared" ref="AJ131:AJ169" si="6">AC131/100</f>
        <v>0.88520262895558899</v>
      </c>
      <c r="AL131">
        <f t="shared" ref="AL131:AL169" si="7">C131*2+E131+Y131-AA131-AE131+O131</f>
        <v>7.3319999999999999</v>
      </c>
      <c r="AM131">
        <f t="shared" ref="AM131:AM169" si="8">Q131+S131+U131+W131</f>
        <v>7.3319999992799998</v>
      </c>
      <c r="AN131" s="100"/>
      <c r="AO131" s="11"/>
    </row>
    <row r="132" spans="2:41" x14ac:dyDescent="0.3">
      <c r="B132" s="4" t="s">
        <v>130</v>
      </c>
      <c r="C132" s="1">
        <v>3.02</v>
      </c>
      <c r="D132" s="1" t="s">
        <v>130</v>
      </c>
      <c r="E132" s="1">
        <v>6.51</v>
      </c>
      <c r="F132" s="1" t="s">
        <v>130</v>
      </c>
      <c r="G132" s="1">
        <v>0.13</v>
      </c>
      <c r="H132" s="1" t="s">
        <v>130</v>
      </c>
      <c r="I132" s="1">
        <v>0.15</v>
      </c>
      <c r="J132" s="1" t="s">
        <v>130</v>
      </c>
      <c r="K132" s="1">
        <v>1</v>
      </c>
      <c r="L132" s="1" t="s">
        <v>130</v>
      </c>
      <c r="M132">
        <v>4.9800000000000004</v>
      </c>
      <c r="N132" s="1" t="s">
        <v>130</v>
      </c>
      <c r="O132" s="1">
        <v>0</v>
      </c>
      <c r="P132" s="1" t="s">
        <v>130</v>
      </c>
      <c r="Q132" s="1">
        <v>4.9800000000000004</v>
      </c>
      <c r="R132" s="1" t="s">
        <v>130</v>
      </c>
      <c r="S132" s="1">
        <v>0</v>
      </c>
      <c r="T132" s="1" t="s">
        <v>130</v>
      </c>
      <c r="U132" s="1">
        <v>8.4111111111111114</v>
      </c>
      <c r="V132" s="1" t="s">
        <v>130</v>
      </c>
      <c r="W132" s="1">
        <v>0</v>
      </c>
      <c r="X132" s="1" t="s">
        <v>130</v>
      </c>
      <c r="Y132" s="1">
        <v>0</v>
      </c>
      <c r="Z132" s="1" t="s">
        <v>130</v>
      </c>
      <c r="AA132" s="1">
        <v>0</v>
      </c>
      <c r="AB132" s="1" t="s">
        <v>130</v>
      </c>
      <c r="AC132" s="1">
        <v>80.104194649725642</v>
      </c>
      <c r="AD132" s="1" t="s">
        <v>130</v>
      </c>
      <c r="AE132" s="1">
        <v>0</v>
      </c>
      <c r="AF132" s="1" t="s">
        <v>130</v>
      </c>
      <c r="AG132" s="1">
        <v>0</v>
      </c>
      <c r="AH132" s="1" t="s">
        <v>130</v>
      </c>
      <c r="AI132" s="1">
        <v>0</v>
      </c>
      <c r="AJ132" s="14">
        <f t="shared" si="6"/>
        <v>0.80104194649725646</v>
      </c>
      <c r="AL132">
        <f t="shared" si="7"/>
        <v>12.55</v>
      </c>
      <c r="AM132">
        <f t="shared" si="8"/>
        <v>13.391111111111112</v>
      </c>
      <c r="AN132" s="100"/>
      <c r="AO132" s="11"/>
    </row>
    <row r="133" spans="2:41" x14ac:dyDescent="0.3">
      <c r="B133" s="4" t="s">
        <v>131</v>
      </c>
      <c r="C133" s="1">
        <v>2.2599999999999998</v>
      </c>
      <c r="D133" s="1" t="s">
        <v>131</v>
      </c>
      <c r="E133" s="1">
        <v>4.8680000000000003</v>
      </c>
      <c r="F133" s="1" t="s">
        <v>131</v>
      </c>
      <c r="G133" s="1">
        <v>0.13</v>
      </c>
      <c r="H133" s="1" t="s">
        <v>131</v>
      </c>
      <c r="I133" s="1">
        <v>0.15</v>
      </c>
      <c r="J133" s="1" t="s">
        <v>131</v>
      </c>
      <c r="K133" s="1">
        <v>1</v>
      </c>
      <c r="L133" s="1" t="s">
        <v>131</v>
      </c>
      <c r="M133">
        <v>4.91</v>
      </c>
      <c r="N133" s="1" t="s">
        <v>131</v>
      </c>
      <c r="O133" s="1">
        <v>0</v>
      </c>
      <c r="P133" s="1" t="s">
        <v>131</v>
      </c>
      <c r="Q133" s="1">
        <v>4.91</v>
      </c>
      <c r="R133" s="1" t="s">
        <v>131</v>
      </c>
      <c r="S133" s="1">
        <v>0</v>
      </c>
      <c r="T133" s="1" t="s">
        <v>131</v>
      </c>
      <c r="U133" s="1">
        <v>4.9755555555555553</v>
      </c>
      <c r="V133" s="1" t="s">
        <v>131</v>
      </c>
      <c r="W133" s="1">
        <v>0</v>
      </c>
      <c r="X133" s="1" t="s">
        <v>131</v>
      </c>
      <c r="Y133" s="1">
        <v>0</v>
      </c>
      <c r="Z133" s="1" t="s">
        <v>131</v>
      </c>
      <c r="AA133" s="1">
        <v>0</v>
      </c>
      <c r="AB133" s="1" t="s">
        <v>131</v>
      </c>
      <c r="AC133" s="1">
        <v>75.124153259269704</v>
      </c>
      <c r="AD133" s="1" t="s">
        <v>131</v>
      </c>
      <c r="AE133" s="1">
        <v>0</v>
      </c>
      <c r="AF133" s="1" t="s">
        <v>131</v>
      </c>
      <c r="AG133" s="1">
        <v>0</v>
      </c>
      <c r="AH133" s="1" t="s">
        <v>131</v>
      </c>
      <c r="AI133" s="1">
        <v>0</v>
      </c>
      <c r="AJ133" s="14">
        <f t="shared" si="6"/>
        <v>0.75124153259269699</v>
      </c>
      <c r="AL133">
        <f t="shared" si="7"/>
        <v>9.3879999999999999</v>
      </c>
      <c r="AM133">
        <f t="shared" si="8"/>
        <v>9.8855555555555554</v>
      </c>
      <c r="AN133" s="100"/>
      <c r="AO133" s="11"/>
    </row>
    <row r="134" spans="2:41" x14ac:dyDescent="0.3">
      <c r="B134" s="4" t="s">
        <v>132</v>
      </c>
      <c r="C134" s="1">
        <v>2</v>
      </c>
      <c r="D134" s="1" t="s">
        <v>132</v>
      </c>
      <c r="E134" s="1">
        <v>0.76600000000000001</v>
      </c>
      <c r="F134" s="1" t="s">
        <v>132</v>
      </c>
      <c r="G134" s="1">
        <v>0.13</v>
      </c>
      <c r="H134" s="1" t="s">
        <v>132</v>
      </c>
      <c r="I134" s="1">
        <v>0.15</v>
      </c>
      <c r="J134" s="1" t="s">
        <v>132</v>
      </c>
      <c r="K134" s="1">
        <v>1</v>
      </c>
      <c r="L134" s="1" t="s">
        <v>132</v>
      </c>
      <c r="M134">
        <v>6.47</v>
      </c>
      <c r="N134" s="1" t="s">
        <v>132</v>
      </c>
      <c r="O134" s="1">
        <v>1.5216719999999997</v>
      </c>
      <c r="P134" s="1" t="s">
        <v>132</v>
      </c>
      <c r="Q134" s="1">
        <v>6.47</v>
      </c>
      <c r="R134" s="1" t="s">
        <v>132</v>
      </c>
      <c r="S134" s="1">
        <v>0</v>
      </c>
      <c r="T134" s="1" t="s">
        <v>132</v>
      </c>
      <c r="U134" s="1">
        <v>0</v>
      </c>
      <c r="V134" s="1" t="s">
        <v>132</v>
      </c>
      <c r="W134" s="1">
        <v>0</v>
      </c>
      <c r="X134" s="1" t="s">
        <v>132</v>
      </c>
      <c r="Y134" s="1">
        <v>0</v>
      </c>
      <c r="Z134" s="1" t="s">
        <v>132</v>
      </c>
      <c r="AA134" s="1">
        <v>0</v>
      </c>
      <c r="AB134" s="1" t="s">
        <v>132</v>
      </c>
      <c r="AC134" s="1">
        <v>76.641618306687192</v>
      </c>
      <c r="AD134" s="1" t="s">
        <v>132</v>
      </c>
      <c r="AE134" s="1">
        <v>0</v>
      </c>
      <c r="AF134" s="1" t="s">
        <v>132</v>
      </c>
      <c r="AG134" s="1">
        <v>0</v>
      </c>
      <c r="AH134" s="1" t="s">
        <v>132</v>
      </c>
      <c r="AI134" s="1">
        <v>0</v>
      </c>
      <c r="AJ134" s="14">
        <f t="shared" si="6"/>
        <v>0.76641618306687187</v>
      </c>
      <c r="AL134">
        <f t="shared" si="7"/>
        <v>6.2876719999999997</v>
      </c>
      <c r="AM134">
        <f t="shared" si="8"/>
        <v>6.47</v>
      </c>
      <c r="AN134" s="100"/>
      <c r="AO134" s="11"/>
    </row>
    <row r="135" spans="2:41" x14ac:dyDescent="0.3">
      <c r="B135" s="4" t="s">
        <v>133</v>
      </c>
      <c r="C135" s="1">
        <v>5.4</v>
      </c>
      <c r="D135" s="1" t="s">
        <v>133</v>
      </c>
      <c r="E135" s="1">
        <v>1.254</v>
      </c>
      <c r="F135" s="1" t="s">
        <v>133</v>
      </c>
      <c r="G135" s="1">
        <v>0.13</v>
      </c>
      <c r="H135" s="1" t="s">
        <v>133</v>
      </c>
      <c r="I135" s="1">
        <v>0.15</v>
      </c>
      <c r="J135" s="1" t="s">
        <v>133</v>
      </c>
      <c r="K135" s="1">
        <v>1</v>
      </c>
      <c r="L135" s="1" t="s">
        <v>133</v>
      </c>
      <c r="M135">
        <v>10.87</v>
      </c>
      <c r="N135" s="1" t="s">
        <v>133</v>
      </c>
      <c r="O135" s="1">
        <v>0</v>
      </c>
      <c r="P135" s="1" t="s">
        <v>133</v>
      </c>
      <c r="Q135" s="1">
        <v>10.87</v>
      </c>
      <c r="R135" s="1" t="s">
        <v>133</v>
      </c>
      <c r="S135" s="1">
        <v>0</v>
      </c>
      <c r="T135" s="1" t="s">
        <v>133</v>
      </c>
      <c r="U135" s="1">
        <v>1.3155555555555569</v>
      </c>
      <c r="V135" s="1" t="s">
        <v>133</v>
      </c>
      <c r="W135" s="1">
        <v>0</v>
      </c>
      <c r="X135" s="1" t="s">
        <v>133</v>
      </c>
      <c r="Y135" s="1">
        <v>0</v>
      </c>
      <c r="Z135" s="1" t="s">
        <v>133</v>
      </c>
      <c r="AA135" s="1">
        <v>0</v>
      </c>
      <c r="AB135" s="1" t="s">
        <v>133</v>
      </c>
      <c r="AC135" s="1">
        <v>75.321770820506458</v>
      </c>
      <c r="AD135" s="1" t="s">
        <v>133</v>
      </c>
      <c r="AE135" s="1">
        <v>0</v>
      </c>
      <c r="AF135" s="1" t="s">
        <v>133</v>
      </c>
      <c r="AG135" s="1">
        <v>0</v>
      </c>
      <c r="AH135" s="1" t="s">
        <v>133</v>
      </c>
      <c r="AI135" s="1">
        <v>0</v>
      </c>
      <c r="AJ135" s="14">
        <f t="shared" si="6"/>
        <v>0.75321770820506462</v>
      </c>
      <c r="AL135">
        <f t="shared" si="7"/>
        <v>12.054</v>
      </c>
      <c r="AM135">
        <f t="shared" si="8"/>
        <v>12.185555555555556</v>
      </c>
      <c r="AN135" s="100"/>
      <c r="AO135" s="11"/>
    </row>
    <row r="136" spans="2:41" x14ac:dyDescent="0.3">
      <c r="B136" s="4" t="s">
        <v>134</v>
      </c>
      <c r="C136" s="1">
        <v>4.42</v>
      </c>
      <c r="D136" s="1" t="s">
        <v>134</v>
      </c>
      <c r="E136" s="1">
        <v>5.5439999999999996</v>
      </c>
      <c r="F136" s="1" t="s">
        <v>134</v>
      </c>
      <c r="G136" s="1">
        <v>0.13</v>
      </c>
      <c r="H136" s="1" t="s">
        <v>134</v>
      </c>
      <c r="I136" s="1">
        <v>0.15</v>
      </c>
      <c r="J136" s="1" t="s">
        <v>134</v>
      </c>
      <c r="K136" s="1">
        <v>1</v>
      </c>
      <c r="L136" s="1" t="s">
        <v>134</v>
      </c>
      <c r="M136">
        <v>4.5199999999999996</v>
      </c>
      <c r="N136" s="1" t="s">
        <v>134</v>
      </c>
      <c r="O136" s="1">
        <v>0</v>
      </c>
      <c r="P136" s="1" t="s">
        <v>134</v>
      </c>
      <c r="Q136" s="1">
        <v>4.5199999999999996</v>
      </c>
      <c r="R136" s="1" t="s">
        <v>134</v>
      </c>
      <c r="S136" s="1">
        <v>0</v>
      </c>
      <c r="T136" s="1" t="s">
        <v>134</v>
      </c>
      <c r="U136" s="1">
        <v>10.96</v>
      </c>
      <c r="V136" s="1" t="s">
        <v>134</v>
      </c>
      <c r="W136" s="1">
        <v>0</v>
      </c>
      <c r="X136" s="1" t="s">
        <v>134</v>
      </c>
      <c r="Y136" s="1">
        <v>0</v>
      </c>
      <c r="Z136" s="1" t="s">
        <v>134</v>
      </c>
      <c r="AA136" s="1">
        <v>0</v>
      </c>
      <c r="AB136" s="1" t="s">
        <v>134</v>
      </c>
      <c r="AC136" s="1">
        <v>64.357552801340503</v>
      </c>
      <c r="AD136" s="1" t="s">
        <v>134</v>
      </c>
      <c r="AE136" s="1">
        <v>0</v>
      </c>
      <c r="AF136" s="1" t="s">
        <v>134</v>
      </c>
      <c r="AG136" s="1">
        <v>0</v>
      </c>
      <c r="AH136" s="1" t="s">
        <v>134</v>
      </c>
      <c r="AI136" s="1">
        <v>0</v>
      </c>
      <c r="AJ136" s="14">
        <f t="shared" si="6"/>
        <v>0.64357552801340501</v>
      </c>
      <c r="AL136">
        <f t="shared" si="7"/>
        <v>14.384</v>
      </c>
      <c r="AM136">
        <f t="shared" si="8"/>
        <v>15.48</v>
      </c>
      <c r="AN136" s="100"/>
      <c r="AO136" s="11"/>
    </row>
    <row r="137" spans="2:41" x14ac:dyDescent="0.3">
      <c r="B137" s="4" t="s">
        <v>135</v>
      </c>
      <c r="C137" s="1">
        <v>3.67</v>
      </c>
      <c r="D137" s="1" t="s">
        <v>135</v>
      </c>
      <c r="E137" s="1">
        <v>7.9320000000000004</v>
      </c>
      <c r="F137" s="1" t="s">
        <v>135</v>
      </c>
      <c r="G137" s="1">
        <v>0.13</v>
      </c>
      <c r="H137" s="1" t="s">
        <v>135</v>
      </c>
      <c r="I137" s="1">
        <v>0.15</v>
      </c>
      <c r="J137" s="1" t="s">
        <v>135</v>
      </c>
      <c r="K137" s="1">
        <v>2</v>
      </c>
      <c r="L137" s="1" t="s">
        <v>135</v>
      </c>
      <c r="M137">
        <v>7.59</v>
      </c>
      <c r="N137" s="1" t="s">
        <v>135</v>
      </c>
      <c r="O137" s="1">
        <v>0</v>
      </c>
      <c r="P137" s="1" t="s">
        <v>135</v>
      </c>
      <c r="Q137" s="1">
        <v>7.59</v>
      </c>
      <c r="R137" s="1" t="s">
        <v>135</v>
      </c>
      <c r="S137" s="1">
        <v>0</v>
      </c>
      <c r="T137" s="1" t="s">
        <v>135</v>
      </c>
      <c r="U137" s="1">
        <v>0</v>
      </c>
      <c r="V137" s="1" t="s">
        <v>135</v>
      </c>
      <c r="W137" s="1">
        <v>7.6820000000000004</v>
      </c>
      <c r="X137" s="1" t="s">
        <v>135</v>
      </c>
      <c r="Y137" s="1">
        <v>0</v>
      </c>
      <c r="Z137" s="1" t="s">
        <v>135</v>
      </c>
      <c r="AA137" s="1">
        <v>0</v>
      </c>
      <c r="AB137" s="1" t="s">
        <v>135</v>
      </c>
      <c r="AC137" s="1">
        <v>64.353948778383625</v>
      </c>
      <c r="AD137" s="1" t="s">
        <v>135</v>
      </c>
      <c r="AE137" s="1">
        <v>0</v>
      </c>
      <c r="AF137" s="1" t="s">
        <v>135</v>
      </c>
      <c r="AG137" s="1">
        <v>0</v>
      </c>
      <c r="AH137" s="1" t="s">
        <v>135</v>
      </c>
      <c r="AI137" s="1">
        <v>0</v>
      </c>
      <c r="AJ137" s="14">
        <f t="shared" si="6"/>
        <v>0.64353948778383629</v>
      </c>
      <c r="AL137">
        <f t="shared" si="7"/>
        <v>15.272</v>
      </c>
      <c r="AM137">
        <f t="shared" si="8"/>
        <v>15.272</v>
      </c>
      <c r="AN137" s="100"/>
      <c r="AO137" s="11"/>
    </row>
    <row r="138" spans="2:41" x14ac:dyDescent="0.3">
      <c r="B138" s="4" t="s">
        <v>136</v>
      </c>
      <c r="C138" s="1">
        <v>2.79</v>
      </c>
      <c r="D138" s="1" t="s">
        <v>136</v>
      </c>
      <c r="E138" s="1">
        <v>6.032</v>
      </c>
      <c r="F138" s="1" t="s">
        <v>136</v>
      </c>
      <c r="G138" s="1">
        <v>0.13</v>
      </c>
      <c r="H138" s="1" t="s">
        <v>136</v>
      </c>
      <c r="I138" s="1">
        <v>0.15</v>
      </c>
      <c r="J138" s="1" t="s">
        <v>136</v>
      </c>
      <c r="K138" s="1">
        <v>2</v>
      </c>
      <c r="L138" s="1" t="s">
        <v>136</v>
      </c>
      <c r="M138">
        <v>6.2000000000000003E-10</v>
      </c>
      <c r="N138" s="1" t="s">
        <v>136</v>
      </c>
      <c r="O138" s="1">
        <v>0</v>
      </c>
      <c r="P138" s="1" t="s">
        <v>136</v>
      </c>
      <c r="Q138" s="1">
        <v>0</v>
      </c>
      <c r="R138" s="1" t="s">
        <v>136</v>
      </c>
      <c r="S138" s="1">
        <v>0</v>
      </c>
      <c r="T138" s="1" t="s">
        <v>136</v>
      </c>
      <c r="U138" s="1">
        <v>0</v>
      </c>
      <c r="V138" s="1" t="s">
        <v>136</v>
      </c>
      <c r="W138" s="1">
        <v>11.61199999938</v>
      </c>
      <c r="X138" s="1" t="s">
        <v>136</v>
      </c>
      <c r="Y138" s="1">
        <v>0</v>
      </c>
      <c r="Z138" s="1" t="s">
        <v>136</v>
      </c>
      <c r="AA138" s="1">
        <v>0</v>
      </c>
      <c r="AB138" s="1" t="s">
        <v>136</v>
      </c>
      <c r="AC138" s="1">
        <v>64.350344957252034</v>
      </c>
      <c r="AD138" s="1" t="s">
        <v>136</v>
      </c>
      <c r="AE138" s="1">
        <v>0</v>
      </c>
      <c r="AF138" s="1" t="s">
        <v>136</v>
      </c>
      <c r="AG138" s="1">
        <v>0</v>
      </c>
      <c r="AH138" s="1" t="s">
        <v>136</v>
      </c>
      <c r="AI138" s="1">
        <v>0</v>
      </c>
      <c r="AJ138" s="14">
        <f t="shared" si="6"/>
        <v>0.64350344957252037</v>
      </c>
      <c r="AL138">
        <f t="shared" si="7"/>
        <v>11.612</v>
      </c>
      <c r="AM138">
        <f t="shared" si="8"/>
        <v>11.61199999938</v>
      </c>
      <c r="AN138" s="100"/>
      <c r="AO138" s="11"/>
    </row>
    <row r="139" spans="2:41" x14ac:dyDescent="0.3">
      <c r="B139" s="4" t="s">
        <v>137</v>
      </c>
      <c r="C139" s="1">
        <v>3.67</v>
      </c>
      <c r="D139" s="1" t="s">
        <v>137</v>
      </c>
      <c r="E139" s="1">
        <v>6.7069999999999999</v>
      </c>
      <c r="F139" s="1" t="s">
        <v>137</v>
      </c>
      <c r="G139" s="1">
        <v>0.13</v>
      </c>
      <c r="H139" s="1" t="s">
        <v>137</v>
      </c>
      <c r="I139" s="1">
        <v>0.15</v>
      </c>
      <c r="J139" s="1" t="s">
        <v>137</v>
      </c>
      <c r="K139" s="1">
        <v>2</v>
      </c>
      <c r="L139" s="1" t="s">
        <v>137</v>
      </c>
      <c r="M139">
        <v>7.5999999999999996E-10</v>
      </c>
      <c r="N139" s="1" t="s">
        <v>137</v>
      </c>
      <c r="O139" s="1">
        <v>0</v>
      </c>
      <c r="P139" s="1" t="s">
        <v>137</v>
      </c>
      <c r="Q139" s="1">
        <v>0</v>
      </c>
      <c r="R139" s="1" t="s">
        <v>137</v>
      </c>
      <c r="S139" s="1">
        <v>0</v>
      </c>
      <c r="T139" s="1" t="s">
        <v>137</v>
      </c>
      <c r="U139" s="1">
        <v>0</v>
      </c>
      <c r="V139" s="1" t="s">
        <v>137</v>
      </c>
      <c r="W139" s="1">
        <v>14.046999999240001</v>
      </c>
      <c r="X139" s="1" t="s">
        <v>137</v>
      </c>
      <c r="Y139" s="1">
        <v>0</v>
      </c>
      <c r="Z139" s="1" t="s">
        <v>137</v>
      </c>
      <c r="AA139" s="1">
        <v>0</v>
      </c>
      <c r="AB139" s="1" t="s">
        <v>137</v>
      </c>
      <c r="AC139" s="1">
        <v>64.346741337934432</v>
      </c>
      <c r="AD139" s="1" t="s">
        <v>137</v>
      </c>
      <c r="AE139" s="1">
        <v>0</v>
      </c>
      <c r="AF139" s="1" t="s">
        <v>137</v>
      </c>
      <c r="AG139" s="1">
        <v>0</v>
      </c>
      <c r="AH139" s="1" t="s">
        <v>137</v>
      </c>
      <c r="AI139" s="1">
        <v>0</v>
      </c>
      <c r="AJ139" s="14">
        <f t="shared" si="6"/>
        <v>0.64346741337934432</v>
      </c>
      <c r="AL139">
        <f t="shared" si="7"/>
        <v>14.047000000000001</v>
      </c>
      <c r="AM139">
        <f t="shared" si="8"/>
        <v>14.046999999240001</v>
      </c>
      <c r="AN139" s="100"/>
      <c r="AO139" s="11"/>
    </row>
    <row r="140" spans="2:41" x14ac:dyDescent="0.3">
      <c r="B140" s="4" t="s">
        <v>138</v>
      </c>
      <c r="C140" s="1">
        <v>3.28</v>
      </c>
      <c r="D140" s="1" t="s">
        <v>138</v>
      </c>
      <c r="E140" s="1">
        <v>2.6760000000000002</v>
      </c>
      <c r="F140" s="1" t="s">
        <v>138</v>
      </c>
      <c r="G140" s="1">
        <v>0.13</v>
      </c>
      <c r="H140" s="1" t="s">
        <v>138</v>
      </c>
      <c r="I140" s="1">
        <v>0.15</v>
      </c>
      <c r="J140" s="1" t="s">
        <v>138</v>
      </c>
      <c r="K140" s="1">
        <v>2</v>
      </c>
      <c r="L140" s="1" t="s">
        <v>138</v>
      </c>
      <c r="M140">
        <v>6.3999999999999996E-10</v>
      </c>
      <c r="N140" s="1" t="s">
        <v>138</v>
      </c>
      <c r="O140" s="1">
        <v>0</v>
      </c>
      <c r="P140" s="1" t="s">
        <v>138</v>
      </c>
      <c r="Q140" s="1">
        <v>0</v>
      </c>
      <c r="R140" s="1" t="s">
        <v>138</v>
      </c>
      <c r="S140" s="1">
        <v>0</v>
      </c>
      <c r="T140" s="1" t="s">
        <v>138</v>
      </c>
      <c r="U140" s="1">
        <v>0</v>
      </c>
      <c r="V140" s="1" t="s">
        <v>138</v>
      </c>
      <c r="W140" s="1">
        <v>9.2359999993600006</v>
      </c>
      <c r="X140" s="1" t="s">
        <v>138</v>
      </c>
      <c r="Y140" s="1">
        <v>0</v>
      </c>
      <c r="Z140" s="1" t="s">
        <v>138</v>
      </c>
      <c r="AA140" s="1">
        <v>0</v>
      </c>
      <c r="AB140" s="1" t="s">
        <v>138</v>
      </c>
      <c r="AC140" s="1">
        <v>64.343137920419508</v>
      </c>
      <c r="AD140" s="1" t="s">
        <v>138</v>
      </c>
      <c r="AE140" s="1">
        <v>0</v>
      </c>
      <c r="AF140" s="1" t="s">
        <v>138</v>
      </c>
      <c r="AG140" s="1">
        <v>0</v>
      </c>
      <c r="AH140" s="1" t="s">
        <v>138</v>
      </c>
      <c r="AI140" s="1">
        <v>0</v>
      </c>
      <c r="AJ140" s="14">
        <f t="shared" si="6"/>
        <v>0.64343137920419513</v>
      </c>
      <c r="AL140">
        <f t="shared" si="7"/>
        <v>9.2360000000000007</v>
      </c>
      <c r="AM140">
        <f t="shared" si="8"/>
        <v>9.2359999993600006</v>
      </c>
      <c r="AN140" s="100"/>
      <c r="AO140" s="11"/>
    </row>
    <row r="141" spans="2:41" x14ac:dyDescent="0.3">
      <c r="B141" s="4" t="s">
        <v>139</v>
      </c>
      <c r="C141" s="1">
        <v>2.23</v>
      </c>
      <c r="D141" s="1" t="s">
        <v>139</v>
      </c>
      <c r="E141" s="1">
        <v>2.9580000000000002</v>
      </c>
      <c r="F141" s="1" t="s">
        <v>139</v>
      </c>
      <c r="G141" s="1">
        <v>0.13</v>
      </c>
      <c r="H141" s="1" t="s">
        <v>139</v>
      </c>
      <c r="I141" s="1">
        <v>0.15</v>
      </c>
      <c r="J141" s="1" t="s">
        <v>139</v>
      </c>
      <c r="K141" s="1">
        <v>2</v>
      </c>
      <c r="L141" s="1" t="s">
        <v>139</v>
      </c>
      <c r="M141">
        <v>6.3999999999999996E-10</v>
      </c>
      <c r="N141" s="1" t="s">
        <v>139</v>
      </c>
      <c r="O141" s="1">
        <v>0</v>
      </c>
      <c r="P141" s="1" t="s">
        <v>139</v>
      </c>
      <c r="Q141" s="1">
        <v>0</v>
      </c>
      <c r="R141" s="1" t="s">
        <v>139</v>
      </c>
      <c r="S141" s="1">
        <v>0</v>
      </c>
      <c r="T141" s="1" t="s">
        <v>139</v>
      </c>
      <c r="U141" s="1">
        <v>0</v>
      </c>
      <c r="V141" s="1" t="s">
        <v>139</v>
      </c>
      <c r="W141" s="1">
        <v>7.4179999993600001</v>
      </c>
      <c r="X141" s="1" t="s">
        <v>139</v>
      </c>
      <c r="Y141" s="1">
        <v>0</v>
      </c>
      <c r="Z141" s="1" t="s">
        <v>139</v>
      </c>
      <c r="AA141" s="1">
        <v>0</v>
      </c>
      <c r="AB141" s="1" t="s">
        <v>139</v>
      </c>
      <c r="AC141" s="1">
        <v>64.339534704695964</v>
      </c>
      <c r="AD141" s="1" t="s">
        <v>139</v>
      </c>
      <c r="AE141" s="1">
        <v>0</v>
      </c>
      <c r="AF141" s="1" t="s">
        <v>139</v>
      </c>
      <c r="AG141" s="1">
        <v>0</v>
      </c>
      <c r="AH141" s="1" t="s">
        <v>139</v>
      </c>
      <c r="AI141" s="1">
        <v>0</v>
      </c>
      <c r="AJ141" s="14">
        <f t="shared" si="6"/>
        <v>0.64339534704695966</v>
      </c>
      <c r="AL141">
        <f t="shared" si="7"/>
        <v>7.4180000000000001</v>
      </c>
      <c r="AM141">
        <f t="shared" si="8"/>
        <v>7.4179999993600001</v>
      </c>
      <c r="AN141" s="100"/>
      <c r="AO141" s="11"/>
    </row>
    <row r="142" spans="2:41" x14ac:dyDescent="0.3">
      <c r="B142" s="4" t="s">
        <v>140</v>
      </c>
      <c r="C142" s="1">
        <v>6.83</v>
      </c>
      <c r="D142" s="1" t="s">
        <v>140</v>
      </c>
      <c r="E142" s="1">
        <v>2.4830000000000001</v>
      </c>
      <c r="F142" s="1" t="s">
        <v>140</v>
      </c>
      <c r="G142" s="1">
        <v>0.13</v>
      </c>
      <c r="H142" s="1" t="s">
        <v>140</v>
      </c>
      <c r="I142" s="1">
        <v>0.15</v>
      </c>
      <c r="J142" s="1" t="s">
        <v>140</v>
      </c>
      <c r="K142" s="1">
        <v>1</v>
      </c>
      <c r="L142" s="1" t="s">
        <v>140</v>
      </c>
      <c r="M142">
        <v>6.3999999999999996E-10</v>
      </c>
      <c r="N142" s="1" t="s">
        <v>140</v>
      </c>
      <c r="O142" s="1">
        <v>0</v>
      </c>
      <c r="P142" s="1" t="s">
        <v>140</v>
      </c>
      <c r="Q142" s="1">
        <v>0</v>
      </c>
      <c r="R142" s="1" t="s">
        <v>140</v>
      </c>
      <c r="S142" s="1">
        <v>0</v>
      </c>
      <c r="T142" s="1" t="s">
        <v>140</v>
      </c>
      <c r="U142" s="1">
        <v>17.936666665955556</v>
      </c>
      <c r="V142" s="1" t="s">
        <v>140</v>
      </c>
      <c r="W142" s="1">
        <v>0</v>
      </c>
      <c r="X142" s="1" t="s">
        <v>140</v>
      </c>
      <c r="Y142" s="1">
        <v>0</v>
      </c>
      <c r="Z142" s="1" t="s">
        <v>140</v>
      </c>
      <c r="AA142" s="1">
        <v>0</v>
      </c>
      <c r="AB142" s="1" t="s">
        <v>140</v>
      </c>
      <c r="AC142" s="1">
        <v>46.399265024796946</v>
      </c>
      <c r="AD142" s="1" t="s">
        <v>140</v>
      </c>
      <c r="AE142" s="1">
        <v>0</v>
      </c>
      <c r="AF142" s="1" t="s">
        <v>140</v>
      </c>
      <c r="AG142" s="1">
        <v>0</v>
      </c>
      <c r="AH142" s="1" t="s">
        <v>140</v>
      </c>
      <c r="AI142" s="1">
        <v>0</v>
      </c>
      <c r="AJ142" s="14">
        <f t="shared" si="6"/>
        <v>0.46399265024796948</v>
      </c>
      <c r="AL142">
        <f t="shared" si="7"/>
        <v>16.143000000000001</v>
      </c>
      <c r="AM142">
        <f t="shared" si="8"/>
        <v>17.936666665955556</v>
      </c>
      <c r="AN142" s="100"/>
      <c r="AO142" s="11"/>
    </row>
    <row r="143" spans="2:41" x14ac:dyDescent="0.3">
      <c r="B143" s="4" t="s">
        <v>141</v>
      </c>
      <c r="C143" s="1">
        <v>6.61</v>
      </c>
      <c r="D143" s="1" t="s">
        <v>141</v>
      </c>
      <c r="E143" s="1">
        <v>1.5369999999999999</v>
      </c>
      <c r="F143" s="1" t="s">
        <v>141</v>
      </c>
      <c r="G143" s="1">
        <v>0.13</v>
      </c>
      <c r="H143" s="1" t="s">
        <v>141</v>
      </c>
      <c r="I143" s="1">
        <v>0.15</v>
      </c>
      <c r="J143" s="1" t="s">
        <v>141</v>
      </c>
      <c r="K143" s="1">
        <v>1</v>
      </c>
      <c r="L143" s="1" t="s">
        <v>141</v>
      </c>
      <c r="M143">
        <v>6.3999999999999996E-10</v>
      </c>
      <c r="N143" s="1" t="s">
        <v>141</v>
      </c>
      <c r="O143" s="1">
        <v>0</v>
      </c>
      <c r="P143" s="1" t="s">
        <v>141</v>
      </c>
      <c r="Q143" s="1">
        <v>0</v>
      </c>
      <c r="R143" s="1" t="s">
        <v>141</v>
      </c>
      <c r="S143" s="1">
        <v>0</v>
      </c>
      <c r="T143" s="1" t="s">
        <v>141</v>
      </c>
      <c r="U143" s="1">
        <v>16.396666665955557</v>
      </c>
      <c r="V143" s="1" t="s">
        <v>141</v>
      </c>
      <c r="W143" s="1">
        <v>0</v>
      </c>
      <c r="X143" s="1" t="s">
        <v>141</v>
      </c>
      <c r="Y143" s="1">
        <v>0</v>
      </c>
      <c r="Z143" s="1" t="s">
        <v>141</v>
      </c>
      <c r="AA143" s="1">
        <v>0</v>
      </c>
      <c r="AB143" s="1" t="s">
        <v>141</v>
      </c>
      <c r="AC143" s="1">
        <v>30</v>
      </c>
      <c r="AD143" s="1" t="s">
        <v>141</v>
      </c>
      <c r="AE143" s="1">
        <v>0</v>
      </c>
      <c r="AF143" s="1" t="s">
        <v>141</v>
      </c>
      <c r="AG143" s="1">
        <v>0</v>
      </c>
      <c r="AH143" s="1" t="s">
        <v>141</v>
      </c>
      <c r="AI143" s="1">
        <v>0</v>
      </c>
      <c r="AJ143" s="14">
        <f t="shared" si="6"/>
        <v>0.3</v>
      </c>
      <c r="AL143">
        <f t="shared" si="7"/>
        <v>14.757000000000001</v>
      </c>
      <c r="AM143">
        <f t="shared" si="8"/>
        <v>16.396666665955557</v>
      </c>
      <c r="AN143" s="100"/>
      <c r="AO143" s="11"/>
    </row>
    <row r="144" spans="2:41" x14ac:dyDescent="0.3">
      <c r="B144" s="4" t="s">
        <v>142</v>
      </c>
      <c r="C144" s="1">
        <v>3.71</v>
      </c>
      <c r="D144" s="1" t="s">
        <v>142</v>
      </c>
      <c r="E144" s="1">
        <v>2.2959999999999998</v>
      </c>
      <c r="F144" s="1" t="s">
        <v>142</v>
      </c>
      <c r="G144" s="1">
        <v>0.08</v>
      </c>
      <c r="H144" s="1" t="s">
        <v>142</v>
      </c>
      <c r="I144" s="1">
        <v>0.1</v>
      </c>
      <c r="J144" s="1" t="s">
        <v>142</v>
      </c>
      <c r="K144" s="1">
        <v>2</v>
      </c>
      <c r="L144" s="1" t="s">
        <v>142</v>
      </c>
      <c r="M144">
        <v>6.3999999999999996E-10</v>
      </c>
      <c r="N144" s="1" t="s">
        <v>142</v>
      </c>
      <c r="O144" s="1">
        <v>1.6799999999967952E-3</v>
      </c>
      <c r="P144" s="1" t="s">
        <v>142</v>
      </c>
      <c r="Q144" s="1">
        <v>0</v>
      </c>
      <c r="R144" s="1" t="s">
        <v>142</v>
      </c>
      <c r="S144" s="1">
        <v>0</v>
      </c>
      <c r="T144" s="1" t="s">
        <v>142</v>
      </c>
      <c r="U144" s="1">
        <v>0</v>
      </c>
      <c r="V144" s="1" t="s">
        <v>142</v>
      </c>
      <c r="W144" s="1">
        <v>9.7178812983521574</v>
      </c>
      <c r="X144" s="1" t="s">
        <v>142</v>
      </c>
      <c r="Y144" s="1">
        <v>0</v>
      </c>
      <c r="Z144" s="1" t="s">
        <v>142</v>
      </c>
      <c r="AA144" s="1">
        <v>0</v>
      </c>
      <c r="AB144" s="1" t="s">
        <v>142</v>
      </c>
      <c r="AC144" s="1">
        <v>30</v>
      </c>
      <c r="AD144" s="1" t="s">
        <v>142</v>
      </c>
      <c r="AE144" s="1">
        <v>0</v>
      </c>
      <c r="AF144" s="1" t="s">
        <v>142</v>
      </c>
      <c r="AG144" s="1">
        <v>0</v>
      </c>
      <c r="AH144" s="1" t="s">
        <v>142</v>
      </c>
      <c r="AI144" s="1">
        <v>0</v>
      </c>
      <c r="AJ144" s="14">
        <f t="shared" si="6"/>
        <v>0.3</v>
      </c>
      <c r="AL144">
        <f t="shared" si="7"/>
        <v>9.7176799999999961</v>
      </c>
      <c r="AM144">
        <f t="shared" si="8"/>
        <v>9.7178812983521574</v>
      </c>
      <c r="AN144" s="100"/>
      <c r="AO144" s="11"/>
    </row>
    <row r="145" spans="2:41" x14ac:dyDescent="0.3">
      <c r="B145" s="4" t="s">
        <v>143</v>
      </c>
      <c r="C145" s="1">
        <v>2.35</v>
      </c>
      <c r="D145" s="1" t="s">
        <v>143</v>
      </c>
      <c r="E145" s="1">
        <v>1.8420000000000001</v>
      </c>
      <c r="F145" s="1" t="s">
        <v>143</v>
      </c>
      <c r="G145" s="1">
        <v>0.08</v>
      </c>
      <c r="H145" s="1" t="s">
        <v>143</v>
      </c>
      <c r="I145" s="1">
        <v>0.1</v>
      </c>
      <c r="J145" s="1" t="s">
        <v>143</v>
      </c>
      <c r="K145" s="1">
        <v>2</v>
      </c>
      <c r="L145" s="1" t="s">
        <v>143</v>
      </c>
      <c r="M145">
        <v>6.3999999999999996E-10</v>
      </c>
      <c r="N145" s="1" t="s">
        <v>143</v>
      </c>
      <c r="O145" s="1">
        <v>1.6799999999967952E-3</v>
      </c>
      <c r="P145" s="1" t="s">
        <v>143</v>
      </c>
      <c r="Q145" s="1">
        <v>0</v>
      </c>
      <c r="R145" s="1" t="s">
        <v>143</v>
      </c>
      <c r="S145" s="1">
        <v>0</v>
      </c>
      <c r="T145" s="1" t="s">
        <v>143</v>
      </c>
      <c r="U145" s="1">
        <v>0</v>
      </c>
      <c r="V145" s="1" t="s">
        <v>143</v>
      </c>
      <c r="W145" s="1">
        <v>6.543881298352157</v>
      </c>
      <c r="X145" s="1" t="s">
        <v>143</v>
      </c>
      <c r="Y145" s="1">
        <v>0</v>
      </c>
      <c r="Z145" s="1" t="s">
        <v>143</v>
      </c>
      <c r="AA145" s="1">
        <v>0</v>
      </c>
      <c r="AB145" s="1" t="s">
        <v>143</v>
      </c>
      <c r="AC145" s="1">
        <v>30</v>
      </c>
      <c r="AD145" s="1" t="s">
        <v>143</v>
      </c>
      <c r="AE145" s="1">
        <v>0</v>
      </c>
      <c r="AF145" s="1" t="s">
        <v>143</v>
      </c>
      <c r="AG145" s="1">
        <v>0</v>
      </c>
      <c r="AH145" s="1" t="s">
        <v>143</v>
      </c>
      <c r="AI145" s="1">
        <v>0</v>
      </c>
      <c r="AJ145" s="14">
        <f t="shared" si="6"/>
        <v>0.3</v>
      </c>
      <c r="AL145">
        <f t="shared" si="7"/>
        <v>6.5436799999999966</v>
      </c>
      <c r="AM145">
        <f t="shared" si="8"/>
        <v>6.543881298352157</v>
      </c>
      <c r="AN145" s="100"/>
      <c r="AO145" s="11"/>
    </row>
    <row r="146" spans="2:41" x14ac:dyDescent="0.3">
      <c r="B146" s="4" t="s">
        <v>144</v>
      </c>
      <c r="C146" s="1">
        <v>1.45</v>
      </c>
      <c r="D146" s="1" t="s">
        <v>144</v>
      </c>
      <c r="E146" s="1">
        <v>1.524</v>
      </c>
      <c r="F146" s="1" t="s">
        <v>144</v>
      </c>
      <c r="G146" s="1">
        <v>0.08</v>
      </c>
      <c r="H146" s="1" t="s">
        <v>144</v>
      </c>
      <c r="I146" s="1">
        <v>0.1</v>
      </c>
      <c r="J146" s="1" t="s">
        <v>144</v>
      </c>
      <c r="K146" s="1">
        <v>2</v>
      </c>
      <c r="L146" s="1" t="s">
        <v>144</v>
      </c>
      <c r="M146">
        <v>6.3999999999999996E-10</v>
      </c>
      <c r="N146" s="1" t="s">
        <v>144</v>
      </c>
      <c r="O146" s="1">
        <v>1.6799999999967952E-3</v>
      </c>
      <c r="P146" s="1" t="s">
        <v>144</v>
      </c>
      <c r="Q146" s="1">
        <v>0</v>
      </c>
      <c r="R146" s="1" t="s">
        <v>144</v>
      </c>
      <c r="S146" s="1">
        <v>0</v>
      </c>
      <c r="T146" s="1" t="s">
        <v>144</v>
      </c>
      <c r="U146" s="1">
        <v>0</v>
      </c>
      <c r="V146" s="1" t="s">
        <v>144</v>
      </c>
      <c r="W146" s="1">
        <v>4.4258812983521567</v>
      </c>
      <c r="X146" s="1" t="s">
        <v>144</v>
      </c>
      <c r="Y146" s="1">
        <v>0</v>
      </c>
      <c r="Z146" s="1" t="s">
        <v>144</v>
      </c>
      <c r="AA146" s="1">
        <v>0</v>
      </c>
      <c r="AB146" s="1" t="s">
        <v>144</v>
      </c>
      <c r="AC146" s="1">
        <v>30</v>
      </c>
      <c r="AD146" s="1" t="s">
        <v>144</v>
      </c>
      <c r="AE146" s="1">
        <v>0</v>
      </c>
      <c r="AF146" s="1" t="s">
        <v>144</v>
      </c>
      <c r="AG146" s="1">
        <v>0</v>
      </c>
      <c r="AH146" s="1" t="s">
        <v>144</v>
      </c>
      <c r="AI146" s="1">
        <v>0</v>
      </c>
      <c r="AJ146" s="14">
        <f t="shared" si="6"/>
        <v>0.3</v>
      </c>
      <c r="AL146">
        <f t="shared" si="7"/>
        <v>4.4256799999999963</v>
      </c>
      <c r="AM146">
        <f t="shared" si="8"/>
        <v>4.4258812983521567</v>
      </c>
      <c r="AN146" s="100"/>
      <c r="AO146" s="11"/>
    </row>
    <row r="147" spans="2:41" x14ac:dyDescent="0.3">
      <c r="B147" s="4" t="s">
        <v>145</v>
      </c>
      <c r="C147" s="1">
        <v>0.95</v>
      </c>
      <c r="D147" s="1" t="s">
        <v>145</v>
      </c>
      <c r="E147" s="1">
        <v>1.764</v>
      </c>
      <c r="F147" s="1" t="s">
        <v>145</v>
      </c>
      <c r="G147" s="1">
        <v>0.08</v>
      </c>
      <c r="H147" s="1" t="s">
        <v>145</v>
      </c>
      <c r="I147" s="1">
        <v>0.1</v>
      </c>
      <c r="J147" s="1" t="s">
        <v>145</v>
      </c>
      <c r="K147" s="1">
        <v>2</v>
      </c>
      <c r="L147" s="1" t="s">
        <v>145</v>
      </c>
      <c r="M147">
        <v>6.3999999999999996E-10</v>
      </c>
      <c r="N147" s="1" t="s">
        <v>145</v>
      </c>
      <c r="O147" s="1">
        <v>1.6799999999967952E-3</v>
      </c>
      <c r="P147" s="1" t="s">
        <v>145</v>
      </c>
      <c r="Q147" s="1">
        <v>0</v>
      </c>
      <c r="R147" s="1" t="s">
        <v>145</v>
      </c>
      <c r="S147" s="1">
        <v>0</v>
      </c>
      <c r="T147" s="1" t="s">
        <v>145</v>
      </c>
      <c r="U147" s="1">
        <v>0</v>
      </c>
      <c r="V147" s="1" t="s">
        <v>145</v>
      </c>
      <c r="W147" s="1">
        <v>3.6658812983521574</v>
      </c>
      <c r="X147" s="1" t="s">
        <v>145</v>
      </c>
      <c r="Y147" s="1">
        <v>0</v>
      </c>
      <c r="Z147" s="1" t="s">
        <v>145</v>
      </c>
      <c r="AA147" s="1">
        <v>0</v>
      </c>
      <c r="AB147" s="1" t="s">
        <v>145</v>
      </c>
      <c r="AC147" s="1">
        <v>30</v>
      </c>
      <c r="AD147" s="1" t="s">
        <v>145</v>
      </c>
      <c r="AE147" s="1">
        <v>0</v>
      </c>
      <c r="AF147" s="1" t="s">
        <v>145</v>
      </c>
      <c r="AG147" s="1">
        <v>0</v>
      </c>
      <c r="AH147" s="1" t="s">
        <v>145</v>
      </c>
      <c r="AI147" s="1">
        <v>0</v>
      </c>
      <c r="AJ147" s="14">
        <f t="shared" si="6"/>
        <v>0.3</v>
      </c>
      <c r="AL147">
        <f t="shared" si="7"/>
        <v>3.6656799999999965</v>
      </c>
      <c r="AM147">
        <f t="shared" si="8"/>
        <v>3.6658812983521574</v>
      </c>
      <c r="AN147" s="100"/>
      <c r="AO147" s="11"/>
    </row>
    <row r="148" spans="2:41" x14ac:dyDescent="0.3">
      <c r="B148" s="4" t="s">
        <v>146</v>
      </c>
      <c r="C148" s="1">
        <v>1.33</v>
      </c>
      <c r="D148" s="1" t="s">
        <v>146</v>
      </c>
      <c r="E148" s="1">
        <v>2.4660000000000002</v>
      </c>
      <c r="F148" s="1" t="s">
        <v>146</v>
      </c>
      <c r="G148" s="1">
        <v>0.08</v>
      </c>
      <c r="H148" s="1" t="s">
        <v>146</v>
      </c>
      <c r="I148" s="1">
        <v>0.1</v>
      </c>
      <c r="J148" s="1" t="s">
        <v>146</v>
      </c>
      <c r="K148" s="1">
        <v>2</v>
      </c>
      <c r="L148" s="1" t="s">
        <v>146</v>
      </c>
      <c r="M148">
        <v>6.3999999999999996E-10</v>
      </c>
      <c r="N148" s="1" t="s">
        <v>146</v>
      </c>
      <c r="O148" s="1">
        <v>12.785907822022185</v>
      </c>
      <c r="P148" s="1" t="s">
        <v>146</v>
      </c>
      <c r="Q148" s="1">
        <v>0</v>
      </c>
      <c r="R148" s="1" t="s">
        <v>146</v>
      </c>
      <c r="S148" s="1">
        <v>0</v>
      </c>
      <c r="T148" s="1" t="s">
        <v>146</v>
      </c>
      <c r="U148" s="1">
        <v>0</v>
      </c>
      <c r="V148" s="1" t="s">
        <v>146</v>
      </c>
      <c r="W148" s="1">
        <v>19.443925891882046</v>
      </c>
      <c r="X148" s="1" t="s">
        <v>146</v>
      </c>
      <c r="Y148" s="1">
        <v>0</v>
      </c>
      <c r="Z148" s="1" t="s">
        <v>146</v>
      </c>
      <c r="AA148" s="1">
        <v>0</v>
      </c>
      <c r="AB148" s="1" t="s">
        <v>146</v>
      </c>
      <c r="AC148" s="1">
        <v>42.784227822022189</v>
      </c>
      <c r="AD148" s="1" t="s">
        <v>146</v>
      </c>
      <c r="AE148" s="1">
        <v>0</v>
      </c>
      <c r="AF148" s="1" t="s">
        <v>146</v>
      </c>
      <c r="AG148" s="1">
        <v>0</v>
      </c>
      <c r="AH148" s="1" t="s">
        <v>146</v>
      </c>
      <c r="AI148" s="1">
        <v>0</v>
      </c>
      <c r="AJ148" s="14">
        <f t="shared" si="6"/>
        <v>0.42784227822022186</v>
      </c>
      <c r="AL148">
        <f t="shared" si="7"/>
        <v>17.911907822022187</v>
      </c>
      <c r="AM148">
        <f t="shared" si="8"/>
        <v>19.443925891882046</v>
      </c>
      <c r="AN148" s="100"/>
      <c r="AO148" s="11"/>
    </row>
    <row r="149" spans="2:41" x14ac:dyDescent="0.3">
      <c r="B149" s="4" t="s">
        <v>147</v>
      </c>
      <c r="C149" s="1">
        <v>0.83</v>
      </c>
      <c r="D149" s="1" t="s">
        <v>147</v>
      </c>
      <c r="E149" s="1">
        <v>1.5409999999999999</v>
      </c>
      <c r="F149" s="1" t="s">
        <v>147</v>
      </c>
      <c r="G149" s="1">
        <v>0.08</v>
      </c>
      <c r="H149" s="1" t="s">
        <v>147</v>
      </c>
      <c r="I149" s="1">
        <v>0.1</v>
      </c>
      <c r="J149" s="1" t="s">
        <v>147</v>
      </c>
      <c r="K149" s="1">
        <v>2</v>
      </c>
      <c r="L149" s="1" t="s">
        <v>147</v>
      </c>
      <c r="M149">
        <v>6.3999999999999996E-10</v>
      </c>
      <c r="N149" s="1" t="s">
        <v>147</v>
      </c>
      <c r="O149" s="1">
        <v>19.466507000571522</v>
      </c>
      <c r="P149" s="1" t="s">
        <v>147</v>
      </c>
      <c r="Q149" s="1">
        <v>0</v>
      </c>
      <c r="R149" s="1" t="s">
        <v>147</v>
      </c>
      <c r="S149" s="1">
        <v>0</v>
      </c>
      <c r="T149" s="1" t="s">
        <v>147</v>
      </c>
      <c r="U149" s="1">
        <v>0</v>
      </c>
      <c r="V149" s="1" t="s">
        <v>147</v>
      </c>
      <c r="W149" s="1">
        <v>25</v>
      </c>
      <c r="X149" s="1" t="s">
        <v>147</v>
      </c>
      <c r="Y149" s="1">
        <v>0</v>
      </c>
      <c r="Z149" s="1" t="s">
        <v>147</v>
      </c>
      <c r="AA149" s="1">
        <v>0</v>
      </c>
      <c r="AB149" s="1" t="s">
        <v>147</v>
      </c>
      <c r="AC149" s="1">
        <v>62.248338905835681</v>
      </c>
      <c r="AD149" s="1" t="s">
        <v>147</v>
      </c>
      <c r="AE149" s="1">
        <v>0</v>
      </c>
      <c r="AF149" s="1" t="s">
        <v>147</v>
      </c>
      <c r="AG149" s="1">
        <v>0</v>
      </c>
      <c r="AH149" s="1" t="s">
        <v>147</v>
      </c>
      <c r="AI149" s="1">
        <v>0</v>
      </c>
      <c r="AJ149" s="14">
        <f t="shared" si="6"/>
        <v>0.62248338905835676</v>
      </c>
      <c r="AL149">
        <f t="shared" si="7"/>
        <v>22.667507000571522</v>
      </c>
      <c r="AM149">
        <f t="shared" si="8"/>
        <v>25</v>
      </c>
      <c r="AN149" s="100"/>
      <c r="AO149" s="11"/>
    </row>
    <row r="150" spans="2:41" x14ac:dyDescent="0.3">
      <c r="B150" s="4" t="s">
        <v>148</v>
      </c>
      <c r="C150" s="1">
        <v>0.98</v>
      </c>
      <c r="D150" s="1" t="s">
        <v>148</v>
      </c>
      <c r="E150" s="1">
        <v>1.8340000000000001</v>
      </c>
      <c r="F150" s="1" t="s">
        <v>148</v>
      </c>
      <c r="G150" s="1">
        <v>0.08</v>
      </c>
      <c r="H150" s="1" t="s">
        <v>148</v>
      </c>
      <c r="I150" s="1">
        <v>0.1</v>
      </c>
      <c r="J150" s="1" t="s">
        <v>148</v>
      </c>
      <c r="K150" s="1">
        <v>2</v>
      </c>
      <c r="L150" s="1" t="s">
        <v>148</v>
      </c>
      <c r="M150">
        <v>6.3999999999999996E-10</v>
      </c>
      <c r="N150" s="1" t="s">
        <v>148</v>
      </c>
      <c r="O150" s="1">
        <v>18.936958000571519</v>
      </c>
      <c r="P150" s="1" t="s">
        <v>148</v>
      </c>
      <c r="Q150" s="1">
        <v>0</v>
      </c>
      <c r="R150" s="1" t="s">
        <v>148</v>
      </c>
      <c r="S150" s="1">
        <v>0</v>
      </c>
      <c r="T150" s="1" t="s">
        <v>148</v>
      </c>
      <c r="U150" s="1">
        <v>0</v>
      </c>
      <c r="V150" s="1" t="s">
        <v>148</v>
      </c>
      <c r="W150" s="1">
        <v>25</v>
      </c>
      <c r="X150" s="1" t="s">
        <v>148</v>
      </c>
      <c r="Y150" s="1">
        <v>0</v>
      </c>
      <c r="Z150" s="1" t="s">
        <v>148</v>
      </c>
      <c r="AA150" s="1">
        <v>0</v>
      </c>
      <c r="AB150" s="1" t="s">
        <v>148</v>
      </c>
      <c r="AC150" s="1">
        <v>81.181810999428478</v>
      </c>
      <c r="AD150" s="1" t="s">
        <v>148</v>
      </c>
      <c r="AE150" s="1">
        <v>0</v>
      </c>
      <c r="AF150" s="1" t="s">
        <v>148</v>
      </c>
      <c r="AG150" s="1">
        <v>0</v>
      </c>
      <c r="AH150" s="1" t="s">
        <v>148</v>
      </c>
      <c r="AI150" s="1">
        <v>0</v>
      </c>
      <c r="AJ150" s="14">
        <f t="shared" si="6"/>
        <v>0.81181810999428483</v>
      </c>
      <c r="AL150">
        <f t="shared" si="7"/>
        <v>22.730958000571519</v>
      </c>
      <c r="AM150">
        <f t="shared" si="8"/>
        <v>25</v>
      </c>
      <c r="AN150" s="100"/>
      <c r="AO150" s="11"/>
    </row>
    <row r="151" spans="2:41" x14ac:dyDescent="0.3">
      <c r="B151" s="4" t="s">
        <v>149</v>
      </c>
      <c r="C151" s="1">
        <v>1.02</v>
      </c>
      <c r="D151" s="1" t="s">
        <v>149</v>
      </c>
      <c r="E151" s="1">
        <v>1.887</v>
      </c>
      <c r="F151" s="1" t="s">
        <v>149</v>
      </c>
      <c r="G151" s="1">
        <v>0.08</v>
      </c>
      <c r="H151" s="1" t="s">
        <v>149</v>
      </c>
      <c r="I151" s="1">
        <v>0.1</v>
      </c>
      <c r="J151" s="1" t="s">
        <v>149</v>
      </c>
      <c r="K151" s="1">
        <v>2</v>
      </c>
      <c r="L151" s="1" t="s">
        <v>149</v>
      </c>
      <c r="M151">
        <v>6.3999999999999996E-10</v>
      </c>
      <c r="N151" s="1" t="s">
        <v>149</v>
      </c>
      <c r="O151" s="1">
        <v>18.818189000571522</v>
      </c>
      <c r="P151" s="1" t="s">
        <v>149</v>
      </c>
      <c r="Q151" s="1">
        <v>0</v>
      </c>
      <c r="R151" s="1" t="s">
        <v>149</v>
      </c>
      <c r="S151" s="1">
        <v>0</v>
      </c>
      <c r="T151" s="1" t="s">
        <v>149</v>
      </c>
      <c r="U151" s="1">
        <v>0</v>
      </c>
      <c r="V151" s="1" t="s">
        <v>149</v>
      </c>
      <c r="W151" s="1">
        <v>25</v>
      </c>
      <c r="X151" s="1" t="s">
        <v>149</v>
      </c>
      <c r="Y151" s="1">
        <v>0</v>
      </c>
      <c r="Z151" s="1" t="s">
        <v>149</v>
      </c>
      <c r="AA151" s="1">
        <v>0</v>
      </c>
      <c r="AB151" s="1" t="s">
        <v>149</v>
      </c>
      <c r="AC151" s="1">
        <v>99.995453818584039</v>
      </c>
      <c r="AD151" s="1" t="s">
        <v>149</v>
      </c>
      <c r="AE151" s="1">
        <v>0</v>
      </c>
      <c r="AF151" s="1" t="s">
        <v>149</v>
      </c>
      <c r="AG151" s="1">
        <v>0</v>
      </c>
      <c r="AH151" s="1" t="s">
        <v>149</v>
      </c>
      <c r="AI151" s="1">
        <v>0</v>
      </c>
      <c r="AJ151" s="14">
        <f t="shared" si="6"/>
        <v>0.99995453818584035</v>
      </c>
      <c r="AL151">
        <f t="shared" si="7"/>
        <v>22.745189000571521</v>
      </c>
      <c r="AM151">
        <f t="shared" si="8"/>
        <v>25</v>
      </c>
      <c r="AN151" s="100"/>
      <c r="AO151" s="11"/>
    </row>
    <row r="152" spans="2:41" x14ac:dyDescent="0.3">
      <c r="B152" s="4" t="s">
        <v>150</v>
      </c>
      <c r="C152" s="1">
        <v>0.66</v>
      </c>
      <c r="D152" s="1" t="s">
        <v>150</v>
      </c>
      <c r="E152" s="1">
        <v>1.228</v>
      </c>
      <c r="F152" s="1" t="s">
        <v>150</v>
      </c>
      <c r="G152" s="1">
        <v>0.13</v>
      </c>
      <c r="H152" s="1" t="s">
        <v>150</v>
      </c>
      <c r="I152" s="1">
        <v>0.15</v>
      </c>
      <c r="J152" s="1" t="s">
        <v>150</v>
      </c>
      <c r="K152" s="1">
        <v>2</v>
      </c>
      <c r="L152" s="1" t="s">
        <v>150</v>
      </c>
      <c r="M152">
        <v>6.3999999999999996E-10</v>
      </c>
      <c r="N152" s="1" t="s">
        <v>150</v>
      </c>
      <c r="O152" s="1">
        <v>0</v>
      </c>
      <c r="P152" s="1" t="s">
        <v>150</v>
      </c>
      <c r="Q152" s="1">
        <v>0</v>
      </c>
      <c r="R152" s="1" t="s">
        <v>150</v>
      </c>
      <c r="S152" s="1">
        <v>0</v>
      </c>
      <c r="T152" s="1" t="s">
        <v>150</v>
      </c>
      <c r="U152" s="1">
        <v>2.8311111104000002</v>
      </c>
      <c r="V152" s="1" t="s">
        <v>150</v>
      </c>
      <c r="W152" s="1">
        <v>0</v>
      </c>
      <c r="X152" s="1" t="s">
        <v>150</v>
      </c>
      <c r="Y152" s="1">
        <v>0</v>
      </c>
      <c r="Z152" s="1" t="s">
        <v>150</v>
      </c>
      <c r="AA152" s="1">
        <v>0</v>
      </c>
      <c r="AB152" s="1" t="s">
        <v>150</v>
      </c>
      <c r="AC152" s="1">
        <v>97.158742962770205</v>
      </c>
      <c r="AD152" s="1" t="s">
        <v>150</v>
      </c>
      <c r="AE152" s="1">
        <v>0</v>
      </c>
      <c r="AF152" s="1" t="s">
        <v>150</v>
      </c>
      <c r="AG152" s="1">
        <v>0</v>
      </c>
      <c r="AH152" s="1" t="s">
        <v>150</v>
      </c>
      <c r="AI152" s="1">
        <v>0</v>
      </c>
      <c r="AJ152" s="14">
        <f t="shared" si="6"/>
        <v>0.97158742962770206</v>
      </c>
      <c r="AL152">
        <f t="shared" si="7"/>
        <v>2.548</v>
      </c>
      <c r="AM152">
        <f t="shared" si="8"/>
        <v>2.8311111104000002</v>
      </c>
      <c r="AN152" s="100"/>
      <c r="AO152" s="11"/>
    </row>
    <row r="153" spans="2:41" x14ac:dyDescent="0.3">
      <c r="B153" s="4" t="s">
        <v>151</v>
      </c>
      <c r="C153" s="1">
        <v>0.53</v>
      </c>
      <c r="D153" s="1" t="s">
        <v>151</v>
      </c>
      <c r="E153" s="1">
        <v>1.2929999999999999</v>
      </c>
      <c r="F153" s="1" t="s">
        <v>151</v>
      </c>
      <c r="G153" s="1">
        <v>0.13</v>
      </c>
      <c r="H153" s="1" t="s">
        <v>151</v>
      </c>
      <c r="I153" s="1">
        <v>0.15</v>
      </c>
      <c r="J153" s="1" t="s">
        <v>151</v>
      </c>
      <c r="K153" s="1">
        <v>2</v>
      </c>
      <c r="L153" s="1" t="s">
        <v>151</v>
      </c>
      <c r="M153">
        <v>5.1999999999999996E-10</v>
      </c>
      <c r="N153" s="1" t="s">
        <v>151</v>
      </c>
      <c r="O153" s="1">
        <v>0</v>
      </c>
      <c r="P153" s="1" t="s">
        <v>151</v>
      </c>
      <c r="Q153" s="1">
        <v>0</v>
      </c>
      <c r="R153" s="1" t="s">
        <v>151</v>
      </c>
      <c r="S153" s="1">
        <v>0</v>
      </c>
      <c r="T153" s="1" t="s">
        <v>151</v>
      </c>
      <c r="U153" s="1">
        <v>2.6144444438666663</v>
      </c>
      <c r="V153" s="1" t="s">
        <v>151</v>
      </c>
      <c r="W153" s="1">
        <v>0</v>
      </c>
      <c r="X153" s="1" t="s">
        <v>151</v>
      </c>
      <c r="Y153" s="1">
        <v>0</v>
      </c>
      <c r="Z153" s="1" t="s">
        <v>151</v>
      </c>
      <c r="AA153" s="1">
        <v>0</v>
      </c>
      <c r="AB153" s="1" t="s">
        <v>151</v>
      </c>
      <c r="AC153" s="1">
        <v>94.538857629297638</v>
      </c>
      <c r="AD153" s="1" t="s">
        <v>151</v>
      </c>
      <c r="AE153" s="1">
        <v>0</v>
      </c>
      <c r="AF153" s="1" t="s">
        <v>151</v>
      </c>
      <c r="AG153" s="1">
        <v>0</v>
      </c>
      <c r="AH153" s="1" t="s">
        <v>151</v>
      </c>
      <c r="AI153" s="1">
        <v>0</v>
      </c>
      <c r="AJ153" s="14">
        <f t="shared" si="6"/>
        <v>0.94538857629297635</v>
      </c>
      <c r="AL153">
        <f t="shared" si="7"/>
        <v>2.3529999999999998</v>
      </c>
      <c r="AM153">
        <f t="shared" si="8"/>
        <v>2.6144444438666663</v>
      </c>
      <c r="AN153" s="100"/>
      <c r="AO153" s="11"/>
    </row>
    <row r="154" spans="2:41" x14ac:dyDescent="0.3">
      <c r="B154" s="4" t="s">
        <v>152</v>
      </c>
      <c r="C154" s="1">
        <v>0.63</v>
      </c>
      <c r="D154" s="1" t="s">
        <v>152</v>
      </c>
      <c r="E154" s="1">
        <v>1.548</v>
      </c>
      <c r="F154" s="1" t="s">
        <v>152</v>
      </c>
      <c r="G154" s="1">
        <v>0.13</v>
      </c>
      <c r="H154" s="1" t="s">
        <v>152</v>
      </c>
      <c r="I154" s="1">
        <v>0.15</v>
      </c>
      <c r="J154" s="1" t="s">
        <v>152</v>
      </c>
      <c r="K154" s="1">
        <v>2</v>
      </c>
      <c r="L154" s="1" t="s">
        <v>152</v>
      </c>
      <c r="M154">
        <v>6.8000000000000003E-10</v>
      </c>
      <c r="N154" s="1" t="s">
        <v>152</v>
      </c>
      <c r="O154" s="1">
        <v>0</v>
      </c>
      <c r="P154" s="1" t="s">
        <v>152</v>
      </c>
      <c r="Q154" s="1">
        <v>0</v>
      </c>
      <c r="R154" s="1" t="s">
        <v>152</v>
      </c>
      <c r="S154" s="1">
        <v>0</v>
      </c>
      <c r="T154" s="1" t="s">
        <v>152</v>
      </c>
      <c r="U154" s="1">
        <v>3.1199999992444445</v>
      </c>
      <c r="V154" s="1" t="s">
        <v>152</v>
      </c>
      <c r="W154" s="1">
        <v>0</v>
      </c>
      <c r="X154" s="1" t="s">
        <v>152</v>
      </c>
      <c r="Y154" s="1">
        <v>0</v>
      </c>
      <c r="Z154" s="1" t="s">
        <v>152</v>
      </c>
      <c r="AA154" s="1">
        <v>0</v>
      </c>
      <c r="AB154" s="1" t="s">
        <v>152</v>
      </c>
      <c r="AC154" s="1">
        <v>91.413563454025962</v>
      </c>
      <c r="AD154" s="1" t="s">
        <v>152</v>
      </c>
      <c r="AE154" s="1">
        <v>0</v>
      </c>
      <c r="AF154" s="1" t="s">
        <v>152</v>
      </c>
      <c r="AG154" s="1">
        <v>0</v>
      </c>
      <c r="AH154" s="1" t="s">
        <v>152</v>
      </c>
      <c r="AI154" s="1">
        <v>0</v>
      </c>
      <c r="AJ154" s="14">
        <f t="shared" si="6"/>
        <v>0.91413563454025959</v>
      </c>
      <c r="AL154">
        <f t="shared" si="7"/>
        <v>2.8079999999999998</v>
      </c>
      <c r="AM154">
        <f t="shared" si="8"/>
        <v>3.1199999992444445</v>
      </c>
      <c r="AN154" s="100"/>
      <c r="AO154" s="11"/>
    </row>
    <row r="155" spans="2:41" x14ac:dyDescent="0.3">
      <c r="B155" s="4" t="s">
        <v>153</v>
      </c>
      <c r="C155" s="1">
        <v>1.17</v>
      </c>
      <c r="D155" s="1" t="s">
        <v>153</v>
      </c>
      <c r="E155" s="1">
        <v>4.899</v>
      </c>
      <c r="F155" s="1" t="s">
        <v>153</v>
      </c>
      <c r="G155" s="1">
        <v>0.13</v>
      </c>
      <c r="H155" s="1" t="s">
        <v>153</v>
      </c>
      <c r="I155" s="1">
        <v>0.15</v>
      </c>
      <c r="J155" s="1" t="s">
        <v>153</v>
      </c>
      <c r="K155" s="1">
        <v>2</v>
      </c>
      <c r="L155" s="1" t="s">
        <v>153</v>
      </c>
      <c r="M155">
        <v>9.2799999999999994</v>
      </c>
      <c r="N155" s="1" t="s">
        <v>153</v>
      </c>
      <c r="O155" s="1">
        <v>0</v>
      </c>
      <c r="P155" s="1" t="s">
        <v>153</v>
      </c>
      <c r="Q155" s="1">
        <v>9.2799999999999994</v>
      </c>
      <c r="R155" s="1" t="s">
        <v>153</v>
      </c>
      <c r="S155" s="1">
        <v>0</v>
      </c>
      <c r="T155" s="1" t="s">
        <v>153</v>
      </c>
      <c r="U155" s="1">
        <v>0</v>
      </c>
      <c r="V155" s="1" t="s">
        <v>153</v>
      </c>
      <c r="W155" s="1">
        <v>0</v>
      </c>
      <c r="X155" s="1" t="s">
        <v>153</v>
      </c>
      <c r="Y155" s="1">
        <v>2.0409999999999995</v>
      </c>
      <c r="Z155" s="1" t="s">
        <v>153</v>
      </c>
      <c r="AA155" s="1">
        <v>0</v>
      </c>
      <c r="AB155" s="1" t="s">
        <v>153</v>
      </c>
      <c r="AC155" s="1">
        <v>91.408444294472545</v>
      </c>
      <c r="AD155" s="1" t="s">
        <v>153</v>
      </c>
      <c r="AE155" s="1">
        <v>0</v>
      </c>
      <c r="AF155" s="1" t="s">
        <v>153</v>
      </c>
      <c r="AG155" s="1">
        <v>0</v>
      </c>
      <c r="AH155" s="1" t="s">
        <v>153</v>
      </c>
      <c r="AI155" s="1">
        <v>0</v>
      </c>
      <c r="AJ155" s="14">
        <f t="shared" si="6"/>
        <v>0.91408444294472546</v>
      </c>
      <c r="AL155">
        <f t="shared" si="7"/>
        <v>9.2799999999999994</v>
      </c>
      <c r="AM155">
        <f t="shared" si="8"/>
        <v>9.2799999999999994</v>
      </c>
      <c r="AN155" s="100"/>
      <c r="AO155" s="11"/>
    </row>
    <row r="156" spans="2:41" x14ac:dyDescent="0.3">
      <c r="B156" s="4" t="s">
        <v>154</v>
      </c>
      <c r="C156" s="1">
        <v>3.38</v>
      </c>
      <c r="D156" s="1" t="s">
        <v>154</v>
      </c>
      <c r="E156" s="1">
        <v>7.3029999999999999</v>
      </c>
      <c r="F156" s="1" t="s">
        <v>154</v>
      </c>
      <c r="G156" s="1">
        <v>0.13</v>
      </c>
      <c r="H156" s="1" t="s">
        <v>154</v>
      </c>
      <c r="I156" s="1">
        <v>0.15</v>
      </c>
      <c r="J156" s="1" t="s">
        <v>154</v>
      </c>
      <c r="K156" s="1">
        <v>2</v>
      </c>
      <c r="L156" s="1" t="s">
        <v>154</v>
      </c>
      <c r="M156">
        <v>11.87</v>
      </c>
      <c r="N156" s="1" t="s">
        <v>154</v>
      </c>
      <c r="O156" s="1">
        <v>0</v>
      </c>
      <c r="P156" s="1" t="s">
        <v>154</v>
      </c>
      <c r="Q156" s="1">
        <v>11.87</v>
      </c>
      <c r="R156" s="1" t="s">
        <v>154</v>
      </c>
      <c r="S156" s="1">
        <v>0</v>
      </c>
      <c r="T156" s="1" t="s">
        <v>154</v>
      </c>
      <c r="U156" s="1">
        <v>2.4366666666666674</v>
      </c>
      <c r="V156" s="1" t="s">
        <v>154</v>
      </c>
      <c r="W156" s="1">
        <v>0</v>
      </c>
      <c r="X156" s="1" t="s">
        <v>154</v>
      </c>
      <c r="Y156" s="1">
        <v>0</v>
      </c>
      <c r="Z156" s="1" t="s">
        <v>154</v>
      </c>
      <c r="AA156" s="1">
        <v>0</v>
      </c>
      <c r="AB156" s="1" t="s">
        <v>154</v>
      </c>
      <c r="AC156" s="1">
        <v>88.96665875492539</v>
      </c>
      <c r="AD156" s="1" t="s">
        <v>154</v>
      </c>
      <c r="AE156" s="1">
        <v>0</v>
      </c>
      <c r="AF156" s="1" t="s">
        <v>154</v>
      </c>
      <c r="AG156" s="1">
        <v>0</v>
      </c>
      <c r="AH156" s="1" t="s">
        <v>154</v>
      </c>
      <c r="AI156" s="1">
        <v>0</v>
      </c>
      <c r="AJ156" s="14">
        <f t="shared" si="6"/>
        <v>0.88966658754925387</v>
      </c>
      <c r="AL156">
        <f t="shared" si="7"/>
        <v>14.062999999999999</v>
      </c>
      <c r="AM156">
        <f t="shared" si="8"/>
        <v>14.306666666666667</v>
      </c>
      <c r="AN156" s="100"/>
      <c r="AO156" s="11"/>
    </row>
    <row r="157" spans="2:41" x14ac:dyDescent="0.3">
      <c r="B157" s="4" t="s">
        <v>155</v>
      </c>
      <c r="C157" s="1">
        <v>2.08</v>
      </c>
      <c r="D157" s="1" t="s">
        <v>155</v>
      </c>
      <c r="E157" s="1">
        <v>4.4889999999999999</v>
      </c>
      <c r="F157" s="1" t="s">
        <v>155</v>
      </c>
      <c r="G157" s="1">
        <v>0.13</v>
      </c>
      <c r="H157" s="1" t="s">
        <v>155</v>
      </c>
      <c r="I157" s="1">
        <v>0.15</v>
      </c>
      <c r="J157" s="1" t="s">
        <v>155</v>
      </c>
      <c r="K157" s="1">
        <v>2</v>
      </c>
      <c r="L157" s="1" t="s">
        <v>155</v>
      </c>
      <c r="M157">
        <v>7.63</v>
      </c>
      <c r="N157" s="1" t="s">
        <v>155</v>
      </c>
      <c r="O157" s="1">
        <v>0</v>
      </c>
      <c r="P157" s="1" t="s">
        <v>155</v>
      </c>
      <c r="Q157" s="1">
        <v>7.63</v>
      </c>
      <c r="R157" s="1" t="s">
        <v>155</v>
      </c>
      <c r="S157" s="1">
        <v>0</v>
      </c>
      <c r="T157" s="1" t="s">
        <v>155</v>
      </c>
      <c r="U157" s="1">
        <v>1.1322222222222234</v>
      </c>
      <c r="V157" s="1" t="s">
        <v>155</v>
      </c>
      <c r="W157" s="1">
        <v>0</v>
      </c>
      <c r="X157" s="1" t="s">
        <v>155</v>
      </c>
      <c r="Y157" s="1">
        <v>0</v>
      </c>
      <c r="Z157" s="1" t="s">
        <v>155</v>
      </c>
      <c r="AA157" s="1">
        <v>0</v>
      </c>
      <c r="AB157" s="1" t="s">
        <v>155</v>
      </c>
      <c r="AC157" s="1">
        <v>87.829454399812889</v>
      </c>
      <c r="AD157" s="1" t="s">
        <v>155</v>
      </c>
      <c r="AE157" s="1">
        <v>0</v>
      </c>
      <c r="AF157" s="1" t="s">
        <v>155</v>
      </c>
      <c r="AG157" s="1">
        <v>0</v>
      </c>
      <c r="AH157" s="1" t="s">
        <v>155</v>
      </c>
      <c r="AI157" s="1">
        <v>0</v>
      </c>
      <c r="AJ157" s="14">
        <f t="shared" si="6"/>
        <v>0.8782945439981289</v>
      </c>
      <c r="AL157">
        <f t="shared" si="7"/>
        <v>8.6490000000000009</v>
      </c>
      <c r="AM157">
        <f t="shared" si="8"/>
        <v>8.7622222222222241</v>
      </c>
      <c r="AN157" s="100"/>
      <c r="AO157" s="11"/>
    </row>
    <row r="158" spans="2:41" x14ac:dyDescent="0.3">
      <c r="B158" s="4" t="s">
        <v>156</v>
      </c>
      <c r="C158" s="1">
        <v>1.01</v>
      </c>
      <c r="D158" s="1" t="s">
        <v>156</v>
      </c>
      <c r="E158" s="1">
        <v>0.38500000000000001</v>
      </c>
      <c r="F158" s="1" t="s">
        <v>156</v>
      </c>
      <c r="G158" s="1">
        <v>0.13</v>
      </c>
      <c r="H158" s="1" t="s">
        <v>156</v>
      </c>
      <c r="I158" s="1">
        <v>0.15</v>
      </c>
      <c r="J158" s="1" t="s">
        <v>156</v>
      </c>
      <c r="K158" s="1">
        <v>2</v>
      </c>
      <c r="L158" s="1" t="s">
        <v>156</v>
      </c>
      <c r="M158">
        <v>9.48</v>
      </c>
      <c r="N158" s="1" t="s">
        <v>156</v>
      </c>
      <c r="O158" s="1">
        <v>0</v>
      </c>
      <c r="P158" s="1" t="s">
        <v>156</v>
      </c>
      <c r="Q158" s="1">
        <v>9.48</v>
      </c>
      <c r="R158" s="1" t="s">
        <v>156</v>
      </c>
      <c r="S158" s="1">
        <v>0</v>
      </c>
      <c r="T158" s="1" t="s">
        <v>156</v>
      </c>
      <c r="U158" s="1">
        <v>0</v>
      </c>
      <c r="V158" s="1" t="s">
        <v>156</v>
      </c>
      <c r="W158" s="1">
        <v>0</v>
      </c>
      <c r="X158" s="1" t="s">
        <v>156</v>
      </c>
      <c r="Y158" s="1">
        <v>7.0750000000000002</v>
      </c>
      <c r="Z158" s="1" t="s">
        <v>156</v>
      </c>
      <c r="AA158" s="1">
        <v>0</v>
      </c>
      <c r="AB158" s="1" t="s">
        <v>156</v>
      </c>
      <c r="AC158" s="1">
        <v>87.82453595036651</v>
      </c>
      <c r="AD158" s="1" t="s">
        <v>156</v>
      </c>
      <c r="AE158" s="1">
        <v>0</v>
      </c>
      <c r="AF158" s="1" t="s">
        <v>156</v>
      </c>
      <c r="AG158" s="1">
        <v>0</v>
      </c>
      <c r="AH158" s="1" t="s">
        <v>156</v>
      </c>
      <c r="AI158" s="1">
        <v>0</v>
      </c>
      <c r="AJ158" s="14">
        <f t="shared" si="6"/>
        <v>0.87824535950366511</v>
      </c>
      <c r="AL158">
        <f t="shared" si="7"/>
        <v>9.48</v>
      </c>
      <c r="AM158">
        <f t="shared" si="8"/>
        <v>9.48</v>
      </c>
      <c r="AN158" s="100"/>
      <c r="AO158" s="11"/>
    </row>
    <row r="159" spans="2:41" x14ac:dyDescent="0.3">
      <c r="B159" s="4" t="s">
        <v>157</v>
      </c>
      <c r="C159" s="1">
        <v>3.15</v>
      </c>
      <c r="D159" s="1" t="s">
        <v>157</v>
      </c>
      <c r="E159" s="1">
        <v>0.73199999999999998</v>
      </c>
      <c r="F159" s="1" t="s">
        <v>157</v>
      </c>
      <c r="G159" s="1">
        <v>0.13</v>
      </c>
      <c r="H159" s="1" t="s">
        <v>157</v>
      </c>
      <c r="I159" s="1">
        <v>0.15</v>
      </c>
      <c r="J159" s="1" t="s">
        <v>157</v>
      </c>
      <c r="K159" s="1">
        <v>2</v>
      </c>
      <c r="L159" s="1" t="s">
        <v>157</v>
      </c>
      <c r="M159">
        <v>6.32</v>
      </c>
      <c r="N159" s="1" t="s">
        <v>157</v>
      </c>
      <c r="O159" s="1">
        <v>0</v>
      </c>
      <c r="P159" s="1" t="s">
        <v>157</v>
      </c>
      <c r="Q159" s="1">
        <v>6.32</v>
      </c>
      <c r="R159" s="1" t="s">
        <v>157</v>
      </c>
      <c r="S159" s="1">
        <v>0</v>
      </c>
      <c r="T159" s="1" t="s">
        <v>157</v>
      </c>
      <c r="U159" s="1">
        <v>0.79111111111111043</v>
      </c>
      <c r="V159" s="1" t="s">
        <v>157</v>
      </c>
      <c r="W159" s="1">
        <v>0</v>
      </c>
      <c r="X159" s="1" t="s">
        <v>157</v>
      </c>
      <c r="Y159" s="1">
        <v>0</v>
      </c>
      <c r="Z159" s="1" t="s">
        <v>157</v>
      </c>
      <c r="AA159" s="1">
        <v>0</v>
      </c>
      <c r="AB159" s="1" t="s">
        <v>157</v>
      </c>
      <c r="AC159" s="1">
        <v>87.02850666524219</v>
      </c>
      <c r="AD159" s="1" t="s">
        <v>157</v>
      </c>
      <c r="AE159" s="1">
        <v>0</v>
      </c>
      <c r="AF159" s="1" t="s">
        <v>157</v>
      </c>
      <c r="AG159" s="1">
        <v>0</v>
      </c>
      <c r="AH159" s="1" t="s">
        <v>157</v>
      </c>
      <c r="AI159" s="1">
        <v>0</v>
      </c>
      <c r="AJ159" s="14">
        <f t="shared" si="6"/>
        <v>0.87028506665242189</v>
      </c>
      <c r="AL159">
        <f t="shared" si="7"/>
        <v>7.032</v>
      </c>
      <c r="AM159">
        <f t="shared" si="8"/>
        <v>7.1111111111111107</v>
      </c>
      <c r="AN159" s="100"/>
      <c r="AO159" s="11"/>
    </row>
    <row r="160" spans="2:41" x14ac:dyDescent="0.3">
      <c r="B160" s="4" t="s">
        <v>158</v>
      </c>
      <c r="C160" s="1">
        <v>3.78</v>
      </c>
      <c r="D160" s="1" t="s">
        <v>158</v>
      </c>
      <c r="E160" s="1">
        <v>4.7480000000000002</v>
      </c>
      <c r="F160" s="1" t="s">
        <v>158</v>
      </c>
      <c r="G160" s="1">
        <v>0.13</v>
      </c>
      <c r="H160" s="1" t="s">
        <v>158</v>
      </c>
      <c r="I160" s="1">
        <v>0.15</v>
      </c>
      <c r="J160" s="1" t="s">
        <v>158</v>
      </c>
      <c r="K160" s="1">
        <v>2</v>
      </c>
      <c r="L160" s="1" t="s">
        <v>158</v>
      </c>
      <c r="M160">
        <v>8.3699999999999992</v>
      </c>
      <c r="N160" s="1" t="s">
        <v>158</v>
      </c>
      <c r="O160" s="1">
        <v>0</v>
      </c>
      <c r="P160" s="1" t="s">
        <v>158</v>
      </c>
      <c r="Q160" s="1">
        <v>8.3699999999999992</v>
      </c>
      <c r="R160" s="1" t="s">
        <v>158</v>
      </c>
      <c r="S160" s="1">
        <v>0</v>
      </c>
      <c r="T160" s="1" t="s">
        <v>158</v>
      </c>
      <c r="U160" s="1">
        <v>4.3755555555555574</v>
      </c>
      <c r="V160" s="1" t="s">
        <v>158</v>
      </c>
      <c r="W160" s="1">
        <v>0</v>
      </c>
      <c r="X160" s="1" t="s">
        <v>158</v>
      </c>
      <c r="Y160" s="1">
        <v>0</v>
      </c>
      <c r="Z160" s="1" t="s">
        <v>158</v>
      </c>
      <c r="AA160" s="1">
        <v>0</v>
      </c>
      <c r="AB160" s="1" t="s">
        <v>158</v>
      </c>
      <c r="AC160" s="1">
        <v>82.648077513313382</v>
      </c>
      <c r="AD160" s="1" t="s">
        <v>158</v>
      </c>
      <c r="AE160" s="1">
        <v>0</v>
      </c>
      <c r="AF160" s="1" t="s">
        <v>158</v>
      </c>
      <c r="AG160" s="1">
        <v>0</v>
      </c>
      <c r="AH160" s="1" t="s">
        <v>158</v>
      </c>
      <c r="AI160" s="1">
        <v>0</v>
      </c>
      <c r="AJ160" s="14">
        <f t="shared" si="6"/>
        <v>0.82648077513313378</v>
      </c>
      <c r="AL160">
        <f t="shared" si="7"/>
        <v>12.308</v>
      </c>
      <c r="AM160">
        <f t="shared" si="8"/>
        <v>12.745555555555557</v>
      </c>
      <c r="AN160" s="100"/>
      <c r="AO160" s="11"/>
    </row>
    <row r="161" spans="2:41" x14ac:dyDescent="0.3">
      <c r="B161" s="4" t="s">
        <v>159</v>
      </c>
      <c r="C161" s="1">
        <v>2.0099999999999998</v>
      </c>
      <c r="D161" s="1" t="s">
        <v>159</v>
      </c>
      <c r="E161" s="1">
        <v>4.3440000000000003</v>
      </c>
      <c r="F161" s="1" t="s">
        <v>159</v>
      </c>
      <c r="G161" s="1">
        <v>0.13</v>
      </c>
      <c r="H161" s="1" t="s">
        <v>159</v>
      </c>
      <c r="I161" s="1">
        <v>0.15</v>
      </c>
      <c r="J161" s="1" t="s">
        <v>159</v>
      </c>
      <c r="K161" s="1">
        <v>2</v>
      </c>
      <c r="L161" s="1" t="s">
        <v>159</v>
      </c>
      <c r="M161">
        <v>10.28</v>
      </c>
      <c r="N161" s="1" t="s">
        <v>159</v>
      </c>
      <c r="O161" s="1">
        <v>0</v>
      </c>
      <c r="P161" s="1" t="s">
        <v>159</v>
      </c>
      <c r="Q161" s="1">
        <v>10.28</v>
      </c>
      <c r="R161" s="1" t="s">
        <v>159</v>
      </c>
      <c r="S161" s="1">
        <v>0</v>
      </c>
      <c r="T161" s="1" t="s">
        <v>159</v>
      </c>
      <c r="U161" s="1">
        <v>0</v>
      </c>
      <c r="V161" s="1" t="s">
        <v>159</v>
      </c>
      <c r="W161" s="1">
        <v>0</v>
      </c>
      <c r="X161" s="1" t="s">
        <v>159</v>
      </c>
      <c r="Y161" s="1">
        <v>1.9159999999999986</v>
      </c>
      <c r="Z161" s="1" t="s">
        <v>159</v>
      </c>
      <c r="AA161" s="1">
        <v>0</v>
      </c>
      <c r="AB161" s="1" t="s">
        <v>159</v>
      </c>
      <c r="AC161" s="1">
        <v>82.643449220972641</v>
      </c>
      <c r="AD161" s="1" t="s">
        <v>159</v>
      </c>
      <c r="AE161" s="1">
        <v>0</v>
      </c>
      <c r="AF161" s="1" t="s">
        <v>159</v>
      </c>
      <c r="AG161" s="1">
        <v>0</v>
      </c>
      <c r="AH161" s="1" t="s">
        <v>159</v>
      </c>
      <c r="AI161" s="1">
        <v>0</v>
      </c>
      <c r="AJ161" s="14">
        <f t="shared" si="6"/>
        <v>0.82643449220972642</v>
      </c>
      <c r="AL161">
        <f t="shared" si="7"/>
        <v>10.28</v>
      </c>
      <c r="AM161">
        <f t="shared" si="8"/>
        <v>10.28</v>
      </c>
      <c r="AN161" s="100"/>
      <c r="AO161" s="11"/>
    </row>
    <row r="162" spans="2:41" x14ac:dyDescent="0.3">
      <c r="B162" s="4" t="s">
        <v>160</v>
      </c>
      <c r="C162" s="1">
        <v>3.34</v>
      </c>
      <c r="D162" s="1" t="s">
        <v>160</v>
      </c>
      <c r="E162" s="1">
        <v>7.2190000000000003</v>
      </c>
      <c r="F162" s="1" t="s">
        <v>160</v>
      </c>
      <c r="G162" s="1">
        <v>0.13</v>
      </c>
      <c r="H162" s="1" t="s">
        <v>160</v>
      </c>
      <c r="I162" s="1">
        <v>0.15</v>
      </c>
      <c r="J162" s="1" t="s">
        <v>160</v>
      </c>
      <c r="K162" s="1">
        <v>2</v>
      </c>
      <c r="L162" s="1" t="s">
        <v>160</v>
      </c>
      <c r="M162">
        <v>5.61</v>
      </c>
      <c r="N162" s="1" t="s">
        <v>160</v>
      </c>
      <c r="O162" s="1">
        <v>0</v>
      </c>
      <c r="P162" s="1" t="s">
        <v>160</v>
      </c>
      <c r="Q162" s="1">
        <v>5.61</v>
      </c>
      <c r="R162" s="1" t="s">
        <v>160</v>
      </c>
      <c r="S162" s="1">
        <v>0</v>
      </c>
      <c r="T162" s="1" t="s">
        <v>160</v>
      </c>
      <c r="U162" s="1">
        <v>9.2100000000000009</v>
      </c>
      <c r="V162" s="1" t="s">
        <v>160</v>
      </c>
      <c r="W162" s="1">
        <v>0</v>
      </c>
      <c r="X162" s="1" t="s">
        <v>160</v>
      </c>
      <c r="Y162" s="1">
        <v>0</v>
      </c>
      <c r="Z162" s="1" t="s">
        <v>160</v>
      </c>
      <c r="AA162" s="1">
        <v>0</v>
      </c>
      <c r="AB162" s="1" t="s">
        <v>160</v>
      </c>
      <c r="AC162" s="1">
        <v>73.428821187816283</v>
      </c>
      <c r="AD162" s="1" t="s">
        <v>160</v>
      </c>
      <c r="AE162" s="1">
        <v>0</v>
      </c>
      <c r="AF162" s="1" t="s">
        <v>160</v>
      </c>
      <c r="AG162" s="1">
        <v>0</v>
      </c>
      <c r="AH162" s="1" t="s">
        <v>160</v>
      </c>
      <c r="AI162" s="1">
        <v>0</v>
      </c>
      <c r="AJ162" s="14">
        <f t="shared" si="6"/>
        <v>0.73428821187816284</v>
      </c>
      <c r="AL162">
        <f t="shared" si="7"/>
        <v>13.899000000000001</v>
      </c>
      <c r="AM162">
        <f t="shared" si="8"/>
        <v>14.82</v>
      </c>
      <c r="AN162" s="100"/>
      <c r="AO162" s="11"/>
    </row>
    <row r="163" spans="2:41" x14ac:dyDescent="0.3">
      <c r="B163" s="4" t="s">
        <v>161</v>
      </c>
      <c r="C163" s="1">
        <v>2.57</v>
      </c>
      <c r="D163" s="1" t="s">
        <v>161</v>
      </c>
      <c r="E163" s="1">
        <v>4.6959999999999997</v>
      </c>
      <c r="F163" s="1" t="s">
        <v>161</v>
      </c>
      <c r="G163" s="1">
        <v>0.13</v>
      </c>
      <c r="H163" s="1" t="s">
        <v>161</v>
      </c>
      <c r="I163" s="1">
        <v>0.15</v>
      </c>
      <c r="J163" s="1" t="s">
        <v>161</v>
      </c>
      <c r="K163" s="1">
        <v>2</v>
      </c>
      <c r="L163" s="1" t="s">
        <v>161</v>
      </c>
      <c r="M163">
        <v>6.3E-10</v>
      </c>
      <c r="N163" s="1" t="s">
        <v>161</v>
      </c>
      <c r="O163" s="1">
        <v>0</v>
      </c>
      <c r="P163" s="1" t="s">
        <v>161</v>
      </c>
      <c r="Q163" s="1">
        <v>0</v>
      </c>
      <c r="R163" s="1" t="s">
        <v>161</v>
      </c>
      <c r="S163" s="1">
        <v>0</v>
      </c>
      <c r="T163" s="1" t="s">
        <v>161</v>
      </c>
      <c r="U163" s="1">
        <v>5.4981550050320322</v>
      </c>
      <c r="V163" s="1" t="s">
        <v>161</v>
      </c>
      <c r="W163" s="1">
        <v>4.8876604948411693</v>
      </c>
      <c r="X163" s="1" t="s">
        <v>161</v>
      </c>
      <c r="Y163" s="1">
        <v>0</v>
      </c>
      <c r="Z163" s="1" t="s">
        <v>161</v>
      </c>
      <c r="AA163" s="1">
        <v>0</v>
      </c>
      <c r="AB163" s="1" t="s">
        <v>161</v>
      </c>
      <c r="AC163" s="1">
        <v>67.926554168797736</v>
      </c>
      <c r="AD163" s="1" t="s">
        <v>161</v>
      </c>
      <c r="AE163" s="1">
        <v>0</v>
      </c>
      <c r="AF163" s="1" t="s">
        <v>161</v>
      </c>
      <c r="AG163" s="1">
        <v>0</v>
      </c>
      <c r="AH163" s="1" t="s">
        <v>161</v>
      </c>
      <c r="AI163" s="1">
        <v>0</v>
      </c>
      <c r="AJ163" s="14">
        <f t="shared" si="6"/>
        <v>0.67926554168797737</v>
      </c>
      <c r="AL163">
        <f t="shared" si="7"/>
        <v>9.8359999999999985</v>
      </c>
      <c r="AM163">
        <f t="shared" si="8"/>
        <v>10.385815499873202</v>
      </c>
      <c r="AN163" s="100"/>
      <c r="AO163" s="11"/>
    </row>
    <row r="164" spans="2:41" x14ac:dyDescent="0.3">
      <c r="B164" s="4" t="s">
        <v>162</v>
      </c>
      <c r="C164" s="1">
        <v>2.57</v>
      </c>
      <c r="D164" s="1" t="s">
        <v>162</v>
      </c>
      <c r="E164" s="1">
        <v>2.1030000000000002</v>
      </c>
      <c r="F164" s="1" t="s">
        <v>162</v>
      </c>
      <c r="G164" s="1">
        <v>0.13</v>
      </c>
      <c r="H164" s="1" t="s">
        <v>162</v>
      </c>
      <c r="I164" s="1">
        <v>0.15</v>
      </c>
      <c r="J164" s="1" t="s">
        <v>162</v>
      </c>
      <c r="K164" s="1">
        <v>1</v>
      </c>
      <c r="L164" s="1" t="s">
        <v>162</v>
      </c>
      <c r="M164">
        <v>6.6999999999999996E-10</v>
      </c>
      <c r="N164" s="1" t="s">
        <v>162</v>
      </c>
      <c r="O164" s="1">
        <v>0</v>
      </c>
      <c r="P164" s="1" t="s">
        <v>162</v>
      </c>
      <c r="Q164" s="1">
        <v>0</v>
      </c>
      <c r="R164" s="1" t="s">
        <v>162</v>
      </c>
      <c r="S164" s="1">
        <v>0</v>
      </c>
      <c r="T164" s="1" t="s">
        <v>162</v>
      </c>
      <c r="U164" s="1">
        <v>8.0477777770333336</v>
      </c>
      <c r="V164" s="1" t="s">
        <v>162</v>
      </c>
      <c r="W164" s="1">
        <v>0</v>
      </c>
      <c r="X164" s="1" t="s">
        <v>162</v>
      </c>
      <c r="Y164" s="1">
        <v>0</v>
      </c>
      <c r="Z164" s="1" t="s">
        <v>162</v>
      </c>
      <c r="AA164" s="1">
        <v>0</v>
      </c>
      <c r="AB164" s="1" t="s">
        <v>162</v>
      </c>
      <c r="AC164" s="1">
        <v>59.874972504730955</v>
      </c>
      <c r="AD164" s="1" t="s">
        <v>162</v>
      </c>
      <c r="AE164" s="1">
        <v>0</v>
      </c>
      <c r="AF164" s="1" t="s">
        <v>162</v>
      </c>
      <c r="AG164" s="1">
        <v>0</v>
      </c>
      <c r="AH164" s="1" t="s">
        <v>162</v>
      </c>
      <c r="AI164" s="1">
        <v>0</v>
      </c>
      <c r="AJ164" s="14">
        <f t="shared" si="6"/>
        <v>0.5987497250473095</v>
      </c>
      <c r="AL164">
        <f t="shared" si="7"/>
        <v>7.2430000000000003</v>
      </c>
      <c r="AM164">
        <f t="shared" si="8"/>
        <v>8.0477777770333336</v>
      </c>
      <c r="AN164" s="100"/>
      <c r="AO164" s="11"/>
    </row>
    <row r="165" spans="2:41" x14ac:dyDescent="0.3">
      <c r="B165" s="4" t="s">
        <v>163</v>
      </c>
      <c r="C165" s="1">
        <v>1.85</v>
      </c>
      <c r="D165" s="1" t="s">
        <v>163</v>
      </c>
      <c r="E165" s="1">
        <v>2.4540000000000002</v>
      </c>
      <c r="F165" s="1" t="s">
        <v>163</v>
      </c>
      <c r="G165" s="1">
        <v>0.13</v>
      </c>
      <c r="H165" s="1" t="s">
        <v>163</v>
      </c>
      <c r="I165" s="1">
        <v>0.15</v>
      </c>
      <c r="J165" s="1" t="s">
        <v>163</v>
      </c>
      <c r="K165" s="1">
        <v>1</v>
      </c>
      <c r="L165" s="1" t="s">
        <v>163</v>
      </c>
      <c r="M165">
        <v>6.3999999999999996E-10</v>
      </c>
      <c r="N165" s="1" t="s">
        <v>163</v>
      </c>
      <c r="O165" s="1">
        <v>0</v>
      </c>
      <c r="P165" s="1" t="s">
        <v>163</v>
      </c>
      <c r="Q165" s="1">
        <v>0</v>
      </c>
      <c r="R165" s="1" t="s">
        <v>163</v>
      </c>
      <c r="S165" s="1">
        <v>0</v>
      </c>
      <c r="T165" s="1" t="s">
        <v>163</v>
      </c>
      <c r="U165" s="1">
        <v>6.837777777066667</v>
      </c>
      <c r="V165" s="1" t="s">
        <v>163</v>
      </c>
      <c r="W165" s="1">
        <v>0</v>
      </c>
      <c r="X165" s="1" t="s">
        <v>163</v>
      </c>
      <c r="Y165" s="1">
        <v>0</v>
      </c>
      <c r="Z165" s="1" t="s">
        <v>163</v>
      </c>
      <c r="AA165" s="1">
        <v>0</v>
      </c>
      <c r="AB165" s="1" t="s">
        <v>163</v>
      </c>
      <c r="AC165" s="1">
        <v>53.033841729204028</v>
      </c>
      <c r="AD165" s="1" t="s">
        <v>163</v>
      </c>
      <c r="AE165" s="1">
        <v>0</v>
      </c>
      <c r="AF165" s="1" t="s">
        <v>163</v>
      </c>
      <c r="AG165" s="1">
        <v>0</v>
      </c>
      <c r="AH165" s="1" t="s">
        <v>163</v>
      </c>
      <c r="AI165" s="1">
        <v>0</v>
      </c>
      <c r="AJ165" s="14">
        <f t="shared" si="6"/>
        <v>0.53033841729204023</v>
      </c>
      <c r="AL165">
        <f t="shared" si="7"/>
        <v>6.1539999999999999</v>
      </c>
      <c r="AM165">
        <f t="shared" si="8"/>
        <v>6.837777777066667</v>
      </c>
      <c r="AN165" s="100"/>
      <c r="AO165" s="11"/>
    </row>
    <row r="166" spans="2:41" x14ac:dyDescent="0.3">
      <c r="B166" s="4" t="s">
        <v>164</v>
      </c>
      <c r="C166" s="1">
        <v>6.71</v>
      </c>
      <c r="D166" s="1" t="s">
        <v>164</v>
      </c>
      <c r="E166" s="1">
        <v>2.4390000000000001</v>
      </c>
      <c r="F166" s="1" t="s">
        <v>164</v>
      </c>
      <c r="G166" s="1">
        <v>0.13</v>
      </c>
      <c r="H166" s="1" t="s">
        <v>164</v>
      </c>
      <c r="I166" s="1">
        <v>0.15</v>
      </c>
      <c r="J166" s="1" t="s">
        <v>164</v>
      </c>
      <c r="K166" s="1">
        <v>1</v>
      </c>
      <c r="L166" s="1" t="s">
        <v>164</v>
      </c>
      <c r="M166">
        <v>6.3999999999999996E-10</v>
      </c>
      <c r="N166" s="1" t="s">
        <v>164</v>
      </c>
      <c r="O166" s="1">
        <v>0</v>
      </c>
      <c r="P166" s="1" t="s">
        <v>164</v>
      </c>
      <c r="Q166" s="1">
        <v>0</v>
      </c>
      <c r="R166" s="1" t="s">
        <v>164</v>
      </c>
      <c r="S166" s="1">
        <v>0</v>
      </c>
      <c r="T166" s="1" t="s">
        <v>164</v>
      </c>
      <c r="U166" s="1">
        <v>17.621111110400001</v>
      </c>
      <c r="V166" s="1" t="s">
        <v>164</v>
      </c>
      <c r="W166" s="1">
        <v>0</v>
      </c>
      <c r="X166" s="1" t="s">
        <v>164</v>
      </c>
      <c r="Y166" s="1">
        <v>0</v>
      </c>
      <c r="Z166" s="1" t="s">
        <v>164</v>
      </c>
      <c r="AA166" s="1">
        <v>0</v>
      </c>
      <c r="AB166" s="1" t="s">
        <v>164</v>
      </c>
      <c r="AC166" s="1">
        <v>35.409760723667191</v>
      </c>
      <c r="AD166" s="1" t="s">
        <v>164</v>
      </c>
      <c r="AE166" s="1">
        <v>0</v>
      </c>
      <c r="AF166" s="1" t="s">
        <v>164</v>
      </c>
      <c r="AG166" s="1">
        <v>0</v>
      </c>
      <c r="AH166" s="1" t="s">
        <v>164</v>
      </c>
      <c r="AI166" s="1">
        <v>0</v>
      </c>
      <c r="AJ166" s="14">
        <f t="shared" si="6"/>
        <v>0.35409760723667189</v>
      </c>
      <c r="AL166">
        <f t="shared" si="7"/>
        <v>15.859</v>
      </c>
      <c r="AM166">
        <f t="shared" si="8"/>
        <v>17.621111110400001</v>
      </c>
      <c r="AN166" s="100"/>
      <c r="AO166" s="11"/>
    </row>
    <row r="167" spans="2:41" x14ac:dyDescent="0.3">
      <c r="B167" s="4" t="s">
        <v>165</v>
      </c>
      <c r="C167" s="1">
        <v>2.1800000000000002</v>
      </c>
      <c r="D167" s="1" t="s">
        <v>165</v>
      </c>
      <c r="E167" s="1">
        <v>0.50700000000000001</v>
      </c>
      <c r="F167" s="1" t="s">
        <v>165</v>
      </c>
      <c r="G167" s="1">
        <v>0.13</v>
      </c>
      <c r="H167" s="1" t="s">
        <v>165</v>
      </c>
      <c r="I167" s="1">
        <v>0.15</v>
      </c>
      <c r="J167" s="1" t="s">
        <v>165</v>
      </c>
      <c r="K167" s="1">
        <v>1</v>
      </c>
      <c r="L167" s="1" t="s">
        <v>165</v>
      </c>
      <c r="M167">
        <v>6.3999999999999996E-10</v>
      </c>
      <c r="N167" s="1" t="s">
        <v>165</v>
      </c>
      <c r="O167" s="1">
        <v>0</v>
      </c>
      <c r="P167" s="1" t="s">
        <v>165</v>
      </c>
      <c r="Q167" s="1">
        <v>0</v>
      </c>
      <c r="R167" s="1" t="s">
        <v>165</v>
      </c>
      <c r="S167" s="1">
        <v>0</v>
      </c>
      <c r="T167" s="1" t="s">
        <v>165</v>
      </c>
      <c r="U167" s="1">
        <v>5.4077777770666664</v>
      </c>
      <c r="V167" s="1" t="s">
        <v>165</v>
      </c>
      <c r="W167" s="1">
        <v>0</v>
      </c>
      <c r="X167" s="1" t="s">
        <v>165</v>
      </c>
      <c r="Y167" s="1">
        <v>0</v>
      </c>
      <c r="Z167" s="1" t="s">
        <v>165</v>
      </c>
      <c r="AA167" s="1">
        <v>0</v>
      </c>
      <c r="AB167" s="1" t="s">
        <v>165</v>
      </c>
      <c r="AC167" s="1">
        <v>30</v>
      </c>
      <c r="AD167" s="1" t="s">
        <v>165</v>
      </c>
      <c r="AE167" s="1">
        <v>0</v>
      </c>
      <c r="AF167" s="1" t="s">
        <v>165</v>
      </c>
      <c r="AG167" s="1">
        <v>0</v>
      </c>
      <c r="AH167" s="1" t="s">
        <v>165</v>
      </c>
      <c r="AI167" s="1">
        <v>0</v>
      </c>
      <c r="AJ167" s="14">
        <f t="shared" si="6"/>
        <v>0.3</v>
      </c>
      <c r="AL167">
        <f t="shared" si="7"/>
        <v>4.867</v>
      </c>
      <c r="AM167">
        <f t="shared" si="8"/>
        <v>5.4077777770666664</v>
      </c>
      <c r="AN167" s="100"/>
      <c r="AO167" s="11"/>
    </row>
    <row r="168" spans="2:41" x14ac:dyDescent="0.3">
      <c r="B168" s="4" t="s">
        <v>166</v>
      </c>
      <c r="C168" s="1">
        <v>2.58</v>
      </c>
      <c r="D168" s="1" t="s">
        <v>166</v>
      </c>
      <c r="E168" s="1">
        <v>1.5980000000000001</v>
      </c>
      <c r="F168" s="1" t="s">
        <v>166</v>
      </c>
      <c r="G168" s="1">
        <v>0.08</v>
      </c>
      <c r="H168" s="1" t="s">
        <v>166</v>
      </c>
      <c r="I168" s="1">
        <v>0.1</v>
      </c>
      <c r="J168" s="1" t="s">
        <v>166</v>
      </c>
      <c r="K168" s="1">
        <v>2</v>
      </c>
      <c r="L168" s="1" t="s">
        <v>166</v>
      </c>
      <c r="M168">
        <v>6.3999999999999996E-10</v>
      </c>
      <c r="N168" s="1" t="s">
        <v>166</v>
      </c>
      <c r="O168" s="1">
        <v>1.6799999999967952E-3</v>
      </c>
      <c r="P168" s="1" t="s">
        <v>166</v>
      </c>
      <c r="Q168" s="1">
        <v>0</v>
      </c>
      <c r="R168" s="1" t="s">
        <v>166</v>
      </c>
      <c r="S168" s="1">
        <v>0</v>
      </c>
      <c r="T168" s="1" t="s">
        <v>166</v>
      </c>
      <c r="U168" s="1">
        <v>0</v>
      </c>
      <c r="V168" s="1" t="s">
        <v>166</v>
      </c>
      <c r="W168" s="1">
        <v>6.7598812983521572</v>
      </c>
      <c r="X168" s="1" t="s">
        <v>166</v>
      </c>
      <c r="Y168" s="1">
        <v>0</v>
      </c>
      <c r="Z168" s="1" t="s">
        <v>166</v>
      </c>
      <c r="AA168" s="1">
        <v>0</v>
      </c>
      <c r="AB168" s="1" t="s">
        <v>166</v>
      </c>
      <c r="AC168" s="1">
        <v>30</v>
      </c>
      <c r="AD168" s="1" t="s">
        <v>166</v>
      </c>
      <c r="AE168" s="1">
        <v>0</v>
      </c>
      <c r="AF168" s="1" t="s">
        <v>166</v>
      </c>
      <c r="AG168" s="1">
        <v>0</v>
      </c>
      <c r="AH168" s="1" t="s">
        <v>166</v>
      </c>
      <c r="AI168" s="1">
        <v>0</v>
      </c>
      <c r="AJ168" s="14">
        <f t="shared" si="6"/>
        <v>0.3</v>
      </c>
      <c r="AL168">
        <f t="shared" si="7"/>
        <v>6.7596799999999968</v>
      </c>
      <c r="AM168">
        <f t="shared" si="8"/>
        <v>6.7598812983521572</v>
      </c>
      <c r="AN168" s="100"/>
      <c r="AO168" s="11"/>
    </row>
    <row r="169" spans="2:41" x14ac:dyDescent="0.3">
      <c r="B169" s="4" t="s">
        <v>167</v>
      </c>
      <c r="C169" s="1">
        <v>1.81</v>
      </c>
      <c r="D169" s="1" t="s">
        <v>167</v>
      </c>
      <c r="E169" s="1">
        <v>1.4219999999999999</v>
      </c>
      <c r="F169" s="1" t="s">
        <v>167</v>
      </c>
      <c r="G169" s="1">
        <v>0.08</v>
      </c>
      <c r="H169" s="1" t="s">
        <v>167</v>
      </c>
      <c r="I169" s="1">
        <v>0.1</v>
      </c>
      <c r="J169" s="1" t="s">
        <v>167</v>
      </c>
      <c r="K169" s="1">
        <v>2</v>
      </c>
      <c r="L169" s="1" t="s">
        <v>167</v>
      </c>
      <c r="M169">
        <v>6.3999999999999996E-10</v>
      </c>
      <c r="N169" s="1" t="s">
        <v>167</v>
      </c>
      <c r="O169" s="1">
        <v>1.6799999999967952E-3</v>
      </c>
      <c r="P169" s="1" t="s">
        <v>167</v>
      </c>
      <c r="Q169" s="1">
        <v>0</v>
      </c>
      <c r="R169" s="1" t="s">
        <v>167</v>
      </c>
      <c r="S169" s="1">
        <v>0</v>
      </c>
      <c r="T169" s="1" t="s">
        <v>167</v>
      </c>
      <c r="U169" s="1">
        <v>0</v>
      </c>
      <c r="V169" s="1" t="s">
        <v>167</v>
      </c>
      <c r="W169" s="1">
        <v>5.043881298352157</v>
      </c>
      <c r="X169" s="1" t="s">
        <v>167</v>
      </c>
      <c r="Y169" s="1">
        <v>0</v>
      </c>
      <c r="Z169" s="1" t="s">
        <v>167</v>
      </c>
      <c r="AA169" s="1">
        <v>0</v>
      </c>
      <c r="AB169" s="1" t="s">
        <v>167</v>
      </c>
      <c r="AC169" s="1">
        <v>30</v>
      </c>
      <c r="AD169" s="1" t="s">
        <v>167</v>
      </c>
      <c r="AE169" s="1">
        <v>0</v>
      </c>
      <c r="AF169" s="1" t="s">
        <v>167</v>
      </c>
      <c r="AG169" s="1">
        <v>0</v>
      </c>
      <c r="AH169" s="1" t="s">
        <v>167</v>
      </c>
      <c r="AI169" s="1">
        <v>0</v>
      </c>
      <c r="AJ169" s="14">
        <f t="shared" si="6"/>
        <v>0.3</v>
      </c>
      <c r="AL169">
        <f t="shared" si="7"/>
        <v>5.0436799999999966</v>
      </c>
      <c r="AM169">
        <f t="shared" si="8"/>
        <v>5.043881298352157</v>
      </c>
      <c r="AN169" s="100"/>
      <c r="AO169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A170-2B7B-473A-9731-E1376AEC3094}">
  <dimension ref="A1:AT169"/>
  <sheetViews>
    <sheetView topLeftCell="V1" workbookViewId="0">
      <selection activeCell="I158" sqref="I158"/>
    </sheetView>
  </sheetViews>
  <sheetFormatPr defaultRowHeight="14.4" x14ac:dyDescent="0.3"/>
  <cols>
    <col min="2" max="2" width="7.6640625" customWidth="1"/>
    <col min="4" max="4" width="12.5546875" customWidth="1"/>
    <col min="6" max="6" width="10.6640625" customWidth="1"/>
    <col min="9" max="9" width="13" customWidth="1"/>
    <col min="14" max="17" width="3.33203125" style="83" customWidth="1"/>
    <col min="18" max="18" width="21.109375" customWidth="1"/>
    <col min="19" max="19" width="11.88671875" customWidth="1"/>
    <col min="20" max="20" width="18.5546875" bestFit="1" customWidth="1"/>
    <col min="21" max="21" width="24" customWidth="1"/>
    <col min="22" max="22" width="19.44140625" customWidth="1"/>
    <col min="23" max="23" width="18.5546875" bestFit="1" customWidth="1"/>
    <col min="24" max="24" width="10.6640625" customWidth="1"/>
    <col min="25" max="25" width="18.33203125" customWidth="1"/>
    <col min="27" max="27" width="14.109375" customWidth="1"/>
    <col min="28" max="28" width="12.109375" customWidth="1"/>
    <col min="29" max="29" width="11.44140625" customWidth="1"/>
    <col min="31" max="31" width="12.33203125" customWidth="1"/>
    <col min="32" max="33" width="9.5546875" bestFit="1" customWidth="1"/>
    <col min="34" max="36" width="11.33203125" customWidth="1"/>
    <col min="39" max="39" width="10.6640625" customWidth="1"/>
    <col min="42" max="45" width="13.6640625" customWidth="1"/>
    <col min="46" max="46" width="16.88671875" style="108" customWidth="1"/>
  </cols>
  <sheetData>
    <row r="1" spans="1:46" x14ac:dyDescent="0.3">
      <c r="A1" s="6"/>
      <c r="B1" s="70" t="str">
        <f>undergrid!C1</f>
        <v>d_loadA</v>
      </c>
      <c r="C1" s="71" t="s">
        <v>209</v>
      </c>
      <c r="D1" s="71" t="s">
        <v>246</v>
      </c>
      <c r="E1" s="72" t="s">
        <v>254</v>
      </c>
      <c r="F1" s="70" t="str">
        <f>undergrid!E1</f>
        <v>d_loadB</v>
      </c>
      <c r="G1" s="71" t="s">
        <v>243</v>
      </c>
      <c r="H1" s="71" t="s">
        <v>247</v>
      </c>
      <c r="I1" s="72" t="s">
        <v>253</v>
      </c>
      <c r="J1" s="70" t="str">
        <f>undergrid!G1</f>
        <v>p_grid_export</v>
      </c>
      <c r="K1" s="79">
        <f>undergrid!H1</f>
        <v>0</v>
      </c>
      <c r="L1" s="70" t="str">
        <f>undergrid!I1</f>
        <v>c_grid_import</v>
      </c>
      <c r="M1" s="79">
        <f>undergrid!J1</f>
        <v>0</v>
      </c>
      <c r="N1" s="80" t="str">
        <f>undergrid!K1</f>
        <v>xi</v>
      </c>
      <c r="O1" s="80">
        <f>undergrid!L1</f>
        <v>0</v>
      </c>
      <c r="P1" s="80" t="str">
        <f>undergrid!M1</f>
        <v>E_PV</v>
      </c>
      <c r="Q1" s="80"/>
      <c r="R1" s="70" t="str">
        <f>undergrid!O1</f>
        <v>BESS_Charge</v>
      </c>
      <c r="S1" s="84" t="s">
        <v>248</v>
      </c>
      <c r="T1" s="79" t="s">
        <v>245</v>
      </c>
      <c r="U1" s="70" t="str">
        <f>undergrid!Q1</f>
        <v>PV_output</v>
      </c>
      <c r="V1" s="85" t="s">
        <v>213</v>
      </c>
      <c r="W1" s="70" t="str">
        <f>undergrid!S1</f>
        <v>Diesel_output</v>
      </c>
      <c r="X1" s="85" t="s">
        <v>242</v>
      </c>
      <c r="Y1" s="70" t="str">
        <f>undergrid!U1</f>
        <v>BESS_Discharge</v>
      </c>
      <c r="Z1" s="71" t="s">
        <v>241</v>
      </c>
      <c r="AA1" s="79" t="s">
        <v>244</v>
      </c>
      <c r="AB1" s="70" t="str">
        <f>undergrid!W1</f>
        <v>Grid_import</v>
      </c>
      <c r="AC1" s="85" t="s">
        <v>240</v>
      </c>
      <c r="AD1" s="70" t="str">
        <f>undergrid!Y1</f>
        <v>Grid_Export</v>
      </c>
      <c r="AE1" s="72" t="s">
        <v>255</v>
      </c>
      <c r="AF1" s="70" t="str">
        <f>undergrid!AA1</f>
        <v>e_NSE_A</v>
      </c>
      <c r="AG1" s="79" t="str">
        <f>undergrid!AE1</f>
        <v>e_NSE_B</v>
      </c>
      <c r="AH1" s="92" t="s">
        <v>250</v>
      </c>
      <c r="AI1" s="92" t="s">
        <v>251</v>
      </c>
      <c r="AJ1" s="92" t="s">
        <v>252</v>
      </c>
      <c r="AK1" s="92"/>
      <c r="AL1" s="1"/>
      <c r="AM1" s="86" t="s">
        <v>279</v>
      </c>
      <c r="AN1" s="87" t="s">
        <v>280</v>
      </c>
      <c r="AO1" s="88" t="s">
        <v>281</v>
      </c>
      <c r="AP1" s="91" t="s">
        <v>249</v>
      </c>
      <c r="AQ1" s="95"/>
      <c r="AR1" s="115" t="s">
        <v>257</v>
      </c>
      <c r="AS1" s="116" t="s">
        <v>271</v>
      </c>
      <c r="AT1" s="113" t="s">
        <v>270</v>
      </c>
    </row>
    <row r="2" spans="1:46" ht="15" thickBot="1" x14ac:dyDescent="0.35">
      <c r="A2" s="4" t="str">
        <f>undergrid!B2</f>
        <v>h001</v>
      </c>
      <c r="B2" s="73">
        <f>undergrid!C2*2</f>
        <v>3.5</v>
      </c>
      <c r="C2" s="74">
        <f>undergrid!$AQ$2*Costs!B2</f>
        <v>1.75</v>
      </c>
      <c r="D2" s="74">
        <f>B2-AF2</f>
        <v>3.5</v>
      </c>
      <c r="E2" s="75">
        <f>D2*undergrid!$AQ$2</f>
        <v>1.75</v>
      </c>
      <c r="F2" s="73">
        <f>undergrid!E2</f>
        <v>1.84</v>
      </c>
      <c r="G2" s="74">
        <f>F2*undergrid!$AQ$3</f>
        <v>0.25760000000000005</v>
      </c>
      <c r="H2" s="74">
        <f>F2-AG2</f>
        <v>1.84</v>
      </c>
      <c r="I2" s="75">
        <f>H2*undergrid!$AQ$3</f>
        <v>0.25760000000000005</v>
      </c>
      <c r="J2" s="73">
        <f>undergrid!G2</f>
        <v>0.08</v>
      </c>
      <c r="K2" s="75">
        <f t="shared" ref="K2:K66" si="0">AD2*J2</f>
        <v>0</v>
      </c>
      <c r="L2" s="73">
        <f>undergrid!I2</f>
        <v>0.1</v>
      </c>
      <c r="M2" s="75">
        <f t="shared" ref="M2:M66" si="1">L2*AB2</f>
        <v>0.53399999995500003</v>
      </c>
      <c r="N2" s="81">
        <f>undergrid!K2</f>
        <v>2</v>
      </c>
      <c r="O2" s="82"/>
      <c r="P2" s="81">
        <f>undergrid!M2</f>
        <v>4.5E-10</v>
      </c>
      <c r="R2" s="104">
        <f>undergrid!O2</f>
        <v>0</v>
      </c>
      <c r="S2" s="105">
        <f>R2*undergrid!$AQ$5</f>
        <v>0</v>
      </c>
      <c r="T2" s="106">
        <f>R2*(1-Graphs!$AD$1)</f>
        <v>0</v>
      </c>
      <c r="U2" s="104">
        <f>undergrid!Q2</f>
        <v>0</v>
      </c>
      <c r="V2" s="106">
        <f>IF(U2&lt;0.001,0,P2*undergrid!$AQ$4)</f>
        <v>0</v>
      </c>
      <c r="W2" s="104">
        <f>undergrid!S2</f>
        <v>0</v>
      </c>
      <c r="X2" s="106">
        <f>IF(undergrid!AI2&gt;0,(undergrid!$AQ$7*W2+undergrid!$AQ$8*undergrid!$AQ$9)*undergrid!$AQ$6,0)+undergrid!AG2*undergrid!$AQ$10</f>
        <v>0</v>
      </c>
      <c r="Y2" s="104">
        <f>undergrid!U2</f>
        <v>0</v>
      </c>
      <c r="Z2" s="74">
        <f>Y2*undergrid!$AQ$5</f>
        <v>0</v>
      </c>
      <c r="AA2" s="75">
        <f>Y2*(1-Graphs!$AD$2)</f>
        <v>0</v>
      </c>
      <c r="AB2" s="73">
        <f>undergrid!W2</f>
        <v>5.3399999995499998</v>
      </c>
      <c r="AC2" s="75">
        <f>L2*AB2</f>
        <v>0.53399999995500003</v>
      </c>
      <c r="AD2" s="73">
        <f>undergrid!Y2</f>
        <v>0</v>
      </c>
      <c r="AE2" s="75">
        <f>AD2*J2</f>
        <v>0</v>
      </c>
      <c r="AF2" s="109">
        <f>undergrid!AA2</f>
        <v>0</v>
      </c>
      <c r="AG2" s="110">
        <f>undergrid!AE2</f>
        <v>0</v>
      </c>
      <c r="AH2" s="93">
        <f>IF(AND(R2&gt;0.001,U2&gt;AD2+D2+H2),U2-AD2-D2-H2,0)</f>
        <v>0</v>
      </c>
      <c r="AI2" s="93">
        <f>IF(AND(R2&gt;0.001,U2&lt;AD2+D2+H2,W2&gt;AD2+D2+H2-U2),W2-AD2-D2-H2+U2,0)</f>
        <v>0</v>
      </c>
      <c r="AJ2" s="93">
        <f>IF(AND(R2&gt;0.001,U2&lt;AD2+D2+H2,AB2&gt;AD2+D2+H2-U2),AB2-AD2-D2-H2+U2,0)</f>
        <v>0</v>
      </c>
      <c r="AK2" s="93">
        <f>IF(AH2&gt;0.00001,undergrid!$AM$4,IF(Costs!AI2&gt;0.0001,((undergrid!$AQ$7*W2+undergrid!$AQ$8*undergrid!$AQ$9)*undergrid!$AQ$6)/W2,IF(Costs!AJ2&gt;0.0001,Costs!L2,0)))</f>
        <v>0</v>
      </c>
      <c r="AL2" s="1">
        <v>1</v>
      </c>
      <c r="AM2" s="121">
        <f t="shared" ref="AM2:AM33" si="2">E2+I2+AE2</f>
        <v>2.0076000000000001</v>
      </c>
      <c r="AN2" s="122">
        <f>-(AC2+Z2+X2+S2+V2)</f>
        <v>-0.53399999995500003</v>
      </c>
      <c r="AO2" s="123">
        <f>AM2+AN2</f>
        <v>1.473600000045</v>
      </c>
      <c r="AP2" s="94">
        <f>SUM(AO2:AO169)</f>
        <v>461.71001580521346</v>
      </c>
      <c r="AQ2" s="96"/>
      <c r="AR2" s="114">
        <f>D2+H2+R2+AD2</f>
        <v>5.34</v>
      </c>
      <c r="AS2" s="32">
        <f>U2+W2+Y2+AB2</f>
        <v>5.3399999995499998</v>
      </c>
      <c r="AT2" s="33">
        <f>AS2-AR2</f>
        <v>-4.5000003723316695E-10</v>
      </c>
    </row>
    <row r="3" spans="1:46" ht="15" thickBot="1" x14ac:dyDescent="0.35">
      <c r="A3" s="4" t="str">
        <f>undergrid!B3</f>
        <v>h002</v>
      </c>
      <c r="B3" s="73">
        <f>undergrid!C3*2</f>
        <v>1.92</v>
      </c>
      <c r="C3" s="74">
        <f>undergrid!$AQ$2*Costs!B3</f>
        <v>0.96</v>
      </c>
      <c r="D3" s="74">
        <f t="shared" ref="D3:D66" si="3">B3-AF3</f>
        <v>1.92</v>
      </c>
      <c r="E3" s="75">
        <f>D3*undergrid!$AQ$2</f>
        <v>0.96</v>
      </c>
      <c r="F3" s="73">
        <f>undergrid!E3</f>
        <v>1.7769999999999999</v>
      </c>
      <c r="G3" s="74">
        <f>F3*undergrid!$AQ$3</f>
        <v>0.24878</v>
      </c>
      <c r="H3" s="74">
        <f t="shared" ref="H3:H66" si="4">F3-AG3</f>
        <v>1.7769999999999999</v>
      </c>
      <c r="I3" s="75">
        <f>H3*undergrid!$AQ$3</f>
        <v>0.24878</v>
      </c>
      <c r="J3" s="73">
        <f>undergrid!G3</f>
        <v>0.08</v>
      </c>
      <c r="K3" s="75">
        <f t="shared" si="0"/>
        <v>0</v>
      </c>
      <c r="L3" s="73">
        <f>undergrid!I3</f>
        <v>0.1</v>
      </c>
      <c r="M3" s="75">
        <f t="shared" si="1"/>
        <v>0.36969999995500002</v>
      </c>
      <c r="N3" s="81">
        <f>undergrid!K3</f>
        <v>2</v>
      </c>
      <c r="O3" s="82"/>
      <c r="P3" s="81">
        <f>undergrid!M3</f>
        <v>4.5E-10</v>
      </c>
      <c r="Q3" s="82"/>
      <c r="R3" s="73">
        <f>undergrid!O3</f>
        <v>0</v>
      </c>
      <c r="S3" s="74">
        <f>R3*undergrid!$AQ$5</f>
        <v>0</v>
      </c>
      <c r="T3" s="75">
        <f>R3*(1-Graphs!$AD$1)</f>
        <v>0</v>
      </c>
      <c r="U3" s="73">
        <f>undergrid!Q3</f>
        <v>0</v>
      </c>
      <c r="V3" s="75">
        <f>IF(U3&lt;0.001,0,P3*undergrid!$AQ$4)</f>
        <v>0</v>
      </c>
      <c r="W3" s="73">
        <f>undergrid!S3</f>
        <v>0</v>
      </c>
      <c r="X3" s="106">
        <f>IF(undergrid!AI3&gt;0,(undergrid!$AQ$7*W3+undergrid!$AQ$8*undergrid!$AQ$9)*undergrid!$AQ$6,0)+undergrid!AG3*undergrid!$AQ$10</f>
        <v>0</v>
      </c>
      <c r="Y3" s="73">
        <f>undergrid!U3</f>
        <v>0</v>
      </c>
      <c r="Z3" s="74">
        <f>Y3*undergrid!$AQ$5</f>
        <v>0</v>
      </c>
      <c r="AA3" s="75">
        <f>Y3*(1-Graphs!$AD$2)</f>
        <v>0</v>
      </c>
      <c r="AB3" s="73">
        <f>undergrid!W3</f>
        <v>3.69699999955</v>
      </c>
      <c r="AC3" s="75">
        <f t="shared" ref="AC3:AC66" si="5">L3*AB3</f>
        <v>0.36969999995500002</v>
      </c>
      <c r="AD3" s="73">
        <f>undergrid!Y3</f>
        <v>0</v>
      </c>
      <c r="AE3" s="75">
        <f t="shared" ref="AE3:AE66" si="6">AD3*J3</f>
        <v>0</v>
      </c>
      <c r="AF3" s="109">
        <f>undergrid!AA3</f>
        <v>0</v>
      </c>
      <c r="AG3" s="110">
        <f>undergrid!AE3</f>
        <v>0</v>
      </c>
      <c r="AH3" s="93">
        <f t="shared" ref="AH3:AH66" si="7">IF(AND(R3&gt;0.001,U3&gt;AD3+D3+H3),U3-AD3-D3-H3,0)</f>
        <v>0</v>
      </c>
      <c r="AI3" s="93">
        <f t="shared" ref="AI3:AI66" si="8">IF(AND(R3&gt;0.001,U3&lt;AD3+D3+H3,W3&gt;AD3+D3+H3-U3),W3-AD3-D3-H3+U3,0)</f>
        <v>0</v>
      </c>
      <c r="AJ3" s="93">
        <f t="shared" ref="AJ3:AJ66" si="9">IF(AND(R3&gt;0.001,U3&lt;AD3+D3+H3,AB3&gt;AD3+D3+H3-U3),AB3-AD3-D3-H3+U3,0)</f>
        <v>0</v>
      </c>
      <c r="AK3" s="93">
        <f>IF(AH3&gt;0.00001,undergrid!$AM$4,IF(Costs!AI3&gt;0.0001,((undergrid!$AQ$7*W3+undergrid!$AQ$8*undergrid!$AQ$9)*undergrid!$AQ$6)/W3,IF(Costs!AJ3&gt;0.0001,Costs!L3,0)))</f>
        <v>0</v>
      </c>
      <c r="AL3" s="1">
        <v>2</v>
      </c>
      <c r="AM3" s="121">
        <f t="shared" si="2"/>
        <v>1.20878</v>
      </c>
      <c r="AN3" s="122">
        <f t="shared" ref="AN3:AN66" si="10">-(AC3+Z3+X3+S3+V3)</f>
        <v>-0.36969999995500002</v>
      </c>
      <c r="AO3" s="123">
        <f t="shared" ref="AO3:AO66" si="11">AM3+AN3</f>
        <v>0.83908000004499994</v>
      </c>
      <c r="AP3" s="94">
        <f>welfare!B2</f>
        <v>494.73016215807615</v>
      </c>
      <c r="AQ3" s="96"/>
      <c r="AR3" s="114">
        <f t="shared" ref="AR3:AR66" si="12">D3+H3+R3+AD3</f>
        <v>3.6970000000000001</v>
      </c>
      <c r="AS3" s="32">
        <f t="shared" ref="AS3:AS66" si="13">U3+W3+Y3+AB3</f>
        <v>3.69699999955</v>
      </c>
      <c r="AT3" s="33">
        <f t="shared" ref="AT3:AT33" si="14">AS3-AR3</f>
        <v>-4.5000003723316695E-10</v>
      </c>
    </row>
    <row r="4" spans="1:46" x14ac:dyDescent="0.3">
      <c r="A4" s="4" t="str">
        <f>undergrid!B4</f>
        <v>h003</v>
      </c>
      <c r="B4" s="73">
        <f>undergrid!C4*2</f>
        <v>2.82</v>
      </c>
      <c r="C4" s="74">
        <f>undergrid!$AQ$2*Costs!B4</f>
        <v>1.41</v>
      </c>
      <c r="D4" s="74">
        <f t="shared" si="3"/>
        <v>2.82</v>
      </c>
      <c r="E4" s="75">
        <f>D4*undergrid!$AQ$2</f>
        <v>1.41</v>
      </c>
      <c r="F4" s="73">
        <f>undergrid!E4</f>
        <v>2.617</v>
      </c>
      <c r="G4" s="74">
        <f>F4*undergrid!$AQ$3</f>
        <v>0.36638000000000004</v>
      </c>
      <c r="H4" s="74">
        <f t="shared" si="4"/>
        <v>2.617</v>
      </c>
      <c r="I4" s="75">
        <f>H4*undergrid!$AQ$3</f>
        <v>0.36638000000000004</v>
      </c>
      <c r="J4" s="73">
        <f>undergrid!G4</f>
        <v>0.08</v>
      </c>
      <c r="K4" s="75">
        <f t="shared" si="0"/>
        <v>0</v>
      </c>
      <c r="L4" s="73">
        <f>undergrid!I4</f>
        <v>0.1</v>
      </c>
      <c r="M4" s="75">
        <f t="shared" si="1"/>
        <v>0.6331708047859268</v>
      </c>
      <c r="N4" s="81">
        <f>undergrid!K4</f>
        <v>2</v>
      </c>
      <c r="O4" s="82"/>
      <c r="P4" s="81">
        <f>undergrid!M4</f>
        <v>4.5E-10</v>
      </c>
      <c r="Q4" s="82"/>
      <c r="R4" s="73">
        <f>undergrid!O4</f>
        <v>0.79897428714017593</v>
      </c>
      <c r="S4" s="74">
        <f>R4*undergrid!$AQ$5</f>
        <v>3.1958971485607036E-6</v>
      </c>
      <c r="T4" s="75">
        <f>R4*(1-Graphs!$AD$1)</f>
        <v>3.9948714357008835E-2</v>
      </c>
      <c r="U4" s="73">
        <f>undergrid!Q4</f>
        <v>0</v>
      </c>
      <c r="V4" s="75">
        <f>IF(U4&lt;0.001,0,P4*undergrid!$AQ$4)</f>
        <v>0</v>
      </c>
      <c r="W4" s="73">
        <f>undergrid!S4</f>
        <v>0</v>
      </c>
      <c r="X4" s="106">
        <f>IF(undergrid!AI4&gt;0,(undergrid!$AQ$7*W4+undergrid!$AQ$8*undergrid!$AQ$9)*undergrid!$AQ$6,0)+undergrid!AG4*undergrid!$AQ$10</f>
        <v>0</v>
      </c>
      <c r="Y4" s="73">
        <f>undergrid!U4</f>
        <v>0</v>
      </c>
      <c r="Z4" s="74">
        <f>Y4*undergrid!$AQ$5</f>
        <v>0</v>
      </c>
      <c r="AA4" s="75">
        <f>Y4*(1-Graphs!$AD$2)</f>
        <v>0</v>
      </c>
      <c r="AB4" s="73">
        <f>undergrid!W4</f>
        <v>6.3317080478592676</v>
      </c>
      <c r="AC4" s="75">
        <f t="shared" si="5"/>
        <v>0.6331708047859268</v>
      </c>
      <c r="AD4" s="73">
        <f>undergrid!Y4</f>
        <v>0</v>
      </c>
      <c r="AE4" s="75">
        <f t="shared" si="6"/>
        <v>0</v>
      </c>
      <c r="AF4" s="109">
        <f>undergrid!AA4</f>
        <v>0</v>
      </c>
      <c r="AG4" s="110">
        <f>undergrid!AE4</f>
        <v>0</v>
      </c>
      <c r="AH4" s="93">
        <f t="shared" si="7"/>
        <v>0</v>
      </c>
      <c r="AI4" s="93">
        <f t="shared" si="8"/>
        <v>0</v>
      </c>
      <c r="AJ4" s="93">
        <f t="shared" si="9"/>
        <v>0.89470804785926772</v>
      </c>
      <c r="AK4" s="93">
        <f>IF(AH4&gt;0.00001,undergrid!$AM$4,IF(Costs!AI4&gt;0.0001,((undergrid!$AQ$7*W4+undergrid!$AQ$8*undergrid!$AQ$9)*undergrid!$AQ$6)/W4,IF(Costs!AJ4&gt;0.0001,Costs!L4,0)))</f>
        <v>0.1</v>
      </c>
      <c r="AL4" s="1">
        <v>3</v>
      </c>
      <c r="AM4" s="121">
        <f t="shared" si="2"/>
        <v>1.7763800000000001</v>
      </c>
      <c r="AN4" s="122">
        <f t="shared" si="10"/>
        <v>-0.63317400068307539</v>
      </c>
      <c r="AO4" s="123">
        <f t="shared" si="11"/>
        <v>1.1432059993169248</v>
      </c>
      <c r="AR4" s="114">
        <f t="shared" si="12"/>
        <v>6.2359742871401753</v>
      </c>
      <c r="AS4" s="32">
        <f t="shared" si="13"/>
        <v>6.3317080478592676</v>
      </c>
      <c r="AT4" s="33">
        <f t="shared" si="14"/>
        <v>9.5733760719092231E-2</v>
      </c>
    </row>
    <row r="5" spans="1:46" x14ac:dyDescent="0.3">
      <c r="A5" s="4" t="str">
        <f>undergrid!B5</f>
        <v>h004</v>
      </c>
      <c r="B5" s="73">
        <f>undergrid!C5*2</f>
        <v>3.46</v>
      </c>
      <c r="C5" s="74">
        <f>undergrid!$AQ$2*Costs!B5</f>
        <v>1.73</v>
      </c>
      <c r="D5" s="74">
        <f t="shared" si="3"/>
        <v>3.46</v>
      </c>
      <c r="E5" s="75">
        <f>D5*undergrid!$AQ$2</f>
        <v>1.73</v>
      </c>
      <c r="F5" s="73">
        <f>undergrid!E5</f>
        <v>3.2280000000000002</v>
      </c>
      <c r="G5" s="74">
        <f>F5*undergrid!$AQ$3</f>
        <v>0.45192000000000004</v>
      </c>
      <c r="H5" s="74">
        <f t="shared" si="4"/>
        <v>3.2280000000000002</v>
      </c>
      <c r="I5" s="75">
        <f>H5*undergrid!$AQ$3</f>
        <v>0.45192000000000004</v>
      </c>
      <c r="J5" s="73">
        <f>undergrid!G5</f>
        <v>0.08</v>
      </c>
      <c r="K5" s="75">
        <f t="shared" si="0"/>
        <v>0</v>
      </c>
      <c r="L5" s="73">
        <f>undergrid!I5</f>
        <v>0.1</v>
      </c>
      <c r="M5" s="75">
        <f t="shared" si="1"/>
        <v>2.5</v>
      </c>
      <c r="N5" s="81">
        <f>undergrid!K5</f>
        <v>2</v>
      </c>
      <c r="O5" s="82"/>
      <c r="P5" s="81">
        <f>undergrid!M5</f>
        <v>4.5E-10</v>
      </c>
      <c r="Q5" s="82"/>
      <c r="R5" s="73">
        <f>undergrid!O5</f>
        <v>16.352616000401849</v>
      </c>
      <c r="S5" s="74">
        <f>R5*undergrid!$AQ$5</f>
        <v>6.5410464001607385E-5</v>
      </c>
      <c r="T5" s="75">
        <f>R5*(1-Graphs!$AD$1)</f>
        <v>0.81763080002009314</v>
      </c>
      <c r="U5" s="73">
        <f>undergrid!Q5</f>
        <v>0</v>
      </c>
      <c r="V5" s="75">
        <f>IF(U5&lt;0.001,0,P5*undergrid!$AQ$4)</f>
        <v>0</v>
      </c>
      <c r="W5" s="73">
        <f>undergrid!S5</f>
        <v>0</v>
      </c>
      <c r="X5" s="106">
        <f>IF(undergrid!AI5&gt;0,(undergrid!$AQ$7*W5+undergrid!$AQ$8*undergrid!$AQ$9)*undergrid!$AQ$6,0)+undergrid!AG5*undergrid!$AQ$10</f>
        <v>0</v>
      </c>
      <c r="Y5" s="73">
        <f>undergrid!U5</f>
        <v>0</v>
      </c>
      <c r="Z5" s="74">
        <f>Y5*undergrid!$AQ$5</f>
        <v>0</v>
      </c>
      <c r="AA5" s="75">
        <f>Y5*(1-Graphs!$AD$2)</f>
        <v>0</v>
      </c>
      <c r="AB5" s="73">
        <f>undergrid!W5</f>
        <v>25</v>
      </c>
      <c r="AC5" s="75">
        <f t="shared" si="5"/>
        <v>2.5</v>
      </c>
      <c r="AD5" s="73">
        <f>undergrid!Y5</f>
        <v>0</v>
      </c>
      <c r="AE5" s="75">
        <f t="shared" si="6"/>
        <v>0</v>
      </c>
      <c r="AF5" s="109">
        <f>undergrid!AA5</f>
        <v>0</v>
      </c>
      <c r="AG5" s="110">
        <f>undergrid!AE5</f>
        <v>0</v>
      </c>
      <c r="AH5" s="93">
        <f t="shared" si="7"/>
        <v>0</v>
      </c>
      <c r="AI5" s="93">
        <f t="shared" si="8"/>
        <v>0</v>
      </c>
      <c r="AJ5" s="93">
        <f t="shared" si="9"/>
        <v>18.311999999999998</v>
      </c>
      <c r="AK5" s="93">
        <f>IF(AH5&gt;0.00001,undergrid!$AM$4,IF(Costs!AI5&gt;0.0001,((undergrid!$AQ$7*W5+undergrid!$AQ$8*undergrid!$AQ$9)*undergrid!$AQ$6)/W5,IF(Costs!AJ5&gt;0.0001,Costs!L5,0)))</f>
        <v>0.1</v>
      </c>
      <c r="AL5" s="1">
        <v>4</v>
      </c>
      <c r="AM5" s="121">
        <f t="shared" si="2"/>
        <v>2.1819199999999999</v>
      </c>
      <c r="AN5" s="122">
        <f t="shared" si="10"/>
        <v>-2.5000654104640017</v>
      </c>
      <c r="AO5" s="123">
        <f t="shared" si="11"/>
        <v>-0.3181454104640018</v>
      </c>
      <c r="AP5" s="97">
        <f>MAX(AO2:AO169)</f>
        <v>10.639905422222224</v>
      </c>
      <c r="AR5" s="114">
        <f t="shared" si="12"/>
        <v>23.040616000401847</v>
      </c>
      <c r="AS5" s="32">
        <f t="shared" si="13"/>
        <v>25</v>
      </c>
      <c r="AT5" s="33">
        <f t="shared" si="14"/>
        <v>1.9593839995981526</v>
      </c>
    </row>
    <row r="6" spans="1:46" x14ac:dyDescent="0.3">
      <c r="A6" s="4" t="str">
        <f>undergrid!B6</f>
        <v>h005</v>
      </c>
      <c r="B6" s="73">
        <f>undergrid!C6*2</f>
        <v>3.48</v>
      </c>
      <c r="C6" s="74">
        <f>undergrid!$AQ$2*Costs!B6</f>
        <v>1.74</v>
      </c>
      <c r="D6" s="74">
        <f t="shared" si="3"/>
        <v>3.48</v>
      </c>
      <c r="E6" s="75">
        <f>D6*undergrid!$AQ$2</f>
        <v>1.74</v>
      </c>
      <c r="F6" s="73">
        <f>undergrid!E6</f>
        <v>3.242</v>
      </c>
      <c r="G6" s="74">
        <f>F6*undergrid!$AQ$3</f>
        <v>0.45388000000000006</v>
      </c>
      <c r="H6" s="74">
        <f t="shared" si="4"/>
        <v>3.242</v>
      </c>
      <c r="I6" s="75">
        <f>H6*undergrid!$AQ$3</f>
        <v>0.45388000000000006</v>
      </c>
      <c r="J6" s="73">
        <f>undergrid!G6</f>
        <v>0.08</v>
      </c>
      <c r="K6" s="75">
        <f t="shared" si="0"/>
        <v>0</v>
      </c>
      <c r="L6" s="73">
        <f>undergrid!I6</f>
        <v>0.1</v>
      </c>
      <c r="M6" s="75">
        <f t="shared" si="1"/>
        <v>2.5</v>
      </c>
      <c r="N6" s="81">
        <f>undergrid!K6</f>
        <v>2</v>
      </c>
      <c r="O6" s="82"/>
      <c r="P6" s="81">
        <f>undergrid!M6</f>
        <v>4.5E-10</v>
      </c>
      <c r="Q6" s="82"/>
      <c r="R6" s="73">
        <f>undergrid!O6</f>
        <v>16.322254000401848</v>
      </c>
      <c r="S6" s="74">
        <f>R6*undergrid!$AQ$5</f>
        <v>6.5289016001607392E-5</v>
      </c>
      <c r="T6" s="75">
        <f>R6*(1-Graphs!$AD$1)</f>
        <v>0.81611270002009317</v>
      </c>
      <c r="U6" s="73">
        <f>undergrid!Q6</f>
        <v>0</v>
      </c>
      <c r="V6" s="75">
        <f>IF(U6&lt;0.001,0,P6*undergrid!$AQ$4)</f>
        <v>0</v>
      </c>
      <c r="W6" s="73">
        <f>undergrid!S6</f>
        <v>0</v>
      </c>
      <c r="X6" s="106">
        <f>IF(undergrid!AI6&gt;0,(undergrid!$AQ$7*W6+undergrid!$AQ$8*undergrid!$AQ$9)*undergrid!$AQ$6,0)+undergrid!AG6*undergrid!$AQ$10</f>
        <v>0</v>
      </c>
      <c r="Y6" s="73">
        <f>undergrid!U6</f>
        <v>0</v>
      </c>
      <c r="Z6" s="74">
        <f>Y6*undergrid!$AQ$5</f>
        <v>0</v>
      </c>
      <c r="AA6" s="75">
        <f>Y6*(1-Graphs!$AD$2)</f>
        <v>0</v>
      </c>
      <c r="AB6" s="73">
        <f>undergrid!W6</f>
        <v>25</v>
      </c>
      <c r="AC6" s="75">
        <f t="shared" si="5"/>
        <v>2.5</v>
      </c>
      <c r="AD6" s="73">
        <f>undergrid!Y6</f>
        <v>0</v>
      </c>
      <c r="AE6" s="75">
        <f t="shared" si="6"/>
        <v>0</v>
      </c>
      <c r="AF6" s="109">
        <f>undergrid!AA6</f>
        <v>0</v>
      </c>
      <c r="AG6" s="110">
        <f>undergrid!AE6</f>
        <v>0</v>
      </c>
      <c r="AH6" s="93">
        <f t="shared" si="7"/>
        <v>0</v>
      </c>
      <c r="AI6" s="93">
        <f t="shared" si="8"/>
        <v>0</v>
      </c>
      <c r="AJ6" s="93">
        <f t="shared" si="9"/>
        <v>18.277999999999999</v>
      </c>
      <c r="AK6" s="93">
        <f>IF(AH6&gt;0.00001,undergrid!$AM$4,IF(Costs!AI6&gt;0.0001,((undergrid!$AQ$7*W6+undergrid!$AQ$8*undergrid!$AQ$9)*undergrid!$AQ$6)/W6,IF(Costs!AJ6&gt;0.0001,Costs!L6,0)))</f>
        <v>0.1</v>
      </c>
      <c r="AL6" s="1">
        <v>5</v>
      </c>
      <c r="AM6" s="121">
        <f t="shared" si="2"/>
        <v>2.1938800000000001</v>
      </c>
      <c r="AN6" s="122">
        <f t="shared" si="10"/>
        <v>-2.5000652890160016</v>
      </c>
      <c r="AO6" s="123">
        <f t="shared" si="11"/>
        <v>-0.30618528901600151</v>
      </c>
      <c r="AR6" s="114">
        <f t="shared" si="12"/>
        <v>23.04425400040185</v>
      </c>
      <c r="AS6" s="32">
        <f t="shared" si="13"/>
        <v>25</v>
      </c>
      <c r="AT6" s="33">
        <f t="shared" si="14"/>
        <v>1.9557459995981503</v>
      </c>
    </row>
    <row r="7" spans="1:46" x14ac:dyDescent="0.3">
      <c r="A7" s="4" t="str">
        <f>undergrid!B7</f>
        <v>h006</v>
      </c>
      <c r="B7" s="73">
        <f>undergrid!C7*2</f>
        <v>3.36</v>
      </c>
      <c r="C7" s="74">
        <f>undergrid!$AQ$2*Costs!B7</f>
        <v>1.68</v>
      </c>
      <c r="D7" s="74">
        <f t="shared" si="3"/>
        <v>3.36</v>
      </c>
      <c r="E7" s="75">
        <f>D7*undergrid!$AQ$2</f>
        <v>1.68</v>
      </c>
      <c r="F7" s="73">
        <f>undergrid!E7</f>
        <v>3.12</v>
      </c>
      <c r="G7" s="74">
        <f>F7*undergrid!$AQ$3</f>
        <v>0.43680000000000008</v>
      </c>
      <c r="H7" s="74">
        <f t="shared" si="4"/>
        <v>3.12</v>
      </c>
      <c r="I7" s="75">
        <f>H7*undergrid!$AQ$3</f>
        <v>0.43680000000000008</v>
      </c>
      <c r="J7" s="73">
        <f>undergrid!G7</f>
        <v>0.08</v>
      </c>
      <c r="K7" s="75">
        <f t="shared" si="0"/>
        <v>0</v>
      </c>
      <c r="L7" s="73">
        <f>undergrid!I7</f>
        <v>0.1</v>
      </c>
      <c r="M7" s="75">
        <f t="shared" si="1"/>
        <v>2.5</v>
      </c>
      <c r="N7" s="81">
        <f>undergrid!K7</f>
        <v>2</v>
      </c>
      <c r="O7" s="82"/>
      <c r="P7" s="81">
        <f>undergrid!M7</f>
        <v>4.5E-10</v>
      </c>
      <c r="Q7" s="82"/>
      <c r="R7" s="73">
        <f>undergrid!O7</f>
        <v>16.538360000401852</v>
      </c>
      <c r="S7" s="74">
        <f>R7*undergrid!$AQ$5</f>
        <v>6.6153440001607403E-5</v>
      </c>
      <c r="T7" s="75">
        <f>R7*(1-Graphs!$AD$1)</f>
        <v>0.8269180000200933</v>
      </c>
      <c r="U7" s="73">
        <f>undergrid!Q7</f>
        <v>0</v>
      </c>
      <c r="V7" s="75">
        <f>IF(U7&lt;0.001,0,P7*undergrid!$AQ$4)</f>
        <v>0</v>
      </c>
      <c r="W7" s="73">
        <f>undergrid!S7</f>
        <v>0</v>
      </c>
      <c r="X7" s="106">
        <f>IF(undergrid!AI7&gt;0,(undergrid!$AQ$7*W7+undergrid!$AQ$8*undergrid!$AQ$9)*undergrid!$AQ$6,0)+undergrid!AG7*undergrid!$AQ$10</f>
        <v>0</v>
      </c>
      <c r="Y7" s="73">
        <f>undergrid!U7</f>
        <v>0</v>
      </c>
      <c r="Z7" s="74">
        <f>Y7*undergrid!$AQ$5</f>
        <v>0</v>
      </c>
      <c r="AA7" s="75">
        <f>Y7*(1-Graphs!$AD$2)</f>
        <v>0</v>
      </c>
      <c r="AB7" s="73">
        <f>undergrid!W7</f>
        <v>25</v>
      </c>
      <c r="AC7" s="75">
        <f t="shared" si="5"/>
        <v>2.5</v>
      </c>
      <c r="AD7" s="73">
        <f>undergrid!Y7</f>
        <v>0</v>
      </c>
      <c r="AE7" s="75">
        <f t="shared" si="6"/>
        <v>0</v>
      </c>
      <c r="AF7" s="109">
        <f>undergrid!AA7</f>
        <v>0</v>
      </c>
      <c r="AG7" s="110">
        <f>undergrid!AE7</f>
        <v>0</v>
      </c>
      <c r="AH7" s="93">
        <f t="shared" si="7"/>
        <v>0</v>
      </c>
      <c r="AI7" s="93">
        <f t="shared" si="8"/>
        <v>0</v>
      </c>
      <c r="AJ7" s="93">
        <f t="shared" si="9"/>
        <v>18.52</v>
      </c>
      <c r="AK7" s="93">
        <f>IF(AH7&gt;0.00001,undergrid!$AM$4,IF(Costs!AI7&gt;0.0001,((undergrid!$AQ$7*W7+undergrid!$AQ$8*undergrid!$AQ$9)*undergrid!$AQ$6)/W7,IF(Costs!AJ7&gt;0.0001,Costs!L7,0)))</f>
        <v>0.1</v>
      </c>
      <c r="AL7" s="1">
        <v>6</v>
      </c>
      <c r="AM7" s="121">
        <f t="shared" si="2"/>
        <v>2.1168</v>
      </c>
      <c r="AN7" s="122">
        <f t="shared" si="10"/>
        <v>-2.5000661534400015</v>
      </c>
      <c r="AO7" s="123">
        <f t="shared" si="11"/>
        <v>-0.38326615344000148</v>
      </c>
      <c r="AR7" s="114">
        <f t="shared" si="12"/>
        <v>23.018360000401852</v>
      </c>
      <c r="AS7" s="32">
        <f t="shared" si="13"/>
        <v>25</v>
      </c>
      <c r="AT7" s="33">
        <f t="shared" si="14"/>
        <v>1.9816399995981477</v>
      </c>
    </row>
    <row r="8" spans="1:46" x14ac:dyDescent="0.3">
      <c r="A8" s="4" t="str">
        <f>undergrid!B8</f>
        <v>h007</v>
      </c>
      <c r="B8" s="73">
        <f>undergrid!C8*2</f>
        <v>2.48</v>
      </c>
      <c r="C8" s="74">
        <f>undergrid!$AQ$2*Costs!B8</f>
        <v>1.24</v>
      </c>
      <c r="D8" s="74">
        <f t="shared" si="3"/>
        <v>2.48</v>
      </c>
      <c r="E8" s="75">
        <f>D8*undergrid!$AQ$2</f>
        <v>1.24</v>
      </c>
      <c r="F8" s="73">
        <f>undergrid!E8</f>
        <v>2.3079999999999998</v>
      </c>
      <c r="G8" s="74">
        <f>F8*undergrid!$AQ$3</f>
        <v>0.32312000000000002</v>
      </c>
      <c r="H8" s="74">
        <f t="shared" si="4"/>
        <v>2.3079999999999998</v>
      </c>
      <c r="I8" s="75">
        <f>H8*undergrid!$AQ$3</f>
        <v>0.32312000000000002</v>
      </c>
      <c r="J8" s="73">
        <f>undergrid!G8</f>
        <v>0.13</v>
      </c>
      <c r="K8" s="75">
        <f t="shared" si="0"/>
        <v>0</v>
      </c>
      <c r="L8" s="73">
        <f>undergrid!I8</f>
        <v>0.15</v>
      </c>
      <c r="M8" s="75">
        <f t="shared" si="1"/>
        <v>0.71819999993250005</v>
      </c>
      <c r="N8" s="81">
        <f>undergrid!K8</f>
        <v>2</v>
      </c>
      <c r="O8" s="82"/>
      <c r="P8" s="81">
        <f>undergrid!M8</f>
        <v>4.5E-10</v>
      </c>
      <c r="Q8" s="82"/>
      <c r="R8" s="73">
        <f>undergrid!O8</f>
        <v>0</v>
      </c>
      <c r="S8" s="74">
        <f>R8*undergrid!$AQ$5</f>
        <v>0</v>
      </c>
      <c r="T8" s="75">
        <f>R8*(1-Graphs!$AD$1)</f>
        <v>0</v>
      </c>
      <c r="U8" s="73">
        <f>undergrid!Q8</f>
        <v>0</v>
      </c>
      <c r="V8" s="75">
        <f>IF(U8&lt;0.001,0,P8*undergrid!$AQ$4)</f>
        <v>0</v>
      </c>
      <c r="W8" s="73">
        <f>undergrid!S8</f>
        <v>0</v>
      </c>
      <c r="X8" s="106">
        <f>IF(undergrid!AI8&gt;0,(undergrid!$AQ$7*W8+undergrid!$AQ$8*undergrid!$AQ$9)*undergrid!$AQ$6,0)+undergrid!AG8*undergrid!$AQ$10</f>
        <v>0</v>
      </c>
      <c r="Y8" s="73">
        <f>undergrid!U8</f>
        <v>0</v>
      </c>
      <c r="Z8" s="74">
        <f>Y8*undergrid!$AQ$5</f>
        <v>0</v>
      </c>
      <c r="AA8" s="75">
        <f>Y8*(1-Graphs!$AD$2)</f>
        <v>0</v>
      </c>
      <c r="AB8" s="73">
        <f>undergrid!W8</f>
        <v>4.7879999995500002</v>
      </c>
      <c r="AC8" s="75">
        <f t="shared" si="5"/>
        <v>0.71819999993250005</v>
      </c>
      <c r="AD8" s="73">
        <f>undergrid!Y8</f>
        <v>0</v>
      </c>
      <c r="AE8" s="75">
        <f t="shared" si="6"/>
        <v>0</v>
      </c>
      <c r="AF8" s="109">
        <f>undergrid!AA8</f>
        <v>0</v>
      </c>
      <c r="AG8" s="110">
        <f>undergrid!AE8</f>
        <v>0</v>
      </c>
      <c r="AH8" s="93">
        <f t="shared" si="7"/>
        <v>0</v>
      </c>
      <c r="AI8" s="93">
        <f t="shared" si="8"/>
        <v>0</v>
      </c>
      <c r="AJ8" s="93">
        <f t="shared" si="9"/>
        <v>0</v>
      </c>
      <c r="AK8" s="93">
        <f>IF(AH8&gt;0.00001,undergrid!$AM$4,IF(Costs!AI8&gt;0.0001,((undergrid!$AQ$7*W8+undergrid!$AQ$8*undergrid!$AQ$9)*undergrid!$AQ$6)/W8,IF(Costs!AJ8&gt;0.0001,Costs!L8,0)))</f>
        <v>0</v>
      </c>
      <c r="AL8" s="1">
        <v>7</v>
      </c>
      <c r="AM8" s="121">
        <f t="shared" si="2"/>
        <v>1.5631200000000001</v>
      </c>
      <c r="AN8" s="122">
        <f t="shared" si="10"/>
        <v>-0.71819999993250005</v>
      </c>
      <c r="AO8" s="123">
        <f t="shared" si="11"/>
        <v>0.84492000006750001</v>
      </c>
      <c r="AR8" s="114">
        <f t="shared" si="12"/>
        <v>4.7880000000000003</v>
      </c>
      <c r="AS8" s="32">
        <f t="shared" si="13"/>
        <v>4.7879999995500002</v>
      </c>
      <c r="AT8" s="33">
        <f t="shared" si="14"/>
        <v>-4.5000003723316695E-10</v>
      </c>
    </row>
    <row r="9" spans="1:46" x14ac:dyDescent="0.3">
      <c r="A9" s="4" t="str">
        <f>undergrid!B9</f>
        <v>h008</v>
      </c>
      <c r="B9" s="73">
        <f>undergrid!C9*2</f>
        <v>1.84</v>
      </c>
      <c r="C9" s="74">
        <f>undergrid!$AQ$2*Costs!B9</f>
        <v>0.92</v>
      </c>
      <c r="D9" s="74">
        <f t="shared" si="3"/>
        <v>1.84</v>
      </c>
      <c r="E9" s="75">
        <f>D9*undergrid!$AQ$2</f>
        <v>0.92</v>
      </c>
      <c r="F9" s="73">
        <f>undergrid!E9</f>
        <v>2.2210000000000001</v>
      </c>
      <c r="G9" s="74">
        <f>F9*undergrid!$AQ$3</f>
        <v>0.31094000000000005</v>
      </c>
      <c r="H9" s="74">
        <f t="shared" si="4"/>
        <v>2.2210000000000001</v>
      </c>
      <c r="I9" s="75">
        <f>H9*undergrid!$AQ$3</f>
        <v>0.31094000000000005</v>
      </c>
      <c r="J9" s="73">
        <f>undergrid!G9</f>
        <v>0.13</v>
      </c>
      <c r="K9" s="75">
        <f t="shared" si="0"/>
        <v>0</v>
      </c>
      <c r="L9" s="73">
        <f>undergrid!I9</f>
        <v>0.15</v>
      </c>
      <c r="M9" s="75">
        <f t="shared" si="1"/>
        <v>0.32864999999999994</v>
      </c>
      <c r="N9" s="81">
        <f>undergrid!K9</f>
        <v>2</v>
      </c>
      <c r="O9" s="82"/>
      <c r="P9" s="81">
        <f>undergrid!M9</f>
        <v>1.87</v>
      </c>
      <c r="Q9" s="82"/>
      <c r="R9" s="73">
        <f>undergrid!O9</f>
        <v>0</v>
      </c>
      <c r="S9" s="74">
        <f>R9*undergrid!$AQ$5</f>
        <v>0</v>
      </c>
      <c r="T9" s="75">
        <f>R9*(1-Graphs!$AD$1)</f>
        <v>0</v>
      </c>
      <c r="U9" s="73">
        <f>undergrid!Q9</f>
        <v>1.87</v>
      </c>
      <c r="V9" s="75">
        <f>IF(U9&lt;0.001,0,P9*undergrid!$AQ$4)</f>
        <v>3.7400000000000002E-6</v>
      </c>
      <c r="W9" s="73">
        <f>undergrid!S9</f>
        <v>0</v>
      </c>
      <c r="X9" s="106">
        <f>IF(undergrid!AI9&gt;0,(undergrid!$AQ$7*W9+undergrid!$AQ$8*undergrid!$AQ$9)*undergrid!$AQ$6,0)+undergrid!AG9*undergrid!$AQ$10</f>
        <v>0</v>
      </c>
      <c r="Y9" s="73">
        <f>undergrid!U9</f>
        <v>0</v>
      </c>
      <c r="Z9" s="74">
        <f>Y9*undergrid!$AQ$5</f>
        <v>0</v>
      </c>
      <c r="AA9" s="75">
        <f>Y9*(1-Graphs!$AD$2)</f>
        <v>0</v>
      </c>
      <c r="AB9" s="73">
        <f>undergrid!W9</f>
        <v>2.1909999999999998</v>
      </c>
      <c r="AC9" s="75">
        <f t="shared" si="5"/>
        <v>0.32864999999999994</v>
      </c>
      <c r="AD9" s="73">
        <f>undergrid!Y9</f>
        <v>0</v>
      </c>
      <c r="AE9" s="75">
        <f t="shared" si="6"/>
        <v>0</v>
      </c>
      <c r="AF9" s="109">
        <f>undergrid!AA9</f>
        <v>0</v>
      </c>
      <c r="AG9" s="110">
        <f>undergrid!AE9</f>
        <v>0</v>
      </c>
      <c r="AH9" s="93">
        <f t="shared" si="7"/>
        <v>0</v>
      </c>
      <c r="AI9" s="93">
        <f t="shared" si="8"/>
        <v>0</v>
      </c>
      <c r="AJ9" s="93">
        <f t="shared" si="9"/>
        <v>0</v>
      </c>
      <c r="AK9" s="93">
        <f>IF(AH9&gt;0.00001,undergrid!$AM$4,IF(Costs!AI9&gt;0.0001,((undergrid!$AQ$7*W9+undergrid!$AQ$8*undergrid!$AQ$9)*undergrid!$AQ$6)/W9,IF(Costs!AJ9&gt;0.0001,Costs!L9,0)))</f>
        <v>0</v>
      </c>
      <c r="AL9" s="1">
        <v>8</v>
      </c>
      <c r="AM9" s="121">
        <f t="shared" si="2"/>
        <v>1.2309400000000001</v>
      </c>
      <c r="AN9" s="122">
        <f t="shared" si="10"/>
        <v>-0.32865373999999992</v>
      </c>
      <c r="AO9" s="123">
        <f t="shared" si="11"/>
        <v>0.90228626000000023</v>
      </c>
      <c r="AR9" s="114">
        <f t="shared" si="12"/>
        <v>4.0609999999999999</v>
      </c>
      <c r="AS9" s="32">
        <f t="shared" si="13"/>
        <v>4.0609999999999999</v>
      </c>
      <c r="AT9" s="33">
        <f t="shared" si="14"/>
        <v>0</v>
      </c>
    </row>
    <row r="10" spans="1:46" x14ac:dyDescent="0.3">
      <c r="A10" s="4" t="str">
        <f>undergrid!B10</f>
        <v>h009</v>
      </c>
      <c r="B10" s="73">
        <f>undergrid!C10*2</f>
        <v>1.82</v>
      </c>
      <c r="C10" s="74">
        <f>undergrid!$AQ$2*Costs!B10</f>
        <v>0.91</v>
      </c>
      <c r="D10" s="74">
        <f t="shared" si="3"/>
        <v>1.82</v>
      </c>
      <c r="E10" s="75">
        <f>D10*undergrid!$AQ$2</f>
        <v>0.91</v>
      </c>
      <c r="F10" s="73">
        <f>undergrid!E10</f>
        <v>2.2269999999999999</v>
      </c>
      <c r="G10" s="74">
        <f>F10*undergrid!$AQ$3</f>
        <v>0.31178</v>
      </c>
      <c r="H10" s="74">
        <f t="shared" si="4"/>
        <v>2.2269999999999999</v>
      </c>
      <c r="I10" s="75">
        <f>H10*undergrid!$AQ$3</f>
        <v>0.31178</v>
      </c>
      <c r="J10" s="73">
        <f>undergrid!G10</f>
        <v>0.13</v>
      </c>
      <c r="K10" s="75">
        <f t="shared" si="0"/>
        <v>0</v>
      </c>
      <c r="L10" s="73">
        <f>undergrid!I10</f>
        <v>0.15</v>
      </c>
      <c r="M10" s="75">
        <f t="shared" si="1"/>
        <v>5.8049999999999935E-2</v>
      </c>
      <c r="N10" s="81">
        <f>undergrid!K10</f>
        <v>2</v>
      </c>
      <c r="O10" s="82"/>
      <c r="P10" s="81">
        <f>undergrid!M10</f>
        <v>3.66</v>
      </c>
      <c r="Q10" s="82"/>
      <c r="R10" s="73">
        <f>undergrid!O10</f>
        <v>0</v>
      </c>
      <c r="S10" s="74">
        <f>R10*undergrid!$AQ$5</f>
        <v>0</v>
      </c>
      <c r="T10" s="75">
        <f>R10*(1-Graphs!$AD$1)</f>
        <v>0</v>
      </c>
      <c r="U10" s="73">
        <f>undergrid!Q10</f>
        <v>3.66</v>
      </c>
      <c r="V10" s="75">
        <f>IF(U10&lt;0.001,0,P10*undergrid!$AQ$4)</f>
        <v>7.3200000000000002E-6</v>
      </c>
      <c r="W10" s="73">
        <f>undergrid!S10</f>
        <v>0</v>
      </c>
      <c r="X10" s="106">
        <f>IF(undergrid!AI10&gt;0,(undergrid!$AQ$7*W10+undergrid!$AQ$8*undergrid!$AQ$9)*undergrid!$AQ$6,0)+undergrid!AG10*undergrid!$AQ$10</f>
        <v>0</v>
      </c>
      <c r="Y10" s="73">
        <f>undergrid!U10</f>
        <v>0</v>
      </c>
      <c r="Z10" s="74">
        <f>Y10*undergrid!$AQ$5</f>
        <v>0</v>
      </c>
      <c r="AA10" s="75">
        <f>Y10*(1-Graphs!$AD$2)</f>
        <v>0</v>
      </c>
      <c r="AB10" s="73">
        <f>undergrid!W10</f>
        <v>0.38699999999999957</v>
      </c>
      <c r="AC10" s="75">
        <f t="shared" si="5"/>
        <v>5.8049999999999935E-2</v>
      </c>
      <c r="AD10" s="73">
        <f>undergrid!Y10</f>
        <v>0</v>
      </c>
      <c r="AE10" s="75">
        <f t="shared" si="6"/>
        <v>0</v>
      </c>
      <c r="AF10" s="109">
        <f>undergrid!AA10</f>
        <v>0</v>
      </c>
      <c r="AG10" s="110">
        <f>undergrid!AE10</f>
        <v>0</v>
      </c>
      <c r="AH10" s="93">
        <f t="shared" si="7"/>
        <v>0</v>
      </c>
      <c r="AI10" s="93">
        <f t="shared" si="8"/>
        <v>0</v>
      </c>
      <c r="AJ10" s="93">
        <f t="shared" si="9"/>
        <v>0</v>
      </c>
      <c r="AK10" s="93">
        <f>IF(AH10&gt;0.00001,undergrid!$AM$4,IF(Costs!AI10&gt;0.0001,((undergrid!$AQ$7*W10+undergrid!$AQ$8*undergrid!$AQ$9)*undergrid!$AQ$6)/W10,IF(Costs!AJ10&gt;0.0001,Costs!L10,0)))</f>
        <v>0</v>
      </c>
      <c r="AL10" s="1">
        <v>9</v>
      </c>
      <c r="AM10" s="121">
        <f t="shared" si="2"/>
        <v>1.2217800000000001</v>
      </c>
      <c r="AN10" s="122">
        <f t="shared" si="10"/>
        <v>-5.8057319999999933E-2</v>
      </c>
      <c r="AO10" s="123">
        <f t="shared" si="11"/>
        <v>1.1637226800000002</v>
      </c>
      <c r="AR10" s="114">
        <f t="shared" si="12"/>
        <v>4.0469999999999997</v>
      </c>
      <c r="AS10" s="32">
        <f t="shared" si="13"/>
        <v>4.0469999999999997</v>
      </c>
      <c r="AT10" s="33">
        <f t="shared" si="14"/>
        <v>0</v>
      </c>
    </row>
    <row r="11" spans="1:46" x14ac:dyDescent="0.3">
      <c r="A11" s="4" t="str">
        <f>undergrid!B11</f>
        <v>h010</v>
      </c>
      <c r="B11" s="73">
        <f>undergrid!C11*2</f>
        <v>4</v>
      </c>
      <c r="C11" s="74">
        <f>undergrid!$AQ$2*Costs!B11</f>
        <v>2</v>
      </c>
      <c r="D11" s="74">
        <f t="shared" si="3"/>
        <v>4</v>
      </c>
      <c r="E11" s="75">
        <f>D11*undergrid!$AQ$2</f>
        <v>2</v>
      </c>
      <c r="F11" s="73">
        <f>undergrid!E11</f>
        <v>8.3230000000000004</v>
      </c>
      <c r="G11" s="74">
        <f>F11*undergrid!$AQ$3</f>
        <v>1.1652200000000001</v>
      </c>
      <c r="H11" s="74">
        <f t="shared" si="4"/>
        <v>8.3230000000000004</v>
      </c>
      <c r="I11" s="75">
        <f>H11*undergrid!$AQ$3</f>
        <v>1.1652200000000001</v>
      </c>
      <c r="J11" s="73">
        <f>undergrid!G11</f>
        <v>0.13</v>
      </c>
      <c r="K11" s="75">
        <f t="shared" si="0"/>
        <v>0</v>
      </c>
      <c r="L11" s="73">
        <f>undergrid!I11</f>
        <v>0.15</v>
      </c>
      <c r="M11" s="75">
        <f t="shared" si="1"/>
        <v>1.2484500000000001</v>
      </c>
      <c r="N11" s="81">
        <f>undergrid!K11</f>
        <v>2</v>
      </c>
      <c r="O11" s="82"/>
      <c r="P11" s="81">
        <f>undergrid!M11</f>
        <v>4</v>
      </c>
      <c r="Q11" s="82"/>
      <c r="R11" s="73">
        <f>undergrid!O11</f>
        <v>0</v>
      </c>
      <c r="S11" s="74">
        <f>R11*undergrid!$AQ$5</f>
        <v>0</v>
      </c>
      <c r="T11" s="75">
        <f>R11*(1-Graphs!$AD$1)</f>
        <v>0</v>
      </c>
      <c r="U11" s="73">
        <f>undergrid!Q11</f>
        <v>4</v>
      </c>
      <c r="V11" s="75">
        <f>IF(U11&lt;0.001,0,P11*undergrid!$AQ$4)</f>
        <v>7.9999999999999996E-6</v>
      </c>
      <c r="W11" s="73">
        <f>undergrid!S11</f>
        <v>0</v>
      </c>
      <c r="X11" s="106">
        <f>IF(undergrid!AI11&gt;0,(undergrid!$AQ$7*W11+undergrid!$AQ$8*undergrid!$AQ$9)*undergrid!$AQ$6,0)+undergrid!AG11*undergrid!$AQ$10</f>
        <v>0</v>
      </c>
      <c r="Y11" s="73">
        <f>undergrid!U11</f>
        <v>0</v>
      </c>
      <c r="Z11" s="74">
        <f>Y11*undergrid!$AQ$5</f>
        <v>0</v>
      </c>
      <c r="AA11" s="75">
        <f>Y11*(1-Graphs!$AD$2)</f>
        <v>0</v>
      </c>
      <c r="AB11" s="73">
        <f>undergrid!W11</f>
        <v>8.3230000000000004</v>
      </c>
      <c r="AC11" s="75">
        <f t="shared" si="5"/>
        <v>1.2484500000000001</v>
      </c>
      <c r="AD11" s="73">
        <f>undergrid!Y11</f>
        <v>0</v>
      </c>
      <c r="AE11" s="75">
        <f t="shared" si="6"/>
        <v>0</v>
      </c>
      <c r="AF11" s="109">
        <f>undergrid!AA11</f>
        <v>0</v>
      </c>
      <c r="AG11" s="110">
        <f>undergrid!AE11</f>
        <v>0</v>
      </c>
      <c r="AH11" s="93">
        <f t="shared" si="7"/>
        <v>0</v>
      </c>
      <c r="AI11" s="93">
        <f t="shared" si="8"/>
        <v>0</v>
      </c>
      <c r="AJ11" s="93">
        <f t="shared" si="9"/>
        <v>0</v>
      </c>
      <c r="AK11" s="93">
        <f>IF(AH11&gt;0.00001,undergrid!$AM$4,IF(Costs!AI11&gt;0.0001,((undergrid!$AQ$7*W11+undergrid!$AQ$8*undergrid!$AQ$9)*undergrid!$AQ$6)/W11,IF(Costs!AJ11&gt;0.0001,Costs!L11,0)))</f>
        <v>0</v>
      </c>
      <c r="AL11" s="1">
        <v>10</v>
      </c>
      <c r="AM11" s="121">
        <f t="shared" si="2"/>
        <v>3.1652200000000001</v>
      </c>
      <c r="AN11" s="122">
        <f t="shared" si="10"/>
        <v>-1.2484580000000001</v>
      </c>
      <c r="AO11" s="123">
        <f t="shared" si="11"/>
        <v>1.9167620000000001</v>
      </c>
      <c r="AR11" s="114">
        <f t="shared" si="12"/>
        <v>12.323</v>
      </c>
      <c r="AS11" s="32">
        <f t="shared" si="13"/>
        <v>12.323</v>
      </c>
      <c r="AT11" s="33">
        <f t="shared" si="14"/>
        <v>0</v>
      </c>
    </row>
    <row r="12" spans="1:46" x14ac:dyDescent="0.3">
      <c r="A12" s="4" t="str">
        <f>undergrid!B12</f>
        <v>h011</v>
      </c>
      <c r="B12" s="73">
        <f>undergrid!C12*2</f>
        <v>6.28</v>
      </c>
      <c r="C12" s="74">
        <f>undergrid!$AQ$2*Costs!B12</f>
        <v>3.14</v>
      </c>
      <c r="D12" s="74">
        <f t="shared" si="3"/>
        <v>6.28</v>
      </c>
      <c r="E12" s="75">
        <f>D12*undergrid!$AQ$2</f>
        <v>3.14</v>
      </c>
      <c r="F12" s="73">
        <f>undergrid!E12</f>
        <v>6.7839999999999998</v>
      </c>
      <c r="G12" s="74">
        <f>F12*undergrid!$AQ$3</f>
        <v>0.94976000000000005</v>
      </c>
      <c r="H12" s="74">
        <f t="shared" si="4"/>
        <v>6.7839999999999998</v>
      </c>
      <c r="I12" s="75">
        <f>H12*undergrid!$AQ$3</f>
        <v>0.94976000000000005</v>
      </c>
      <c r="J12" s="73">
        <f>undergrid!G12</f>
        <v>0.13</v>
      </c>
      <c r="K12" s="75">
        <f t="shared" si="0"/>
        <v>0</v>
      </c>
      <c r="L12" s="73">
        <f>undergrid!I12</f>
        <v>0.15</v>
      </c>
      <c r="M12" s="75">
        <f t="shared" si="1"/>
        <v>1.1451</v>
      </c>
      <c r="N12" s="81">
        <f>undergrid!K12</f>
        <v>2</v>
      </c>
      <c r="O12" s="82"/>
      <c r="P12" s="81">
        <f>undergrid!M12</f>
        <v>5.43</v>
      </c>
      <c r="Q12" s="82"/>
      <c r="R12" s="73">
        <f>undergrid!O12</f>
        <v>0</v>
      </c>
      <c r="S12" s="74">
        <f>R12*undergrid!$AQ$5</f>
        <v>0</v>
      </c>
      <c r="T12" s="75">
        <f>R12*(1-Graphs!$AD$1)</f>
        <v>0</v>
      </c>
      <c r="U12" s="73">
        <f>undergrid!Q12</f>
        <v>5.43</v>
      </c>
      <c r="V12" s="75">
        <f>IF(U12&lt;0.001,0,P12*undergrid!$AQ$4)</f>
        <v>1.0859999999999999E-5</v>
      </c>
      <c r="W12" s="73">
        <f>undergrid!S12</f>
        <v>0</v>
      </c>
      <c r="X12" s="106">
        <f>IF(undergrid!AI12&gt;0,(undergrid!$AQ$7*W12+undergrid!$AQ$8*undergrid!$AQ$9)*undergrid!$AQ$6,0)+undergrid!AG12*undergrid!$AQ$10</f>
        <v>0</v>
      </c>
      <c r="Y12" s="73">
        <f>undergrid!U12</f>
        <v>0</v>
      </c>
      <c r="Z12" s="74">
        <f>Y12*undergrid!$AQ$5</f>
        <v>0</v>
      </c>
      <c r="AA12" s="75">
        <f>Y12*(1-Graphs!$AD$2)</f>
        <v>0</v>
      </c>
      <c r="AB12" s="73">
        <f>undergrid!W12</f>
        <v>7.6340000000000003</v>
      </c>
      <c r="AC12" s="75">
        <f t="shared" si="5"/>
        <v>1.1451</v>
      </c>
      <c r="AD12" s="73">
        <f>undergrid!Y12</f>
        <v>0</v>
      </c>
      <c r="AE12" s="75">
        <f t="shared" si="6"/>
        <v>0</v>
      </c>
      <c r="AF12" s="109">
        <f>undergrid!AA12</f>
        <v>0</v>
      </c>
      <c r="AG12" s="110">
        <f>undergrid!AE12</f>
        <v>0</v>
      </c>
      <c r="AH12" s="93">
        <f t="shared" si="7"/>
        <v>0</v>
      </c>
      <c r="AI12" s="93">
        <f t="shared" si="8"/>
        <v>0</v>
      </c>
      <c r="AJ12" s="93">
        <f t="shared" si="9"/>
        <v>0</v>
      </c>
      <c r="AK12" s="93">
        <f>IF(AH12&gt;0.00001,undergrid!$AM$4,IF(Costs!AI12&gt;0.0001,((undergrid!$AQ$7*W12+undergrid!$AQ$8*undergrid!$AQ$9)*undergrid!$AQ$6)/W12,IF(Costs!AJ12&gt;0.0001,Costs!L12,0)))</f>
        <v>0</v>
      </c>
      <c r="AL12" s="1">
        <v>11</v>
      </c>
      <c r="AM12" s="121">
        <f t="shared" si="2"/>
        <v>4.0897600000000001</v>
      </c>
      <c r="AN12" s="122">
        <f t="shared" si="10"/>
        <v>-1.14511086</v>
      </c>
      <c r="AO12" s="123">
        <f t="shared" si="11"/>
        <v>2.9446491400000001</v>
      </c>
      <c r="AR12" s="114">
        <f t="shared" si="12"/>
        <v>13.064</v>
      </c>
      <c r="AS12" s="32">
        <f t="shared" si="13"/>
        <v>13.064</v>
      </c>
      <c r="AT12" s="33">
        <f t="shared" si="14"/>
        <v>0</v>
      </c>
    </row>
    <row r="13" spans="1:46" x14ac:dyDescent="0.3">
      <c r="A13" s="4" t="str">
        <f>undergrid!B13</f>
        <v>h012</v>
      </c>
      <c r="B13" s="73">
        <f>undergrid!C13*2</f>
        <v>8.14</v>
      </c>
      <c r="C13" s="74">
        <f>undergrid!$AQ$2*Costs!B13</f>
        <v>4.07</v>
      </c>
      <c r="D13" s="74">
        <f t="shared" si="3"/>
        <v>8.14</v>
      </c>
      <c r="E13" s="75">
        <f>D13*undergrid!$AQ$2</f>
        <v>4.07</v>
      </c>
      <c r="F13" s="73">
        <f>undergrid!E13</f>
        <v>8.7970000000000006</v>
      </c>
      <c r="G13" s="74">
        <f>F13*undergrid!$AQ$3</f>
        <v>1.2315800000000001</v>
      </c>
      <c r="H13" s="74">
        <f t="shared" si="4"/>
        <v>8.7970000000000006</v>
      </c>
      <c r="I13" s="75">
        <f>H13*undergrid!$AQ$3</f>
        <v>1.2315800000000001</v>
      </c>
      <c r="J13" s="73">
        <f>undergrid!G13</f>
        <v>0.13</v>
      </c>
      <c r="K13" s="75">
        <f t="shared" si="0"/>
        <v>0</v>
      </c>
      <c r="L13" s="73">
        <f>undergrid!I13</f>
        <v>0.15</v>
      </c>
      <c r="M13" s="75">
        <f t="shared" si="1"/>
        <v>0.46905000000000008</v>
      </c>
      <c r="N13" s="81">
        <f>undergrid!K13</f>
        <v>2</v>
      </c>
      <c r="O13" s="82"/>
      <c r="P13" s="81">
        <f>undergrid!M13</f>
        <v>13.81</v>
      </c>
      <c r="Q13" s="82"/>
      <c r="R13" s="73">
        <f>undergrid!O13</f>
        <v>0</v>
      </c>
      <c r="S13" s="74">
        <f>R13*undergrid!$AQ$5</f>
        <v>0</v>
      </c>
      <c r="T13" s="75">
        <f>R13*(1-Graphs!$AD$1)</f>
        <v>0</v>
      </c>
      <c r="U13" s="73">
        <f>undergrid!Q13</f>
        <v>13.81</v>
      </c>
      <c r="V13" s="75">
        <f>IF(U13&lt;0.001,0,P13*undergrid!$AQ$4)</f>
        <v>2.762E-5</v>
      </c>
      <c r="W13" s="73">
        <f>undergrid!S13</f>
        <v>0</v>
      </c>
      <c r="X13" s="106">
        <f>IF(undergrid!AI13&gt;0,(undergrid!$AQ$7*W13+undergrid!$AQ$8*undergrid!$AQ$9)*undergrid!$AQ$6,0)+undergrid!AG13*undergrid!$AQ$10</f>
        <v>0</v>
      </c>
      <c r="Y13" s="73">
        <f>undergrid!U13</f>
        <v>0</v>
      </c>
      <c r="Z13" s="74">
        <f>Y13*undergrid!$AQ$5</f>
        <v>0</v>
      </c>
      <c r="AA13" s="75">
        <f>Y13*(1-Graphs!$AD$2)</f>
        <v>0</v>
      </c>
      <c r="AB13" s="73">
        <f>undergrid!W13</f>
        <v>3.1270000000000007</v>
      </c>
      <c r="AC13" s="75">
        <f t="shared" si="5"/>
        <v>0.46905000000000008</v>
      </c>
      <c r="AD13" s="73">
        <f>undergrid!Y13</f>
        <v>0</v>
      </c>
      <c r="AE13" s="75">
        <f t="shared" si="6"/>
        <v>0</v>
      </c>
      <c r="AF13" s="109">
        <f>undergrid!AA13</f>
        <v>0</v>
      </c>
      <c r="AG13" s="110">
        <f>undergrid!AE13</f>
        <v>0</v>
      </c>
      <c r="AH13" s="93">
        <f t="shared" si="7"/>
        <v>0</v>
      </c>
      <c r="AI13" s="93">
        <f t="shared" si="8"/>
        <v>0</v>
      </c>
      <c r="AJ13" s="93">
        <f t="shared" si="9"/>
        <v>0</v>
      </c>
      <c r="AK13" s="93">
        <f>IF(AH13&gt;0.00001,undergrid!$AM$4,IF(Costs!AI13&gt;0.0001,((undergrid!$AQ$7*W13+undergrid!$AQ$8*undergrid!$AQ$9)*undergrid!$AQ$6)/W13,IF(Costs!AJ13&gt;0.0001,Costs!L13,0)))</f>
        <v>0</v>
      </c>
      <c r="AL13" s="1">
        <v>12</v>
      </c>
      <c r="AM13" s="121">
        <f t="shared" si="2"/>
        <v>5.3015800000000004</v>
      </c>
      <c r="AN13" s="122">
        <f t="shared" si="10"/>
        <v>-0.46907762000000008</v>
      </c>
      <c r="AO13" s="123">
        <f t="shared" si="11"/>
        <v>4.8325023800000002</v>
      </c>
      <c r="AR13" s="114">
        <f t="shared" si="12"/>
        <v>16.937000000000001</v>
      </c>
      <c r="AS13" s="32">
        <f t="shared" si="13"/>
        <v>16.937000000000001</v>
      </c>
      <c r="AT13" s="33">
        <f t="shared" si="14"/>
        <v>0</v>
      </c>
    </row>
    <row r="14" spans="1:46" x14ac:dyDescent="0.3">
      <c r="A14" s="4" t="str">
        <f>undergrid!B14</f>
        <v>h013</v>
      </c>
      <c r="B14" s="73">
        <f>undergrid!C14*2</f>
        <v>7.82</v>
      </c>
      <c r="C14" s="74">
        <f>undergrid!$AQ$2*Costs!B14</f>
        <v>3.91</v>
      </c>
      <c r="D14" s="74">
        <f t="shared" si="3"/>
        <v>7.82</v>
      </c>
      <c r="E14" s="75">
        <f>D14*undergrid!$AQ$2</f>
        <v>3.91</v>
      </c>
      <c r="F14" s="73">
        <f>undergrid!E14</f>
        <v>1.4970000000000001</v>
      </c>
      <c r="G14" s="74">
        <f>F14*undergrid!$AQ$3</f>
        <v>0.20958000000000004</v>
      </c>
      <c r="H14" s="74">
        <f t="shared" si="4"/>
        <v>1.4970000000000001</v>
      </c>
      <c r="I14" s="75">
        <f>H14*undergrid!$AQ$3</f>
        <v>0.20958000000000004</v>
      </c>
      <c r="J14" s="73">
        <f>undergrid!G14</f>
        <v>0.13</v>
      </c>
      <c r="K14" s="75">
        <f t="shared" si="0"/>
        <v>0.3981900000000001</v>
      </c>
      <c r="L14" s="73">
        <f>undergrid!I14</f>
        <v>0.15</v>
      </c>
      <c r="M14" s="75">
        <f t="shared" si="1"/>
        <v>0</v>
      </c>
      <c r="N14" s="81">
        <f>undergrid!K14</f>
        <v>2</v>
      </c>
      <c r="O14" s="82"/>
      <c r="P14" s="81">
        <f>undergrid!M14</f>
        <v>12.38</v>
      </c>
      <c r="Q14" s="82"/>
      <c r="R14" s="73">
        <f>undergrid!O14</f>
        <v>0</v>
      </c>
      <c r="S14" s="74">
        <f>R14*undergrid!$AQ$5</f>
        <v>0</v>
      </c>
      <c r="T14" s="75">
        <f>R14*(1-Graphs!$AD$1)</f>
        <v>0</v>
      </c>
      <c r="U14" s="73">
        <f>undergrid!Q14</f>
        <v>12.38</v>
      </c>
      <c r="V14" s="75">
        <f>IF(U14&lt;0.001,0,P14*undergrid!$AQ$4)</f>
        <v>2.476E-5</v>
      </c>
      <c r="W14" s="73">
        <f>undergrid!S14</f>
        <v>0</v>
      </c>
      <c r="X14" s="106">
        <f>IF(undergrid!AI14&gt;0,(undergrid!$AQ$7*W14+undergrid!$AQ$8*undergrid!$AQ$9)*undergrid!$AQ$6,0)+undergrid!AG14*undergrid!$AQ$10</f>
        <v>0</v>
      </c>
      <c r="Y14" s="73">
        <f>undergrid!U14</f>
        <v>0</v>
      </c>
      <c r="Z14" s="74">
        <f>Y14*undergrid!$AQ$5</f>
        <v>0</v>
      </c>
      <c r="AA14" s="75">
        <f>Y14*(1-Graphs!$AD$2)</f>
        <v>0</v>
      </c>
      <c r="AB14" s="73">
        <f>undergrid!W14</f>
        <v>0</v>
      </c>
      <c r="AC14" s="75">
        <f t="shared" si="5"/>
        <v>0</v>
      </c>
      <c r="AD14" s="73">
        <f>undergrid!Y14</f>
        <v>3.0630000000000006</v>
      </c>
      <c r="AE14" s="75">
        <f t="shared" si="6"/>
        <v>0.3981900000000001</v>
      </c>
      <c r="AF14" s="109">
        <f>undergrid!AA14</f>
        <v>0</v>
      </c>
      <c r="AG14" s="110">
        <f>undergrid!AE14</f>
        <v>0</v>
      </c>
      <c r="AH14" s="93">
        <f t="shared" si="7"/>
        <v>0</v>
      </c>
      <c r="AI14" s="93">
        <f t="shared" si="8"/>
        <v>0</v>
      </c>
      <c r="AJ14" s="93">
        <f t="shared" si="9"/>
        <v>0</v>
      </c>
      <c r="AK14" s="93">
        <f>IF(AH14&gt;0.00001,undergrid!$AM$4,IF(Costs!AI14&gt;0.0001,((undergrid!$AQ$7*W14+undergrid!$AQ$8*undergrid!$AQ$9)*undergrid!$AQ$6)/W14,IF(Costs!AJ14&gt;0.0001,Costs!L14,0)))</f>
        <v>0</v>
      </c>
      <c r="AL14" s="1">
        <v>13</v>
      </c>
      <c r="AM14" s="121">
        <f t="shared" si="2"/>
        <v>4.5177700000000005</v>
      </c>
      <c r="AN14" s="122">
        <f t="shared" si="10"/>
        <v>-2.476E-5</v>
      </c>
      <c r="AO14" s="123">
        <f t="shared" si="11"/>
        <v>4.5177452400000009</v>
      </c>
      <c r="AR14" s="114">
        <f t="shared" si="12"/>
        <v>12.38</v>
      </c>
      <c r="AS14" s="32">
        <f t="shared" si="13"/>
        <v>12.38</v>
      </c>
      <c r="AT14" s="33">
        <f t="shared" si="14"/>
        <v>0</v>
      </c>
    </row>
    <row r="15" spans="1:46" x14ac:dyDescent="0.3">
      <c r="A15" s="4" t="str">
        <f>undergrid!B15</f>
        <v>h014</v>
      </c>
      <c r="B15" s="73">
        <f>undergrid!C15*2</f>
        <v>12.04</v>
      </c>
      <c r="C15" s="74">
        <f>undergrid!$AQ$2*Costs!B15</f>
        <v>6.02</v>
      </c>
      <c r="D15" s="74">
        <f t="shared" si="3"/>
        <v>12.04</v>
      </c>
      <c r="E15" s="75">
        <f>D15*undergrid!$AQ$2</f>
        <v>6.02</v>
      </c>
      <c r="F15" s="73">
        <f>undergrid!E15</f>
        <v>1.3979999999999999</v>
      </c>
      <c r="G15" s="74">
        <f>F15*undergrid!$AQ$3</f>
        <v>0.19572000000000001</v>
      </c>
      <c r="H15" s="74">
        <f t="shared" si="4"/>
        <v>1.3979999999999999</v>
      </c>
      <c r="I15" s="75">
        <f>H15*undergrid!$AQ$3</f>
        <v>0.19572000000000001</v>
      </c>
      <c r="J15" s="73">
        <f>undergrid!G15</f>
        <v>0.13</v>
      </c>
      <c r="K15" s="75">
        <f t="shared" si="0"/>
        <v>0.49556000000000017</v>
      </c>
      <c r="L15" s="73">
        <f>undergrid!I15</f>
        <v>0.15</v>
      </c>
      <c r="M15" s="75">
        <f t="shared" si="1"/>
        <v>0</v>
      </c>
      <c r="N15" s="81">
        <f>undergrid!K15</f>
        <v>2</v>
      </c>
      <c r="O15" s="82"/>
      <c r="P15" s="81">
        <f>undergrid!M15</f>
        <v>17.25</v>
      </c>
      <c r="Q15" s="82"/>
      <c r="R15" s="73">
        <f>undergrid!O15</f>
        <v>0</v>
      </c>
      <c r="S15" s="74">
        <f>R15*undergrid!$AQ$5</f>
        <v>0</v>
      </c>
      <c r="T15" s="75">
        <f>R15*(1-Graphs!$AD$1)</f>
        <v>0</v>
      </c>
      <c r="U15" s="73">
        <f>undergrid!Q15</f>
        <v>17.25</v>
      </c>
      <c r="V15" s="75">
        <f>IF(U15&lt;0.001,0,P15*undergrid!$AQ$4)</f>
        <v>3.4499999999999998E-5</v>
      </c>
      <c r="W15" s="73">
        <f>undergrid!S15</f>
        <v>0</v>
      </c>
      <c r="X15" s="106">
        <f>IF(undergrid!AI15&gt;0,(undergrid!$AQ$7*W15+undergrid!$AQ$8*undergrid!$AQ$9)*undergrid!$AQ$6,0)+undergrid!AG15*undergrid!$AQ$10</f>
        <v>0</v>
      </c>
      <c r="Y15" s="73">
        <f>undergrid!U15</f>
        <v>0</v>
      </c>
      <c r="Z15" s="74">
        <f>Y15*undergrid!$AQ$5</f>
        <v>0</v>
      </c>
      <c r="AA15" s="75">
        <f>Y15*(1-Graphs!$AD$2)</f>
        <v>0</v>
      </c>
      <c r="AB15" s="73">
        <f>undergrid!W15</f>
        <v>0</v>
      </c>
      <c r="AC15" s="75">
        <f t="shared" si="5"/>
        <v>0</v>
      </c>
      <c r="AD15" s="73">
        <f>undergrid!Y15</f>
        <v>3.8120000000000012</v>
      </c>
      <c r="AE15" s="75">
        <f t="shared" si="6"/>
        <v>0.49556000000000017</v>
      </c>
      <c r="AF15" s="109">
        <f>undergrid!AA15</f>
        <v>0</v>
      </c>
      <c r="AG15" s="110">
        <f>undergrid!AE15</f>
        <v>0</v>
      </c>
      <c r="AH15" s="93">
        <f t="shared" si="7"/>
        <v>0</v>
      </c>
      <c r="AI15" s="93">
        <f t="shared" si="8"/>
        <v>0</v>
      </c>
      <c r="AJ15" s="93">
        <f t="shared" si="9"/>
        <v>0</v>
      </c>
      <c r="AK15" s="93">
        <f>IF(AH15&gt;0.00001,undergrid!$AM$4,IF(Costs!AI15&gt;0.0001,((undergrid!$AQ$7*W15+undergrid!$AQ$8*undergrid!$AQ$9)*undergrid!$AQ$6)/W15,IF(Costs!AJ15&gt;0.0001,Costs!L15,0)))</f>
        <v>0</v>
      </c>
      <c r="AL15" s="1">
        <v>14</v>
      </c>
      <c r="AM15" s="121">
        <f t="shared" si="2"/>
        <v>6.7112799999999995</v>
      </c>
      <c r="AN15" s="122">
        <f t="shared" si="10"/>
        <v>-3.4499999999999998E-5</v>
      </c>
      <c r="AO15" s="123">
        <f t="shared" si="11"/>
        <v>6.7112454999999995</v>
      </c>
      <c r="AR15" s="114">
        <f t="shared" si="12"/>
        <v>17.25</v>
      </c>
      <c r="AS15" s="32">
        <f t="shared" si="13"/>
        <v>17.25</v>
      </c>
      <c r="AT15" s="33">
        <f t="shared" si="14"/>
        <v>0</v>
      </c>
    </row>
    <row r="16" spans="1:46" x14ac:dyDescent="0.3">
      <c r="A16" s="4" t="str">
        <f>undergrid!B16</f>
        <v>h015</v>
      </c>
      <c r="B16" s="73">
        <f>undergrid!C16*2</f>
        <v>11.46</v>
      </c>
      <c r="C16" s="74">
        <f>undergrid!$AQ$2*Costs!B16</f>
        <v>5.73</v>
      </c>
      <c r="D16" s="74">
        <f t="shared" si="3"/>
        <v>11.46</v>
      </c>
      <c r="E16" s="75">
        <f>D16*undergrid!$AQ$2</f>
        <v>5.73</v>
      </c>
      <c r="F16" s="73">
        <f>undergrid!E16</f>
        <v>7.1909999999999998</v>
      </c>
      <c r="G16" s="74">
        <f>F16*undergrid!$AQ$3</f>
        <v>1.00674</v>
      </c>
      <c r="H16" s="74">
        <f t="shared" si="4"/>
        <v>7.1909999999999998</v>
      </c>
      <c r="I16" s="75">
        <f>H16*undergrid!$AQ$3</f>
        <v>1.00674</v>
      </c>
      <c r="J16" s="73">
        <f>undergrid!G16</f>
        <v>0.13</v>
      </c>
      <c r="K16" s="75">
        <f t="shared" si="0"/>
        <v>0</v>
      </c>
      <c r="L16" s="73">
        <f>undergrid!I16</f>
        <v>0.15</v>
      </c>
      <c r="M16" s="75">
        <f t="shared" si="1"/>
        <v>0.44265000000000004</v>
      </c>
      <c r="N16" s="81">
        <f>undergrid!K16</f>
        <v>2</v>
      </c>
      <c r="O16" s="82"/>
      <c r="P16" s="81">
        <f>undergrid!M16</f>
        <v>15.7</v>
      </c>
      <c r="Q16" s="82"/>
      <c r="R16" s="73">
        <f>undergrid!O16</f>
        <v>0</v>
      </c>
      <c r="S16" s="74">
        <f>R16*undergrid!$AQ$5</f>
        <v>0</v>
      </c>
      <c r="T16" s="75">
        <f>R16*(1-Graphs!$AD$1)</f>
        <v>0</v>
      </c>
      <c r="U16" s="73">
        <f>undergrid!Q16</f>
        <v>15.7</v>
      </c>
      <c r="V16" s="75">
        <f>IF(U16&lt;0.001,0,P16*undergrid!$AQ$4)</f>
        <v>3.1399999999999998E-5</v>
      </c>
      <c r="W16" s="73">
        <f>undergrid!S16</f>
        <v>0</v>
      </c>
      <c r="X16" s="106">
        <f>IF(undergrid!AI16&gt;0,(undergrid!$AQ$7*W16+undergrid!$AQ$8*undergrid!$AQ$9)*undergrid!$AQ$6,0)+undergrid!AG16*undergrid!$AQ$10</f>
        <v>0</v>
      </c>
      <c r="Y16" s="73">
        <f>undergrid!U16</f>
        <v>0</v>
      </c>
      <c r="Z16" s="74">
        <f>Y16*undergrid!$AQ$5</f>
        <v>0</v>
      </c>
      <c r="AA16" s="75">
        <f>Y16*(1-Graphs!$AD$2)</f>
        <v>0</v>
      </c>
      <c r="AB16" s="73">
        <f>undergrid!W16</f>
        <v>2.9510000000000005</v>
      </c>
      <c r="AC16" s="75">
        <f t="shared" si="5"/>
        <v>0.44265000000000004</v>
      </c>
      <c r="AD16" s="73">
        <f>undergrid!Y16</f>
        <v>0</v>
      </c>
      <c r="AE16" s="75">
        <f t="shared" si="6"/>
        <v>0</v>
      </c>
      <c r="AF16" s="109">
        <f>undergrid!AA16</f>
        <v>0</v>
      </c>
      <c r="AG16" s="110">
        <f>undergrid!AE16</f>
        <v>0</v>
      </c>
      <c r="AH16" s="93">
        <f t="shared" si="7"/>
        <v>0</v>
      </c>
      <c r="AI16" s="93">
        <f t="shared" si="8"/>
        <v>0</v>
      </c>
      <c r="AJ16" s="93">
        <f t="shared" si="9"/>
        <v>0</v>
      </c>
      <c r="AK16" s="93">
        <f>IF(AH16&gt;0.00001,undergrid!$AM$4,IF(Costs!AI16&gt;0.0001,((undergrid!$AQ$7*W16+undergrid!$AQ$8*undergrid!$AQ$9)*undergrid!$AQ$6)/W16,IF(Costs!AJ16&gt;0.0001,Costs!L16,0)))</f>
        <v>0</v>
      </c>
      <c r="AL16" s="1">
        <v>15</v>
      </c>
      <c r="AM16" s="121">
        <f t="shared" si="2"/>
        <v>6.7367400000000002</v>
      </c>
      <c r="AN16" s="122">
        <f t="shared" si="10"/>
        <v>-0.44268140000000006</v>
      </c>
      <c r="AO16" s="123">
        <f t="shared" si="11"/>
        <v>6.2940586000000005</v>
      </c>
      <c r="AR16" s="114">
        <f t="shared" si="12"/>
        <v>18.651</v>
      </c>
      <c r="AS16" s="32">
        <f t="shared" si="13"/>
        <v>18.651</v>
      </c>
      <c r="AT16" s="33">
        <f t="shared" si="14"/>
        <v>0</v>
      </c>
    </row>
    <row r="17" spans="1:46" x14ac:dyDescent="0.3">
      <c r="A17" s="4" t="str">
        <f>undergrid!B17</f>
        <v>h016</v>
      </c>
      <c r="B17" s="73">
        <f>undergrid!C17*2</f>
        <v>4.08</v>
      </c>
      <c r="C17" s="74">
        <f>undergrid!$AQ$2*Costs!B17</f>
        <v>2.04</v>
      </c>
      <c r="D17" s="74">
        <f t="shared" si="3"/>
        <v>4.08</v>
      </c>
      <c r="E17" s="75">
        <f>D17*undergrid!$AQ$2</f>
        <v>2.04</v>
      </c>
      <c r="F17" s="73">
        <f>undergrid!E17</f>
        <v>4.4059999999999997</v>
      </c>
      <c r="G17" s="74">
        <f>F17*undergrid!$AQ$3</f>
        <v>0.61684000000000005</v>
      </c>
      <c r="H17" s="74">
        <f t="shared" si="4"/>
        <v>4.4059999999999997</v>
      </c>
      <c r="I17" s="75">
        <f>H17*undergrid!$AQ$3</f>
        <v>0.61684000000000005</v>
      </c>
      <c r="J17" s="73">
        <f>undergrid!G17</f>
        <v>0.13</v>
      </c>
      <c r="K17" s="75">
        <f t="shared" si="0"/>
        <v>0.13940451610217064</v>
      </c>
      <c r="L17" s="73">
        <f>undergrid!I17</f>
        <v>0.15</v>
      </c>
      <c r="M17" s="75">
        <f t="shared" si="1"/>
        <v>0</v>
      </c>
      <c r="N17" s="81">
        <f>undergrid!K17</f>
        <v>2</v>
      </c>
      <c r="O17" s="82"/>
      <c r="P17" s="81">
        <f>undergrid!M17</f>
        <v>9.6199999999999992</v>
      </c>
      <c r="Q17" s="82"/>
      <c r="R17" s="73">
        <f>undergrid!O17</f>
        <v>5.5060208621242168E-2</v>
      </c>
      <c r="S17" s="74">
        <f>R17*undergrid!$AQ$5</f>
        <v>2.2024083448496866E-7</v>
      </c>
      <c r="T17" s="75">
        <f>R17*(1-Graphs!$AD$1)</f>
        <v>2.7530104310621107E-3</v>
      </c>
      <c r="U17" s="73">
        <f>undergrid!Q17</f>
        <v>9.6199999999999992</v>
      </c>
      <c r="V17" s="75">
        <f>IF(U17&lt;0.001,0,P17*undergrid!$AQ$4)</f>
        <v>1.9239999999999999E-5</v>
      </c>
      <c r="W17" s="73">
        <f>undergrid!S17</f>
        <v>0</v>
      </c>
      <c r="X17" s="106">
        <f>IF(undergrid!AI17&gt;0,(undergrid!$AQ$7*W17+undergrid!$AQ$8*undergrid!$AQ$9)*undergrid!$AQ$6,0)+undergrid!AG17*undergrid!$AQ$10</f>
        <v>0</v>
      </c>
      <c r="Y17" s="73">
        <f>undergrid!U17</f>
        <v>0</v>
      </c>
      <c r="Z17" s="74">
        <f>Y17*undergrid!$AQ$5</f>
        <v>0</v>
      </c>
      <c r="AA17" s="75">
        <f>Y17*(1-Graphs!$AD$2)</f>
        <v>0</v>
      </c>
      <c r="AB17" s="73">
        <f>undergrid!W17</f>
        <v>0</v>
      </c>
      <c r="AC17" s="75">
        <f t="shared" si="5"/>
        <v>0</v>
      </c>
      <c r="AD17" s="73">
        <f>undergrid!Y17</f>
        <v>1.0723424315551586</v>
      </c>
      <c r="AE17" s="75">
        <f t="shared" si="6"/>
        <v>0.13940451610217064</v>
      </c>
      <c r="AF17" s="109">
        <f>undergrid!AA17</f>
        <v>0</v>
      </c>
      <c r="AG17" s="110">
        <f>undergrid!AE17</f>
        <v>0</v>
      </c>
      <c r="AH17" s="93">
        <f t="shared" si="7"/>
        <v>6.1657568444840827E-2</v>
      </c>
      <c r="AI17" s="93">
        <f t="shared" si="8"/>
        <v>0</v>
      </c>
      <c r="AJ17" s="93">
        <f t="shared" si="9"/>
        <v>0</v>
      </c>
      <c r="AK17" s="93">
        <f>IF(AH17&gt;0.00001,undergrid!$AM$4,IF(Costs!AI17&gt;0.0001,((undergrid!$AQ$7*W17+undergrid!$AQ$8*undergrid!$AQ$9)*undergrid!$AQ$6)/W17,IF(Costs!AJ17&gt;0.0001,Costs!L17,0)))</f>
        <v>6.3317080478592676</v>
      </c>
      <c r="AL17" s="1">
        <v>16</v>
      </c>
      <c r="AM17" s="121">
        <f t="shared" si="2"/>
        <v>2.7962445161021705</v>
      </c>
      <c r="AN17" s="122">
        <f t="shared" si="10"/>
        <v>-1.9460240834484967E-5</v>
      </c>
      <c r="AO17" s="123">
        <f t="shared" si="11"/>
        <v>2.7962250558613362</v>
      </c>
      <c r="AR17" s="114">
        <f t="shared" si="12"/>
        <v>9.6134026401764014</v>
      </c>
      <c r="AS17" s="32">
        <f t="shared" si="13"/>
        <v>9.6199999999999992</v>
      </c>
      <c r="AT17" s="33">
        <f t="shared" si="14"/>
        <v>6.5973598235977704E-3</v>
      </c>
    </row>
    <row r="18" spans="1:46" x14ac:dyDescent="0.3">
      <c r="A18" s="4" t="str">
        <f>undergrid!B18</f>
        <v>h017</v>
      </c>
      <c r="B18" s="73">
        <f>undergrid!C18*2</f>
        <v>7</v>
      </c>
      <c r="C18" s="74">
        <f>undergrid!$AQ$2*Costs!B18</f>
        <v>3.5</v>
      </c>
      <c r="D18" s="74">
        <f t="shared" si="3"/>
        <v>7</v>
      </c>
      <c r="E18" s="75">
        <f>D18*undergrid!$AQ$2</f>
        <v>3.5</v>
      </c>
      <c r="F18" s="73">
        <f>undergrid!E18</f>
        <v>7.5510000000000002</v>
      </c>
      <c r="G18" s="74">
        <f>F18*undergrid!$AQ$3</f>
        <v>1.0571400000000002</v>
      </c>
      <c r="H18" s="74">
        <f t="shared" si="4"/>
        <v>7.5510000000000002</v>
      </c>
      <c r="I18" s="75">
        <f>H18*undergrid!$AQ$3</f>
        <v>1.0571400000000002</v>
      </c>
      <c r="J18" s="73">
        <f>undergrid!G18</f>
        <v>0.13</v>
      </c>
      <c r="K18" s="75">
        <f t="shared" si="0"/>
        <v>0</v>
      </c>
      <c r="L18" s="73">
        <f>undergrid!I18</f>
        <v>0.15</v>
      </c>
      <c r="M18" s="75">
        <f t="shared" si="1"/>
        <v>0.69464999999999999</v>
      </c>
      <c r="N18" s="81">
        <f>undergrid!K18</f>
        <v>2</v>
      </c>
      <c r="O18" s="82"/>
      <c r="P18" s="81">
        <f>undergrid!M18</f>
        <v>9.92</v>
      </c>
      <c r="Q18" s="82"/>
      <c r="R18" s="73">
        <f>undergrid!O18</f>
        <v>0</v>
      </c>
      <c r="S18" s="74">
        <f>R18*undergrid!$AQ$5</f>
        <v>0</v>
      </c>
      <c r="T18" s="75">
        <f>R18*(1-Graphs!$AD$1)</f>
        <v>0</v>
      </c>
      <c r="U18" s="73">
        <f>undergrid!Q18</f>
        <v>9.92</v>
      </c>
      <c r="V18" s="75">
        <f>IF(U18&lt;0.001,0,P18*undergrid!$AQ$4)</f>
        <v>1.984E-5</v>
      </c>
      <c r="W18" s="73">
        <f>undergrid!S18</f>
        <v>0</v>
      </c>
      <c r="X18" s="106">
        <f>IF(undergrid!AI18&gt;0,(undergrid!$AQ$7*W18+undergrid!$AQ$8*undergrid!$AQ$9)*undergrid!$AQ$6,0)+undergrid!AG18*undergrid!$AQ$10</f>
        <v>0</v>
      </c>
      <c r="Y18" s="73">
        <f>undergrid!U18</f>
        <v>0</v>
      </c>
      <c r="Z18" s="74">
        <f>Y18*undergrid!$AQ$5</f>
        <v>0</v>
      </c>
      <c r="AA18" s="75">
        <f>Y18*(1-Graphs!$AD$2)</f>
        <v>0</v>
      </c>
      <c r="AB18" s="73">
        <f>undergrid!W18</f>
        <v>4.6310000000000002</v>
      </c>
      <c r="AC18" s="75">
        <f t="shared" si="5"/>
        <v>0.69464999999999999</v>
      </c>
      <c r="AD18" s="73">
        <f>undergrid!Y18</f>
        <v>0</v>
      </c>
      <c r="AE18" s="75">
        <f t="shared" si="6"/>
        <v>0</v>
      </c>
      <c r="AF18" s="109">
        <f>undergrid!AA18</f>
        <v>0</v>
      </c>
      <c r="AG18" s="110">
        <f>undergrid!AE18</f>
        <v>0</v>
      </c>
      <c r="AH18" s="93">
        <f t="shared" si="7"/>
        <v>0</v>
      </c>
      <c r="AI18" s="93">
        <f t="shared" si="8"/>
        <v>0</v>
      </c>
      <c r="AJ18" s="93">
        <f t="shared" si="9"/>
        <v>0</v>
      </c>
      <c r="AK18" s="93">
        <f>IF(AH18&gt;0.00001,undergrid!$AM$4,IF(Costs!AI18&gt;0.0001,((undergrid!$AQ$7*W18+undergrid!$AQ$8*undergrid!$AQ$9)*undergrid!$AQ$6)/W18,IF(Costs!AJ18&gt;0.0001,Costs!L18,0)))</f>
        <v>0</v>
      </c>
      <c r="AL18" s="1">
        <v>17</v>
      </c>
      <c r="AM18" s="121">
        <f t="shared" si="2"/>
        <v>4.5571400000000004</v>
      </c>
      <c r="AN18" s="122">
        <f t="shared" si="10"/>
        <v>-0.69466983999999998</v>
      </c>
      <c r="AO18" s="123">
        <f t="shared" si="11"/>
        <v>3.8624701600000004</v>
      </c>
      <c r="AR18" s="114">
        <f t="shared" si="12"/>
        <v>14.551</v>
      </c>
      <c r="AS18" s="32">
        <f t="shared" si="13"/>
        <v>14.551</v>
      </c>
      <c r="AT18" s="33">
        <f t="shared" si="14"/>
        <v>0</v>
      </c>
    </row>
    <row r="19" spans="1:46" x14ac:dyDescent="0.3">
      <c r="A19" s="4" t="str">
        <f>undergrid!B19</f>
        <v>h018</v>
      </c>
      <c r="B19" s="73">
        <f>undergrid!C19*2</f>
        <v>6.5</v>
      </c>
      <c r="C19" s="74">
        <f>undergrid!$AQ$2*Costs!B19</f>
        <v>3.25</v>
      </c>
      <c r="D19" s="74">
        <f t="shared" si="3"/>
        <v>6.5</v>
      </c>
      <c r="E19" s="75">
        <f>D19*undergrid!$AQ$2</f>
        <v>3.25</v>
      </c>
      <c r="F19" s="73">
        <f>undergrid!E19</f>
        <v>5.9450000000000003</v>
      </c>
      <c r="G19" s="74">
        <f>F19*undergrid!$AQ$3</f>
        <v>0.83230000000000015</v>
      </c>
      <c r="H19" s="74">
        <f t="shared" si="4"/>
        <v>5.9450000000000003</v>
      </c>
      <c r="I19" s="75">
        <f>H19*undergrid!$AQ$3</f>
        <v>0.83230000000000015</v>
      </c>
      <c r="J19" s="73">
        <f>undergrid!G19</f>
        <v>0.13</v>
      </c>
      <c r="K19" s="75">
        <f t="shared" si="0"/>
        <v>0</v>
      </c>
      <c r="L19" s="73">
        <f>undergrid!I19</f>
        <v>0.15</v>
      </c>
      <c r="M19" s="75">
        <f t="shared" si="1"/>
        <v>1.2731307284212159</v>
      </c>
      <c r="N19" s="81">
        <f>undergrid!K19</f>
        <v>2</v>
      </c>
      <c r="O19" s="82"/>
      <c r="P19" s="81">
        <f>undergrid!M19</f>
        <v>3.97</v>
      </c>
      <c r="Q19" s="82"/>
      <c r="R19" s="73">
        <f>undergrid!O19</f>
        <v>1.1196603200971822E-2</v>
      </c>
      <c r="S19" s="74">
        <f>R19*undergrid!$AQ$5</f>
        <v>4.4786412803887286E-8</v>
      </c>
      <c r="T19" s="75">
        <f>R19*(1-Graphs!$AD$1)</f>
        <v>5.5983016004859155E-4</v>
      </c>
      <c r="U19" s="73">
        <f>undergrid!Q19</f>
        <v>3.97</v>
      </c>
      <c r="V19" s="75">
        <f>IF(U19&lt;0.001,0,P19*undergrid!$AQ$4)</f>
        <v>7.9400000000000002E-6</v>
      </c>
      <c r="W19" s="73">
        <f>undergrid!S19</f>
        <v>0</v>
      </c>
      <c r="X19" s="106">
        <f>IF(undergrid!AI19&gt;0,(undergrid!$AQ$7*W19+undergrid!$AQ$8*undergrid!$AQ$9)*undergrid!$AQ$6,0)+undergrid!AG19*undergrid!$AQ$10</f>
        <v>0</v>
      </c>
      <c r="Y19" s="73">
        <f>undergrid!U19</f>
        <v>0</v>
      </c>
      <c r="Z19" s="74">
        <f>Y19*undergrid!$AQ$5</f>
        <v>0</v>
      </c>
      <c r="AA19" s="75">
        <f>Y19*(1-Graphs!$AD$2)</f>
        <v>0</v>
      </c>
      <c r="AB19" s="73">
        <f>undergrid!W19</f>
        <v>8.4875381894747726</v>
      </c>
      <c r="AC19" s="75">
        <f t="shared" si="5"/>
        <v>1.2731307284212159</v>
      </c>
      <c r="AD19" s="73">
        <f>undergrid!Y19</f>
        <v>0</v>
      </c>
      <c r="AE19" s="75">
        <f t="shared" si="6"/>
        <v>0</v>
      </c>
      <c r="AF19" s="109">
        <f>undergrid!AA19</f>
        <v>0</v>
      </c>
      <c r="AG19" s="110">
        <f>undergrid!AE19</f>
        <v>0</v>
      </c>
      <c r="AH19" s="93">
        <f t="shared" si="7"/>
        <v>0</v>
      </c>
      <c r="AI19" s="93">
        <f t="shared" si="8"/>
        <v>0</v>
      </c>
      <c r="AJ19" s="93">
        <f t="shared" si="9"/>
        <v>1.2538189474772476E-2</v>
      </c>
      <c r="AK19" s="93">
        <f>IF(AH19&gt;0.00001,undergrid!$AM$4,IF(Costs!AI19&gt;0.0001,((undergrid!$AQ$7*W19+undergrid!$AQ$8*undergrid!$AQ$9)*undergrid!$AQ$6)/W19,IF(Costs!AJ19&gt;0.0001,Costs!L19,0)))</f>
        <v>0.15</v>
      </c>
      <c r="AL19" s="1">
        <v>18</v>
      </c>
      <c r="AM19" s="121">
        <f t="shared" si="2"/>
        <v>4.0823</v>
      </c>
      <c r="AN19" s="122">
        <f t="shared" si="10"/>
        <v>-1.2731387132076286</v>
      </c>
      <c r="AO19" s="123">
        <f t="shared" si="11"/>
        <v>2.8091612867923716</v>
      </c>
      <c r="AR19" s="114">
        <f t="shared" si="12"/>
        <v>12.456196603200972</v>
      </c>
      <c r="AS19" s="32">
        <f t="shared" si="13"/>
        <v>12.457538189474773</v>
      </c>
      <c r="AT19" s="33">
        <f t="shared" si="14"/>
        <v>1.3415862738010986E-3</v>
      </c>
    </row>
    <row r="20" spans="1:46" x14ac:dyDescent="0.3">
      <c r="A20" s="4" t="str">
        <f>undergrid!B20</f>
        <v>h019</v>
      </c>
      <c r="B20" s="73">
        <f>undergrid!C20*2</f>
        <v>11.02</v>
      </c>
      <c r="C20" s="74">
        <f>undergrid!$AQ$2*Costs!B20</f>
        <v>5.51</v>
      </c>
      <c r="D20" s="74">
        <f t="shared" si="3"/>
        <v>11.02</v>
      </c>
      <c r="E20" s="75">
        <f>D20*undergrid!$AQ$2</f>
        <v>5.51</v>
      </c>
      <c r="F20" s="73">
        <f>undergrid!E20</f>
        <v>4.5010000000000003</v>
      </c>
      <c r="G20" s="74">
        <f>F20*undergrid!$AQ$3</f>
        <v>0.63014000000000014</v>
      </c>
      <c r="H20" s="74">
        <f t="shared" si="4"/>
        <v>0</v>
      </c>
      <c r="I20" s="75">
        <f>H20*undergrid!$AQ$3</f>
        <v>0</v>
      </c>
      <c r="J20" s="73">
        <f>undergrid!G20</f>
        <v>0.13</v>
      </c>
      <c r="K20" s="75">
        <f t="shared" si="0"/>
        <v>0</v>
      </c>
      <c r="L20" s="73">
        <f>undergrid!I20</f>
        <v>0.15</v>
      </c>
      <c r="M20" s="75">
        <f t="shared" si="1"/>
        <v>0</v>
      </c>
      <c r="N20" s="81">
        <f>undergrid!K20</f>
        <v>1</v>
      </c>
      <c r="O20" s="82"/>
      <c r="P20" s="81">
        <f>undergrid!M20</f>
        <v>2.06</v>
      </c>
      <c r="Q20" s="82"/>
      <c r="R20" s="73">
        <f>undergrid!O20</f>
        <v>0</v>
      </c>
      <c r="S20" s="74">
        <f>R20*undergrid!$AQ$5</f>
        <v>0</v>
      </c>
      <c r="T20" s="75">
        <f>R20*(1-Graphs!$AD$1)</f>
        <v>0</v>
      </c>
      <c r="U20" s="73">
        <f>undergrid!Q20</f>
        <v>2.06</v>
      </c>
      <c r="V20" s="75">
        <f>IF(U20&lt;0.001,0,P20*undergrid!$AQ$4)</f>
        <v>4.1199999999999995E-6</v>
      </c>
      <c r="W20" s="73">
        <f>undergrid!S20</f>
        <v>0</v>
      </c>
      <c r="X20" s="106">
        <f>IF(undergrid!AI20&gt;0,(undergrid!$AQ$7*W20+undergrid!$AQ$8*undergrid!$AQ$9)*undergrid!$AQ$6,0)+undergrid!AG20*undergrid!$AQ$10</f>
        <v>0</v>
      </c>
      <c r="Y20" s="73">
        <f>undergrid!U20</f>
        <v>9.9555555555555575</v>
      </c>
      <c r="Z20" s="74">
        <f>Y20*undergrid!$AQ$5</f>
        <v>3.9822222222222231E-5</v>
      </c>
      <c r="AA20" s="75">
        <f>Y20*(1-Graphs!$AD$2)</f>
        <v>0.99555555555555553</v>
      </c>
      <c r="AB20" s="73">
        <f>undergrid!W20</f>
        <v>0</v>
      </c>
      <c r="AC20" s="75">
        <f t="shared" si="5"/>
        <v>0</v>
      </c>
      <c r="AD20" s="73">
        <f>undergrid!Y20</f>
        <v>0</v>
      </c>
      <c r="AE20" s="75">
        <f t="shared" si="6"/>
        <v>0</v>
      </c>
      <c r="AF20" s="109">
        <f>undergrid!AA20</f>
        <v>0</v>
      </c>
      <c r="AG20" s="110">
        <f>undergrid!AE20</f>
        <v>4.5010000000000003</v>
      </c>
      <c r="AH20" s="93">
        <f t="shared" si="7"/>
        <v>0</v>
      </c>
      <c r="AI20" s="93">
        <f t="shared" si="8"/>
        <v>0</v>
      </c>
      <c r="AJ20" s="93">
        <f t="shared" si="9"/>
        <v>0</v>
      </c>
      <c r="AK20" s="93">
        <f>IF(AH20&gt;0.00001,undergrid!$AM$4,IF(Costs!AI20&gt;0.0001,((undergrid!$AQ$7*W20+undergrid!$AQ$8*undergrid!$AQ$9)*undergrid!$AQ$6)/W20,IF(Costs!AJ20&gt;0.0001,Costs!L20,0)))</f>
        <v>0</v>
      </c>
      <c r="AL20" s="1">
        <v>19</v>
      </c>
      <c r="AM20" s="121">
        <f t="shared" si="2"/>
        <v>5.51</v>
      </c>
      <c r="AN20" s="122">
        <f t="shared" si="10"/>
        <v>-4.3942222222222232E-5</v>
      </c>
      <c r="AO20" s="123">
        <f t="shared" si="11"/>
        <v>5.509956057777778</v>
      </c>
      <c r="AR20" s="114">
        <f t="shared" si="12"/>
        <v>11.02</v>
      </c>
      <c r="AS20" s="32">
        <f t="shared" si="13"/>
        <v>12.015555555555558</v>
      </c>
      <c r="AT20" s="33">
        <f t="shared" si="14"/>
        <v>0.99555555555555841</v>
      </c>
    </row>
    <row r="21" spans="1:46" x14ac:dyDescent="0.3">
      <c r="A21" s="4" t="str">
        <f>undergrid!B21</f>
        <v>h020</v>
      </c>
      <c r="B21" s="73">
        <f>undergrid!C21*2</f>
        <v>5.42</v>
      </c>
      <c r="C21" s="74">
        <f>undergrid!$AQ$2*Costs!B21</f>
        <v>2.71</v>
      </c>
      <c r="D21" s="74">
        <f t="shared" si="3"/>
        <v>5.42</v>
      </c>
      <c r="E21" s="75">
        <f>D21*undergrid!$AQ$2</f>
        <v>2.71</v>
      </c>
      <c r="F21" s="73">
        <f>undergrid!E21</f>
        <v>3.5840000000000001</v>
      </c>
      <c r="G21" s="74">
        <f>F21*undergrid!$AQ$3</f>
        <v>0.50176000000000009</v>
      </c>
      <c r="H21" s="74">
        <f t="shared" si="4"/>
        <v>0</v>
      </c>
      <c r="I21" s="75">
        <f>H21*undergrid!$AQ$3</f>
        <v>0</v>
      </c>
      <c r="J21" s="73">
        <f>undergrid!G21</f>
        <v>0.13</v>
      </c>
      <c r="K21" s="75">
        <f t="shared" si="0"/>
        <v>0</v>
      </c>
      <c r="L21" s="73">
        <f>undergrid!I21</f>
        <v>0.15</v>
      </c>
      <c r="M21" s="75">
        <f t="shared" si="1"/>
        <v>0</v>
      </c>
      <c r="N21" s="81">
        <f>undergrid!K21</f>
        <v>1</v>
      </c>
      <c r="O21" s="82"/>
      <c r="P21" s="81">
        <f>undergrid!M21</f>
        <v>4.5E-10</v>
      </c>
      <c r="Q21" s="82"/>
      <c r="R21" s="73">
        <f>undergrid!O21</f>
        <v>0</v>
      </c>
      <c r="S21" s="74">
        <f>R21*undergrid!$AQ$5</f>
        <v>0</v>
      </c>
      <c r="T21" s="75">
        <f>R21*(1-Graphs!$AD$1)</f>
        <v>0</v>
      </c>
      <c r="U21" s="73">
        <f>undergrid!Q21</f>
        <v>0</v>
      </c>
      <c r="V21" s="75">
        <f>IF(U21&lt;0.001,0,P21*undergrid!$AQ$4)</f>
        <v>0</v>
      </c>
      <c r="W21" s="73">
        <f>undergrid!S21</f>
        <v>0</v>
      </c>
      <c r="X21" s="106">
        <f>IF(undergrid!AI21&gt;0,(undergrid!$AQ$7*W21+undergrid!$AQ$8*undergrid!$AQ$9)*undergrid!$AQ$6,0)+undergrid!AG21*undergrid!$AQ$10</f>
        <v>0</v>
      </c>
      <c r="Y21" s="73">
        <f>undergrid!U21</f>
        <v>6.0222222217222221</v>
      </c>
      <c r="Z21" s="74">
        <f>Y21*undergrid!$AQ$5</f>
        <v>2.4088888886888886E-5</v>
      </c>
      <c r="AA21" s="75">
        <f>Y21*(1-Graphs!$AD$2)</f>
        <v>0.6022222221722221</v>
      </c>
      <c r="AB21" s="73">
        <f>undergrid!W21</f>
        <v>0</v>
      </c>
      <c r="AC21" s="75">
        <f t="shared" si="5"/>
        <v>0</v>
      </c>
      <c r="AD21" s="73">
        <f>undergrid!Y21</f>
        <v>0</v>
      </c>
      <c r="AE21" s="75">
        <f t="shared" si="6"/>
        <v>0</v>
      </c>
      <c r="AF21" s="109">
        <f>undergrid!AA21</f>
        <v>0</v>
      </c>
      <c r="AG21" s="110">
        <f>undergrid!AE21</f>
        <v>3.5840000000000001</v>
      </c>
      <c r="AH21" s="93">
        <f t="shared" si="7"/>
        <v>0</v>
      </c>
      <c r="AI21" s="93">
        <f t="shared" si="8"/>
        <v>0</v>
      </c>
      <c r="AJ21" s="93">
        <f t="shared" si="9"/>
        <v>0</v>
      </c>
      <c r="AK21" s="93">
        <f>IF(AH21&gt;0.00001,undergrid!$AM$4,IF(Costs!AI21&gt;0.0001,((undergrid!$AQ$7*W21+undergrid!$AQ$8*undergrid!$AQ$9)*undergrid!$AQ$6)/W21,IF(Costs!AJ21&gt;0.0001,Costs!L21,0)))</f>
        <v>0</v>
      </c>
      <c r="AL21" s="1">
        <v>20</v>
      </c>
      <c r="AM21" s="121">
        <f t="shared" si="2"/>
        <v>2.71</v>
      </c>
      <c r="AN21" s="122">
        <f t="shared" si="10"/>
        <v>-2.4088888886888886E-5</v>
      </c>
      <c r="AO21" s="123">
        <f t="shared" si="11"/>
        <v>2.7099759111111132</v>
      </c>
      <c r="AR21" s="114">
        <f t="shared" si="12"/>
        <v>5.42</v>
      </c>
      <c r="AS21" s="32">
        <f t="shared" si="13"/>
        <v>6.0222222217222221</v>
      </c>
      <c r="AT21" s="33">
        <f t="shared" si="14"/>
        <v>0.60222222172222217</v>
      </c>
    </row>
    <row r="22" spans="1:46" x14ac:dyDescent="0.3">
      <c r="A22" s="4" t="str">
        <f>undergrid!B22</f>
        <v>h021</v>
      </c>
      <c r="B22" s="73">
        <f>undergrid!C22*2</f>
        <v>21.28</v>
      </c>
      <c r="C22" s="74">
        <f>undergrid!$AQ$2*Costs!B22</f>
        <v>10.64</v>
      </c>
      <c r="D22" s="74">
        <f t="shared" si="3"/>
        <v>21.28</v>
      </c>
      <c r="E22" s="75">
        <f>D22*undergrid!$AQ$2</f>
        <v>10.64</v>
      </c>
      <c r="F22" s="73">
        <f>undergrid!E22</f>
        <v>3.871</v>
      </c>
      <c r="G22" s="74">
        <f>F22*undergrid!$AQ$3</f>
        <v>0.54194000000000009</v>
      </c>
      <c r="H22" s="74">
        <f t="shared" si="4"/>
        <v>0</v>
      </c>
      <c r="I22" s="75">
        <f>H22*undergrid!$AQ$3</f>
        <v>0</v>
      </c>
      <c r="J22" s="73">
        <f>undergrid!G22</f>
        <v>0.13</v>
      </c>
      <c r="K22" s="75">
        <f t="shared" si="0"/>
        <v>0</v>
      </c>
      <c r="L22" s="73">
        <f>undergrid!I22</f>
        <v>0.15</v>
      </c>
      <c r="M22" s="75">
        <f t="shared" si="1"/>
        <v>0</v>
      </c>
      <c r="N22" s="81">
        <f>undergrid!K22</f>
        <v>1</v>
      </c>
      <c r="O22" s="82"/>
      <c r="P22" s="81">
        <f>undergrid!M22</f>
        <v>4.5E-10</v>
      </c>
      <c r="Q22" s="82"/>
      <c r="R22" s="73">
        <f>undergrid!O22</f>
        <v>0</v>
      </c>
      <c r="S22" s="74">
        <f>R22*undergrid!$AQ$5</f>
        <v>0</v>
      </c>
      <c r="T22" s="75">
        <f>R22*(1-Graphs!$AD$1)</f>
        <v>0</v>
      </c>
      <c r="U22" s="73">
        <f>undergrid!Q22</f>
        <v>0</v>
      </c>
      <c r="V22" s="75">
        <f>IF(U22&lt;0.001,0,P22*undergrid!$AQ$4)</f>
        <v>0</v>
      </c>
      <c r="W22" s="73">
        <f>undergrid!S22</f>
        <v>0</v>
      </c>
      <c r="X22" s="106">
        <f>IF(undergrid!AI22&gt;0,(undergrid!$AQ$7*W22+undergrid!$AQ$8*undergrid!$AQ$9)*undergrid!$AQ$6,0)+undergrid!AG22*undergrid!$AQ$10</f>
        <v>0</v>
      </c>
      <c r="Y22" s="73">
        <f>undergrid!U22</f>
        <v>23.644444443944447</v>
      </c>
      <c r="Z22" s="74">
        <f>Y22*undergrid!$AQ$5</f>
        <v>9.4577777775777783E-5</v>
      </c>
      <c r="AA22" s="75">
        <f>Y22*(1-Graphs!$AD$2)</f>
        <v>2.3644444443944441</v>
      </c>
      <c r="AB22" s="73">
        <f>undergrid!W22</f>
        <v>0</v>
      </c>
      <c r="AC22" s="75">
        <f t="shared" si="5"/>
        <v>0</v>
      </c>
      <c r="AD22" s="73">
        <f>undergrid!Y22</f>
        <v>0</v>
      </c>
      <c r="AE22" s="75">
        <f t="shared" si="6"/>
        <v>0</v>
      </c>
      <c r="AF22" s="109">
        <f>undergrid!AA22</f>
        <v>0</v>
      </c>
      <c r="AG22" s="110">
        <f>undergrid!AE22</f>
        <v>3.871</v>
      </c>
      <c r="AH22" s="93">
        <f t="shared" si="7"/>
        <v>0</v>
      </c>
      <c r="AI22" s="93">
        <f t="shared" si="8"/>
        <v>0</v>
      </c>
      <c r="AJ22" s="93">
        <f t="shared" si="9"/>
        <v>0</v>
      </c>
      <c r="AK22" s="93">
        <f>IF(AH22&gt;0.00001,undergrid!$AM$4,IF(Costs!AI22&gt;0.0001,((undergrid!$AQ$7*W22+undergrid!$AQ$8*undergrid!$AQ$9)*undergrid!$AQ$6)/W22,IF(Costs!AJ22&gt;0.0001,Costs!L22,0)))</f>
        <v>0</v>
      </c>
      <c r="AL22" s="1">
        <v>21</v>
      </c>
      <c r="AM22" s="121">
        <f t="shared" si="2"/>
        <v>10.64</v>
      </c>
      <c r="AN22" s="122">
        <f t="shared" si="10"/>
        <v>-9.4577777775777783E-5</v>
      </c>
      <c r="AO22" s="123">
        <f t="shared" si="11"/>
        <v>10.639905422222224</v>
      </c>
      <c r="AR22" s="114">
        <f t="shared" si="12"/>
        <v>21.28</v>
      </c>
      <c r="AS22" s="32">
        <f t="shared" si="13"/>
        <v>23.644444443944447</v>
      </c>
      <c r="AT22" s="33">
        <f t="shared" si="14"/>
        <v>2.3644444439444463</v>
      </c>
    </row>
    <row r="23" spans="1:46" x14ac:dyDescent="0.3">
      <c r="A23" s="4" t="str">
        <f>undergrid!B23</f>
        <v>h022</v>
      </c>
      <c r="B23" s="73">
        <f>undergrid!C23*2</f>
        <v>23.28</v>
      </c>
      <c r="C23" s="74">
        <f>undergrid!$AQ$2*Costs!B23</f>
        <v>11.64</v>
      </c>
      <c r="D23" s="74">
        <f t="shared" si="3"/>
        <v>23.28</v>
      </c>
      <c r="E23" s="75">
        <f>D23*undergrid!$AQ$2</f>
        <v>11.64</v>
      </c>
      <c r="F23" s="73">
        <f>undergrid!E23</f>
        <v>2.7050000000000001</v>
      </c>
      <c r="G23" s="74">
        <f>F23*undergrid!$AQ$3</f>
        <v>0.37870000000000004</v>
      </c>
      <c r="H23" s="74">
        <f t="shared" si="4"/>
        <v>0</v>
      </c>
      <c r="I23" s="75">
        <f>H23*undergrid!$AQ$3</f>
        <v>0</v>
      </c>
      <c r="J23" s="73">
        <f>undergrid!G23</f>
        <v>0.13</v>
      </c>
      <c r="K23" s="75">
        <f t="shared" si="0"/>
        <v>0</v>
      </c>
      <c r="L23" s="73">
        <f>undergrid!I23</f>
        <v>0.15</v>
      </c>
      <c r="M23" s="75">
        <f t="shared" si="1"/>
        <v>0</v>
      </c>
      <c r="N23" s="81">
        <f>undergrid!K23</f>
        <v>1</v>
      </c>
      <c r="O23" s="82"/>
      <c r="P23" s="81">
        <f>undergrid!M23</f>
        <v>4.5E-10</v>
      </c>
      <c r="Q23" s="82"/>
      <c r="R23" s="73">
        <f>undergrid!O23</f>
        <v>0</v>
      </c>
      <c r="S23" s="74">
        <f>R23*undergrid!$AQ$5</f>
        <v>0</v>
      </c>
      <c r="T23" s="75">
        <f>R23*(1-Graphs!$AD$1)</f>
        <v>0</v>
      </c>
      <c r="U23" s="73">
        <f>undergrid!Q23</f>
        <v>0</v>
      </c>
      <c r="V23" s="75">
        <f>IF(U23&lt;0.001,0,P23*undergrid!$AQ$4)</f>
        <v>0</v>
      </c>
      <c r="W23" s="73">
        <f>undergrid!S23</f>
        <v>7.7458824778439643</v>
      </c>
      <c r="X23" s="106">
        <f>IF(undergrid!AI23&gt;0,(undergrid!$AQ$7*W23+undergrid!$AQ$8*undergrid!$AQ$9)*undergrid!$AQ$6,0)+undergrid!AG23*undergrid!$AQ$10</f>
        <v>2.7953797794804087</v>
      </c>
      <c r="Y23" s="73">
        <f>undergrid!U23</f>
        <v>17.260130579673373</v>
      </c>
      <c r="Z23" s="74">
        <f>Y23*undergrid!$AQ$5</f>
        <v>6.9040522318693481E-5</v>
      </c>
      <c r="AA23" s="75">
        <f>Y23*(1-Graphs!$AD$2)</f>
        <v>1.7260130579673369</v>
      </c>
      <c r="AB23" s="73">
        <f>undergrid!W23</f>
        <v>0</v>
      </c>
      <c r="AC23" s="75">
        <f t="shared" si="5"/>
        <v>0</v>
      </c>
      <c r="AD23" s="73">
        <f>undergrid!Y23</f>
        <v>0</v>
      </c>
      <c r="AE23" s="75">
        <f t="shared" si="6"/>
        <v>0</v>
      </c>
      <c r="AF23" s="109">
        <f>undergrid!AA23</f>
        <v>0</v>
      </c>
      <c r="AG23" s="110">
        <f>undergrid!AE23</f>
        <v>2.7050000000000001</v>
      </c>
      <c r="AH23" s="93">
        <f t="shared" si="7"/>
        <v>0</v>
      </c>
      <c r="AI23" s="93">
        <f t="shared" si="8"/>
        <v>0</v>
      </c>
      <c r="AJ23" s="93">
        <f t="shared" si="9"/>
        <v>0</v>
      </c>
      <c r="AK23" s="93">
        <f>IF(AH23&gt;0.00001,undergrid!$AM$4,IF(Costs!AI23&gt;0.0001,((undergrid!$AQ$7*W23+undergrid!$AQ$8*undergrid!$AQ$9)*undergrid!$AQ$6)/W23,IF(Costs!AJ23&gt;0.0001,Costs!L23,0)))</f>
        <v>0</v>
      </c>
      <c r="AL23" s="1">
        <v>22</v>
      </c>
      <c r="AM23" s="121">
        <f t="shared" si="2"/>
        <v>11.64</v>
      </c>
      <c r="AN23" s="122">
        <f t="shared" si="10"/>
        <v>-2.7954488200027274</v>
      </c>
      <c r="AO23" s="123">
        <f t="shared" si="11"/>
        <v>8.8445511799972731</v>
      </c>
      <c r="AR23" s="114">
        <f t="shared" si="12"/>
        <v>23.28</v>
      </c>
      <c r="AS23" s="32">
        <f t="shared" si="13"/>
        <v>25.006013057517336</v>
      </c>
      <c r="AT23" s="33">
        <f t="shared" si="14"/>
        <v>1.7260130575173349</v>
      </c>
    </row>
    <row r="24" spans="1:46" x14ac:dyDescent="0.3">
      <c r="A24" s="4" t="str">
        <f>undergrid!B24</f>
        <v>h023</v>
      </c>
      <c r="B24" s="73">
        <f>undergrid!C24*2</f>
        <v>6.32</v>
      </c>
      <c r="C24" s="74">
        <f>undergrid!$AQ$2*Costs!B24</f>
        <v>3.16</v>
      </c>
      <c r="D24" s="74">
        <f t="shared" si="3"/>
        <v>6.32</v>
      </c>
      <c r="E24" s="75">
        <f>D24*undergrid!$AQ$2</f>
        <v>3.16</v>
      </c>
      <c r="F24" s="73">
        <f>undergrid!E24</f>
        <v>1.956</v>
      </c>
      <c r="G24" s="74">
        <f>F24*undergrid!$AQ$3</f>
        <v>0.27384000000000003</v>
      </c>
      <c r="H24" s="74">
        <f t="shared" si="4"/>
        <v>0</v>
      </c>
      <c r="I24" s="75">
        <f>H24*undergrid!$AQ$3</f>
        <v>0</v>
      </c>
      <c r="J24" s="73">
        <f>undergrid!G24</f>
        <v>0.08</v>
      </c>
      <c r="K24" s="75">
        <f t="shared" si="0"/>
        <v>0</v>
      </c>
      <c r="L24" s="73">
        <f>undergrid!I24</f>
        <v>0.1</v>
      </c>
      <c r="M24" s="75">
        <f t="shared" si="1"/>
        <v>0</v>
      </c>
      <c r="N24" s="81">
        <f>undergrid!K24</f>
        <v>1</v>
      </c>
      <c r="O24" s="82"/>
      <c r="P24" s="81">
        <f>undergrid!M24</f>
        <v>4.5E-10</v>
      </c>
      <c r="Q24" s="82"/>
      <c r="R24" s="73">
        <f>undergrid!O24</f>
        <v>0</v>
      </c>
      <c r="S24" s="74">
        <f>R24*undergrid!$AQ$5</f>
        <v>0</v>
      </c>
      <c r="T24" s="75">
        <f>R24*(1-Graphs!$AD$1)</f>
        <v>0</v>
      </c>
      <c r="U24" s="73">
        <f>undergrid!Q24</f>
        <v>0</v>
      </c>
      <c r="V24" s="75">
        <f>IF(U24&lt;0.001,0,P24*undergrid!$AQ$4)</f>
        <v>0</v>
      </c>
      <c r="W24" s="73">
        <f>undergrid!S24</f>
        <v>0</v>
      </c>
      <c r="X24" s="106">
        <f>IF(undergrid!AI24&gt;0,(undergrid!$AQ$7*W24+undergrid!$AQ$8*undergrid!$AQ$9)*undergrid!$AQ$6,0)+undergrid!AG24*undergrid!$AQ$10</f>
        <v>0</v>
      </c>
      <c r="Y24" s="73">
        <f>undergrid!U24</f>
        <v>7.0222222217222221</v>
      </c>
      <c r="Z24" s="74">
        <f>Y24*undergrid!$AQ$5</f>
        <v>2.8088888886888888E-5</v>
      </c>
      <c r="AA24" s="75">
        <f>Y24*(1-Graphs!$AD$2)</f>
        <v>0.70222222217222208</v>
      </c>
      <c r="AB24" s="73">
        <f>undergrid!W24</f>
        <v>0</v>
      </c>
      <c r="AC24" s="75">
        <f t="shared" si="5"/>
        <v>0</v>
      </c>
      <c r="AD24" s="73">
        <f>undergrid!Y24</f>
        <v>0</v>
      </c>
      <c r="AE24" s="75">
        <f t="shared" si="6"/>
        <v>0</v>
      </c>
      <c r="AF24" s="109">
        <f>undergrid!AA24</f>
        <v>0</v>
      </c>
      <c r="AG24" s="110">
        <f>undergrid!AE24</f>
        <v>1.956</v>
      </c>
      <c r="AH24" s="93">
        <f t="shared" si="7"/>
        <v>0</v>
      </c>
      <c r="AI24" s="93">
        <f t="shared" si="8"/>
        <v>0</v>
      </c>
      <c r="AJ24" s="93">
        <f t="shared" si="9"/>
        <v>0</v>
      </c>
      <c r="AK24" s="93">
        <f>IF(AH24&gt;0.00001,undergrid!$AM$4,IF(Costs!AI24&gt;0.0001,((undergrid!$AQ$7*W24+undergrid!$AQ$8*undergrid!$AQ$9)*undergrid!$AQ$6)/W24,IF(Costs!AJ24&gt;0.0001,Costs!L24,0)))</f>
        <v>0</v>
      </c>
      <c r="AL24" s="1">
        <v>23</v>
      </c>
      <c r="AM24" s="121">
        <f t="shared" si="2"/>
        <v>3.16</v>
      </c>
      <c r="AN24" s="122">
        <f t="shared" si="10"/>
        <v>-2.8088888886888888E-5</v>
      </c>
      <c r="AO24" s="123">
        <f t="shared" si="11"/>
        <v>3.1599719111111133</v>
      </c>
      <c r="AR24" s="114">
        <f t="shared" si="12"/>
        <v>6.32</v>
      </c>
      <c r="AS24" s="32">
        <f t="shared" si="13"/>
        <v>7.0222222217222221</v>
      </c>
      <c r="AT24" s="33">
        <f t="shared" si="14"/>
        <v>0.70222222172222182</v>
      </c>
    </row>
    <row r="25" spans="1:46" x14ac:dyDescent="0.3">
      <c r="A25" s="4" t="str">
        <f>undergrid!B25</f>
        <v>h024</v>
      </c>
      <c r="B25" s="73">
        <f>undergrid!C25*2</f>
        <v>5.46</v>
      </c>
      <c r="C25" s="74">
        <f>undergrid!$AQ$2*Costs!B25</f>
        <v>2.73</v>
      </c>
      <c r="D25" s="74">
        <f t="shared" si="3"/>
        <v>5.46</v>
      </c>
      <c r="E25" s="75">
        <f>D25*undergrid!$AQ$2</f>
        <v>2.73</v>
      </c>
      <c r="F25" s="73">
        <f>undergrid!E25</f>
        <v>2.1419999999999999</v>
      </c>
      <c r="G25" s="74">
        <f>F25*undergrid!$AQ$3</f>
        <v>0.29988000000000004</v>
      </c>
      <c r="H25" s="74">
        <f t="shared" si="4"/>
        <v>0</v>
      </c>
      <c r="I25" s="75">
        <f>H25*undergrid!$AQ$3</f>
        <v>0</v>
      </c>
      <c r="J25" s="73">
        <f>undergrid!G25</f>
        <v>0.08</v>
      </c>
      <c r="K25" s="75">
        <f t="shared" si="0"/>
        <v>0</v>
      </c>
      <c r="L25" s="73">
        <f>undergrid!I25</f>
        <v>0.1</v>
      </c>
      <c r="M25" s="75">
        <f t="shared" si="1"/>
        <v>0</v>
      </c>
      <c r="N25" s="81">
        <f>undergrid!K25</f>
        <v>1</v>
      </c>
      <c r="O25" s="82"/>
      <c r="P25" s="81">
        <f>undergrid!M25</f>
        <v>4.5E-10</v>
      </c>
      <c r="Q25" s="82"/>
      <c r="R25" s="73">
        <f>undergrid!O25</f>
        <v>0</v>
      </c>
      <c r="S25" s="74">
        <f>R25*undergrid!$AQ$5</f>
        <v>0</v>
      </c>
      <c r="T25" s="75">
        <f>R25*(1-Graphs!$AD$1)</f>
        <v>0</v>
      </c>
      <c r="U25" s="73">
        <f>undergrid!Q25</f>
        <v>0</v>
      </c>
      <c r="V25" s="75">
        <f>IF(U25&lt;0.001,0,P25*undergrid!$AQ$4)</f>
        <v>0</v>
      </c>
      <c r="W25" s="73">
        <f>undergrid!S25</f>
        <v>0</v>
      </c>
      <c r="X25" s="106">
        <f>IF(undergrid!AI25&gt;0,(undergrid!$AQ$7*W25+undergrid!$AQ$8*undergrid!$AQ$9)*undergrid!$AQ$6,0)+undergrid!AG25*undergrid!$AQ$10</f>
        <v>0</v>
      </c>
      <c r="Y25" s="73">
        <f>undergrid!U25</f>
        <v>6.0666666661666673</v>
      </c>
      <c r="Z25" s="74">
        <f>Y25*undergrid!$AQ$5</f>
        <v>2.4266666664666669E-5</v>
      </c>
      <c r="AA25" s="75">
        <f>Y25*(1-Graphs!$AD$2)</f>
        <v>0.60666666661666657</v>
      </c>
      <c r="AB25" s="73">
        <f>undergrid!W25</f>
        <v>0</v>
      </c>
      <c r="AC25" s="75">
        <f t="shared" si="5"/>
        <v>0</v>
      </c>
      <c r="AD25" s="73">
        <f>undergrid!Y25</f>
        <v>0</v>
      </c>
      <c r="AE25" s="75">
        <f t="shared" si="6"/>
        <v>0</v>
      </c>
      <c r="AF25" s="109">
        <f>undergrid!AA25</f>
        <v>0</v>
      </c>
      <c r="AG25" s="110">
        <f>undergrid!AE25</f>
        <v>2.1419999999999999</v>
      </c>
      <c r="AH25" s="93">
        <f t="shared" si="7"/>
        <v>0</v>
      </c>
      <c r="AI25" s="93">
        <f t="shared" si="8"/>
        <v>0</v>
      </c>
      <c r="AJ25" s="93">
        <f t="shared" si="9"/>
        <v>0</v>
      </c>
      <c r="AK25" s="93">
        <f>IF(AH25&gt;0.00001,undergrid!$AM$4,IF(Costs!AI25&gt;0.0001,((undergrid!$AQ$7*W25+undergrid!$AQ$8*undergrid!$AQ$9)*undergrid!$AQ$6)/W25,IF(Costs!AJ25&gt;0.0001,Costs!L25,0)))</f>
        <v>0</v>
      </c>
      <c r="AL25" s="1">
        <v>24</v>
      </c>
      <c r="AM25" s="121">
        <f t="shared" si="2"/>
        <v>2.73</v>
      </c>
      <c r="AN25" s="122">
        <f t="shared" si="10"/>
        <v>-2.4266666664666669E-5</v>
      </c>
      <c r="AO25" s="123">
        <f t="shared" si="11"/>
        <v>2.7299757333333354</v>
      </c>
      <c r="AR25" s="114">
        <f t="shared" si="12"/>
        <v>5.46</v>
      </c>
      <c r="AS25" s="32">
        <f t="shared" si="13"/>
        <v>6.0666666661666673</v>
      </c>
      <c r="AT25" s="33">
        <f t="shared" si="14"/>
        <v>0.60666666616666731</v>
      </c>
    </row>
    <row r="26" spans="1:46" x14ac:dyDescent="0.3">
      <c r="A26" s="4" t="str">
        <f>undergrid!B26</f>
        <v>h025</v>
      </c>
      <c r="B26" s="73">
        <f>undergrid!C26*2</f>
        <v>4.38</v>
      </c>
      <c r="C26" s="74">
        <f>undergrid!$AQ$2*Costs!B26</f>
        <v>2.19</v>
      </c>
      <c r="D26" s="74">
        <f t="shared" si="3"/>
        <v>4.38</v>
      </c>
      <c r="E26" s="75">
        <f>D26*undergrid!$AQ$2</f>
        <v>2.19</v>
      </c>
      <c r="F26" s="73">
        <f>undergrid!E26</f>
        <v>2.306</v>
      </c>
      <c r="G26" s="74">
        <f>F26*undergrid!$AQ$3</f>
        <v>0.32284000000000002</v>
      </c>
      <c r="H26" s="74">
        <f t="shared" si="4"/>
        <v>2.306</v>
      </c>
      <c r="I26" s="75">
        <f>H26*undergrid!$AQ$3</f>
        <v>0.32284000000000002</v>
      </c>
      <c r="J26" s="73">
        <f>undergrid!G26</f>
        <v>0.08</v>
      </c>
      <c r="K26" s="75">
        <f t="shared" si="0"/>
        <v>0</v>
      </c>
      <c r="L26" s="73">
        <f>undergrid!I26</f>
        <v>0.1</v>
      </c>
      <c r="M26" s="75">
        <f t="shared" si="1"/>
        <v>0.66878812985421576</v>
      </c>
      <c r="N26" s="81">
        <f>undergrid!K26</f>
        <v>2</v>
      </c>
      <c r="O26" s="82"/>
      <c r="P26" s="81">
        <f>undergrid!M26</f>
        <v>4.5E-10</v>
      </c>
      <c r="Q26" s="82"/>
      <c r="R26" s="73">
        <f>undergrid!O26</f>
        <v>1.6799999999967952E-3</v>
      </c>
      <c r="S26" s="74">
        <f>R26*undergrid!$AQ$5</f>
        <v>6.7199999999871803E-9</v>
      </c>
      <c r="T26" s="75">
        <f>R26*(1-Graphs!$AD$1)</f>
        <v>8.3999999999839832E-5</v>
      </c>
      <c r="U26" s="73">
        <f>undergrid!Q26</f>
        <v>0</v>
      </c>
      <c r="V26" s="75">
        <f>IF(U26&lt;0.001,0,P26*undergrid!$AQ$4)</f>
        <v>0</v>
      </c>
      <c r="W26" s="73">
        <f>undergrid!S26</f>
        <v>0</v>
      </c>
      <c r="X26" s="106">
        <f>IF(undergrid!AI26&gt;0,(undergrid!$AQ$7*W26+undergrid!$AQ$8*undergrid!$AQ$9)*undergrid!$AQ$6,0)+undergrid!AG26*undergrid!$AQ$10</f>
        <v>0</v>
      </c>
      <c r="Y26" s="73">
        <f>undergrid!U26</f>
        <v>0</v>
      </c>
      <c r="Z26" s="74">
        <f>Y26*undergrid!$AQ$5</f>
        <v>0</v>
      </c>
      <c r="AA26" s="75">
        <f>Y26*(1-Graphs!$AD$2)</f>
        <v>0</v>
      </c>
      <c r="AB26" s="73">
        <f>undergrid!W26</f>
        <v>6.6878812985421572</v>
      </c>
      <c r="AC26" s="75">
        <f t="shared" si="5"/>
        <v>0.66878812985421576</v>
      </c>
      <c r="AD26" s="73">
        <f>undergrid!Y26</f>
        <v>0</v>
      </c>
      <c r="AE26" s="75">
        <f t="shared" si="6"/>
        <v>0</v>
      </c>
      <c r="AF26" s="109">
        <f>undergrid!AA26</f>
        <v>0</v>
      </c>
      <c r="AG26" s="110">
        <f>undergrid!AE26</f>
        <v>0</v>
      </c>
      <c r="AH26" s="93">
        <f t="shared" si="7"/>
        <v>0</v>
      </c>
      <c r="AI26" s="93">
        <f t="shared" si="8"/>
        <v>0</v>
      </c>
      <c r="AJ26" s="93">
        <f t="shared" si="9"/>
        <v>1.8812985421572392E-3</v>
      </c>
      <c r="AK26" s="93">
        <f>IF(AH26&gt;0.00001,undergrid!$AM$4,IF(Costs!AI26&gt;0.0001,((undergrid!$AQ$7*W26+undergrid!$AQ$8*undergrid!$AQ$9)*undergrid!$AQ$6)/W26,IF(Costs!AJ26&gt;0.0001,Costs!L26,0)))</f>
        <v>0.1</v>
      </c>
      <c r="AL26" s="1">
        <v>25</v>
      </c>
      <c r="AM26" s="121">
        <f t="shared" si="2"/>
        <v>2.5128399999999997</v>
      </c>
      <c r="AN26" s="122">
        <f t="shared" si="10"/>
        <v>-0.66878813657421576</v>
      </c>
      <c r="AO26" s="123">
        <f t="shared" si="11"/>
        <v>1.8440518634257841</v>
      </c>
      <c r="AR26" s="114">
        <f t="shared" si="12"/>
        <v>6.6876799999999967</v>
      </c>
      <c r="AS26" s="32">
        <f t="shared" si="13"/>
        <v>6.6878812985421572</v>
      </c>
      <c r="AT26" s="33">
        <f t="shared" si="14"/>
        <v>2.0129854216044407E-4</v>
      </c>
    </row>
    <row r="27" spans="1:46" x14ac:dyDescent="0.3">
      <c r="A27" s="4" t="str">
        <f>undergrid!B27</f>
        <v>h026</v>
      </c>
      <c r="B27" s="73">
        <f>undergrid!C27*2</f>
        <v>2.02</v>
      </c>
      <c r="C27" s="74">
        <f>undergrid!$AQ$2*Costs!B27</f>
        <v>1.01</v>
      </c>
      <c r="D27" s="74">
        <f t="shared" si="3"/>
        <v>2.02</v>
      </c>
      <c r="E27" s="75">
        <f>D27*undergrid!$AQ$2</f>
        <v>1.01</v>
      </c>
      <c r="F27" s="73">
        <f>undergrid!E27</f>
        <v>1.87</v>
      </c>
      <c r="G27" s="74">
        <f>F27*undergrid!$AQ$3</f>
        <v>0.26180000000000003</v>
      </c>
      <c r="H27" s="74">
        <f t="shared" si="4"/>
        <v>1.87</v>
      </c>
      <c r="I27" s="75">
        <f>H27*undergrid!$AQ$3</f>
        <v>0.26180000000000003</v>
      </c>
      <c r="J27" s="73">
        <f>undergrid!G27</f>
        <v>0.08</v>
      </c>
      <c r="K27" s="75">
        <f t="shared" si="0"/>
        <v>0</v>
      </c>
      <c r="L27" s="73">
        <f>undergrid!I27</f>
        <v>0.1</v>
      </c>
      <c r="M27" s="75">
        <f t="shared" si="1"/>
        <v>0.3891881298542158</v>
      </c>
      <c r="N27" s="81">
        <f>undergrid!K27</f>
        <v>2</v>
      </c>
      <c r="O27" s="82"/>
      <c r="P27" s="81">
        <f>undergrid!M27</f>
        <v>4.5E-10</v>
      </c>
      <c r="Q27" s="82"/>
      <c r="R27" s="73">
        <f>undergrid!O27</f>
        <v>1.6799999999967952E-3</v>
      </c>
      <c r="S27" s="74">
        <f>R27*undergrid!$AQ$5</f>
        <v>6.7199999999871803E-9</v>
      </c>
      <c r="T27" s="75">
        <f>R27*(1-Graphs!$AD$1)</f>
        <v>8.3999999999839832E-5</v>
      </c>
      <c r="U27" s="73">
        <f>undergrid!Q27</f>
        <v>0</v>
      </c>
      <c r="V27" s="75">
        <f>IF(U27&lt;0.001,0,P27*undergrid!$AQ$4)</f>
        <v>0</v>
      </c>
      <c r="W27" s="73">
        <f>undergrid!S27</f>
        <v>0</v>
      </c>
      <c r="X27" s="106">
        <f>IF(undergrid!AI27&gt;0,(undergrid!$AQ$7*W27+undergrid!$AQ$8*undergrid!$AQ$9)*undergrid!$AQ$6,0)+undergrid!AG27*undergrid!$AQ$10</f>
        <v>0</v>
      </c>
      <c r="Y27" s="73">
        <f>undergrid!U27</f>
        <v>0</v>
      </c>
      <c r="Z27" s="74">
        <f>Y27*undergrid!$AQ$5</f>
        <v>0</v>
      </c>
      <c r="AA27" s="75">
        <f>Y27*(1-Graphs!$AD$2)</f>
        <v>0</v>
      </c>
      <c r="AB27" s="73">
        <f>undergrid!W27</f>
        <v>3.8918812985421578</v>
      </c>
      <c r="AC27" s="75">
        <f t="shared" si="5"/>
        <v>0.3891881298542158</v>
      </c>
      <c r="AD27" s="73">
        <f>undergrid!Y27</f>
        <v>0</v>
      </c>
      <c r="AE27" s="75">
        <f t="shared" si="6"/>
        <v>0</v>
      </c>
      <c r="AF27" s="109">
        <f>undergrid!AA27</f>
        <v>0</v>
      </c>
      <c r="AG27" s="110">
        <f>undergrid!AE27</f>
        <v>0</v>
      </c>
      <c r="AH27" s="93">
        <f t="shared" si="7"/>
        <v>0</v>
      </c>
      <c r="AI27" s="93">
        <f t="shared" si="8"/>
        <v>0</v>
      </c>
      <c r="AJ27" s="93">
        <f t="shared" si="9"/>
        <v>1.8812985421576833E-3</v>
      </c>
      <c r="AK27" s="93">
        <f>IF(AH27&gt;0.00001,undergrid!$AM$4,IF(Costs!AI27&gt;0.0001,((undergrid!$AQ$7*W27+undergrid!$AQ$8*undergrid!$AQ$9)*undergrid!$AQ$6)/W27,IF(Costs!AJ27&gt;0.0001,Costs!L27,0)))</f>
        <v>0.1</v>
      </c>
      <c r="AL27" s="1">
        <v>26</v>
      </c>
      <c r="AM27" s="121">
        <f t="shared" si="2"/>
        <v>1.2718</v>
      </c>
      <c r="AN27" s="122">
        <f t="shared" si="10"/>
        <v>-0.3891881365742158</v>
      </c>
      <c r="AO27" s="123">
        <f t="shared" si="11"/>
        <v>0.88261186342578424</v>
      </c>
      <c r="AR27" s="114">
        <f t="shared" si="12"/>
        <v>3.8916799999999969</v>
      </c>
      <c r="AS27" s="32">
        <f t="shared" si="13"/>
        <v>3.8918812985421578</v>
      </c>
      <c r="AT27" s="33">
        <f t="shared" si="14"/>
        <v>2.0129854216088816E-4</v>
      </c>
    </row>
    <row r="28" spans="1:46" x14ac:dyDescent="0.3">
      <c r="A28" s="4" t="str">
        <f>undergrid!B28</f>
        <v>h027</v>
      </c>
      <c r="B28" s="73">
        <f>undergrid!C28*2</f>
        <v>0.86</v>
      </c>
      <c r="C28" s="74">
        <f>undergrid!$AQ$2*Costs!B28</f>
        <v>0.43</v>
      </c>
      <c r="D28" s="74">
        <f t="shared" si="3"/>
        <v>0.86</v>
      </c>
      <c r="E28" s="75">
        <f>D28*undergrid!$AQ$2</f>
        <v>0.43</v>
      </c>
      <c r="F28" s="73">
        <f>undergrid!E28</f>
        <v>0.78900000000000003</v>
      </c>
      <c r="G28" s="74">
        <f>F28*undergrid!$AQ$3</f>
        <v>0.11046000000000002</v>
      </c>
      <c r="H28" s="74">
        <f t="shared" si="4"/>
        <v>0.78900000000000003</v>
      </c>
      <c r="I28" s="75">
        <f>H28*undergrid!$AQ$3</f>
        <v>0.11046000000000002</v>
      </c>
      <c r="J28" s="73">
        <f>undergrid!G28</f>
        <v>0.08</v>
      </c>
      <c r="K28" s="75">
        <f t="shared" si="0"/>
        <v>0</v>
      </c>
      <c r="L28" s="73">
        <f>undergrid!I28</f>
        <v>0.1</v>
      </c>
      <c r="M28" s="75">
        <f t="shared" si="1"/>
        <v>1.7291946162757108</v>
      </c>
      <c r="N28" s="81">
        <f>undergrid!K28</f>
        <v>2</v>
      </c>
      <c r="O28" s="82"/>
      <c r="P28" s="81">
        <f>undergrid!M28</f>
        <v>4.5E-10</v>
      </c>
      <c r="Q28" s="82"/>
      <c r="R28" s="73">
        <f>undergrid!O28</f>
        <v>13.969150923743943</v>
      </c>
      <c r="S28" s="74">
        <f>R28*undergrid!$AQ$5</f>
        <v>5.5876603694975769E-5</v>
      </c>
      <c r="T28" s="75">
        <f>R28*(1-Graphs!$AD$1)</f>
        <v>0.6984575461871978</v>
      </c>
      <c r="U28" s="73">
        <f>undergrid!Q28</f>
        <v>0</v>
      </c>
      <c r="V28" s="75">
        <f>IF(U28&lt;0.001,0,P28*undergrid!$AQ$4)</f>
        <v>0</v>
      </c>
      <c r="W28" s="73">
        <f>undergrid!S28</f>
        <v>0</v>
      </c>
      <c r="X28" s="106">
        <f>IF(undergrid!AI28&gt;0,(undergrid!$AQ$7*W28+undergrid!$AQ$8*undergrid!$AQ$9)*undergrid!$AQ$6,0)+undergrid!AG28*undergrid!$AQ$10</f>
        <v>0</v>
      </c>
      <c r="Y28" s="73">
        <f>undergrid!U28</f>
        <v>0</v>
      </c>
      <c r="Z28" s="74">
        <f>Y28*undergrid!$AQ$5</f>
        <v>0</v>
      </c>
      <c r="AA28" s="75">
        <f>Y28*(1-Graphs!$AD$2)</f>
        <v>0</v>
      </c>
      <c r="AB28" s="73">
        <f>undergrid!W28</f>
        <v>17.291946162757107</v>
      </c>
      <c r="AC28" s="75">
        <f t="shared" si="5"/>
        <v>1.7291946162757108</v>
      </c>
      <c r="AD28" s="73">
        <f>undergrid!Y28</f>
        <v>0</v>
      </c>
      <c r="AE28" s="75">
        <f t="shared" si="6"/>
        <v>0</v>
      </c>
      <c r="AF28" s="109">
        <f>undergrid!AA28</f>
        <v>0</v>
      </c>
      <c r="AG28" s="110">
        <f>undergrid!AE28</f>
        <v>0</v>
      </c>
      <c r="AH28" s="93">
        <f t="shared" si="7"/>
        <v>0</v>
      </c>
      <c r="AI28" s="93">
        <f t="shared" si="8"/>
        <v>0</v>
      </c>
      <c r="AJ28" s="93">
        <f t="shared" si="9"/>
        <v>15.642946162757108</v>
      </c>
      <c r="AK28" s="93">
        <f>IF(AH28&gt;0.00001,undergrid!$AM$4,IF(Costs!AI28&gt;0.0001,((undergrid!$AQ$7*W28+undergrid!$AQ$8*undergrid!$AQ$9)*undergrid!$AQ$6)/W28,IF(Costs!AJ28&gt;0.0001,Costs!L28,0)))</f>
        <v>0.1</v>
      </c>
      <c r="AL28" s="1">
        <v>27</v>
      </c>
      <c r="AM28" s="121">
        <f t="shared" si="2"/>
        <v>0.54046000000000005</v>
      </c>
      <c r="AN28" s="122">
        <f t="shared" si="10"/>
        <v>-1.7292504928794057</v>
      </c>
      <c r="AO28" s="123">
        <f t="shared" si="11"/>
        <v>-1.1887904928794057</v>
      </c>
      <c r="AR28" s="114">
        <f t="shared" si="12"/>
        <v>15.618150923743944</v>
      </c>
      <c r="AS28" s="32">
        <f t="shared" si="13"/>
        <v>17.291946162757107</v>
      </c>
      <c r="AT28" s="33">
        <f t="shared" si="14"/>
        <v>1.6737952390131632</v>
      </c>
    </row>
    <row r="29" spans="1:46" x14ac:dyDescent="0.3">
      <c r="A29" s="4" t="str">
        <f>undergrid!B29</f>
        <v>h028</v>
      </c>
      <c r="B29" s="73">
        <f>undergrid!C29*2</f>
        <v>2.84</v>
      </c>
      <c r="C29" s="74">
        <f>undergrid!$AQ$2*Costs!B29</f>
        <v>1.42</v>
      </c>
      <c r="D29" s="74">
        <f t="shared" si="3"/>
        <v>2.84</v>
      </c>
      <c r="E29" s="75">
        <f>D29*undergrid!$AQ$2</f>
        <v>1.42</v>
      </c>
      <c r="F29" s="73">
        <f>undergrid!E29</f>
        <v>2.649</v>
      </c>
      <c r="G29" s="74">
        <f>F29*undergrid!$AQ$3</f>
        <v>0.37086000000000002</v>
      </c>
      <c r="H29" s="74">
        <f t="shared" si="4"/>
        <v>2.649</v>
      </c>
      <c r="I29" s="75">
        <f>H29*undergrid!$AQ$3</f>
        <v>0.37086000000000002</v>
      </c>
      <c r="J29" s="73">
        <f>undergrid!G29</f>
        <v>0.08</v>
      </c>
      <c r="K29" s="75">
        <f t="shared" si="0"/>
        <v>0</v>
      </c>
      <c r="L29" s="73">
        <f>undergrid!I29</f>
        <v>0.1</v>
      </c>
      <c r="M29" s="75">
        <f t="shared" si="1"/>
        <v>2.5</v>
      </c>
      <c r="N29" s="81">
        <f>undergrid!K29</f>
        <v>2</v>
      </c>
      <c r="O29" s="82"/>
      <c r="P29" s="81">
        <f>undergrid!M29</f>
        <v>4.5E-10</v>
      </c>
      <c r="Q29" s="82"/>
      <c r="R29" s="73">
        <f>undergrid!O29</f>
        <v>17.423323000401851</v>
      </c>
      <c r="S29" s="74">
        <f>R29*undergrid!$AQ$5</f>
        <v>6.9693292001607395E-5</v>
      </c>
      <c r="T29" s="75">
        <f>R29*(1-Graphs!$AD$1)</f>
        <v>0.87116615002009334</v>
      </c>
      <c r="U29" s="73">
        <f>undergrid!Q29</f>
        <v>0</v>
      </c>
      <c r="V29" s="75">
        <f>IF(U29&lt;0.001,0,P29*undergrid!$AQ$4)</f>
        <v>0</v>
      </c>
      <c r="W29" s="73">
        <f>undergrid!S29</f>
        <v>0</v>
      </c>
      <c r="X29" s="106">
        <f>IF(undergrid!AI29&gt;0,(undergrid!$AQ$7*W29+undergrid!$AQ$8*undergrid!$AQ$9)*undergrid!$AQ$6,0)+undergrid!AG29*undergrid!$AQ$10</f>
        <v>0</v>
      </c>
      <c r="Y29" s="73">
        <f>undergrid!U29</f>
        <v>0</v>
      </c>
      <c r="Z29" s="74">
        <f>Y29*undergrid!$AQ$5</f>
        <v>0</v>
      </c>
      <c r="AA29" s="75">
        <f>Y29*(1-Graphs!$AD$2)</f>
        <v>0</v>
      </c>
      <c r="AB29" s="73">
        <f>undergrid!W29</f>
        <v>25</v>
      </c>
      <c r="AC29" s="75">
        <f t="shared" si="5"/>
        <v>2.5</v>
      </c>
      <c r="AD29" s="73">
        <f>undergrid!Y29</f>
        <v>0</v>
      </c>
      <c r="AE29" s="75">
        <f t="shared" si="6"/>
        <v>0</v>
      </c>
      <c r="AF29" s="109">
        <f>undergrid!AA29</f>
        <v>0</v>
      </c>
      <c r="AG29" s="110">
        <f>undergrid!AE29</f>
        <v>0</v>
      </c>
      <c r="AH29" s="93">
        <f t="shared" si="7"/>
        <v>0</v>
      </c>
      <c r="AI29" s="93">
        <f t="shared" si="8"/>
        <v>0</v>
      </c>
      <c r="AJ29" s="93">
        <f t="shared" si="9"/>
        <v>19.510999999999999</v>
      </c>
      <c r="AK29" s="93">
        <f>IF(AH29&gt;0.00001,undergrid!$AM$4,IF(Costs!AI29&gt;0.0001,((undergrid!$AQ$7*W29+undergrid!$AQ$8*undergrid!$AQ$9)*undergrid!$AQ$6)/W29,IF(Costs!AJ29&gt;0.0001,Costs!L29,0)))</f>
        <v>0.1</v>
      </c>
      <c r="AL29" s="1">
        <v>28</v>
      </c>
      <c r="AM29" s="121">
        <f t="shared" si="2"/>
        <v>1.7908599999999999</v>
      </c>
      <c r="AN29" s="122">
        <f t="shared" si="10"/>
        <v>-2.5000696932920015</v>
      </c>
      <c r="AO29" s="123">
        <f t="shared" si="11"/>
        <v>-0.70920969329200156</v>
      </c>
      <c r="AR29" s="114">
        <f t="shared" si="12"/>
        <v>22.912323000401852</v>
      </c>
      <c r="AS29" s="32">
        <f t="shared" si="13"/>
        <v>25</v>
      </c>
      <c r="AT29" s="33">
        <f t="shared" si="14"/>
        <v>2.0876769995981483</v>
      </c>
    </row>
    <row r="30" spans="1:46" x14ac:dyDescent="0.3">
      <c r="A30" s="4" t="str">
        <f>undergrid!B30</f>
        <v>h029</v>
      </c>
      <c r="B30" s="73">
        <f>undergrid!C30*2</f>
        <v>1.62</v>
      </c>
      <c r="C30" s="74">
        <f>undergrid!$AQ$2*Costs!B30</f>
        <v>0.81</v>
      </c>
      <c r="D30" s="74">
        <f t="shared" si="3"/>
        <v>1.62</v>
      </c>
      <c r="E30" s="75">
        <f>D30*undergrid!$AQ$2</f>
        <v>0.81</v>
      </c>
      <c r="F30" s="73">
        <f>undergrid!E30</f>
        <v>1.518</v>
      </c>
      <c r="G30" s="74">
        <f>F30*undergrid!$AQ$3</f>
        <v>0.21252000000000001</v>
      </c>
      <c r="H30" s="74">
        <f t="shared" si="4"/>
        <v>1.518</v>
      </c>
      <c r="I30" s="75">
        <f>H30*undergrid!$AQ$3</f>
        <v>0.21252000000000001</v>
      </c>
      <c r="J30" s="73">
        <f>undergrid!G30</f>
        <v>0.08</v>
      </c>
      <c r="K30" s="75">
        <f t="shared" si="0"/>
        <v>0</v>
      </c>
      <c r="L30" s="73">
        <f>undergrid!I30</f>
        <v>0.1</v>
      </c>
      <c r="M30" s="75">
        <f t="shared" si="1"/>
        <v>2.5</v>
      </c>
      <c r="N30" s="81">
        <f>undergrid!K30</f>
        <v>2</v>
      </c>
      <c r="O30" s="82"/>
      <c r="P30" s="81">
        <f>undergrid!M30</f>
        <v>4.5E-10</v>
      </c>
      <c r="Q30" s="82"/>
      <c r="R30" s="73">
        <f>undergrid!O30</f>
        <v>19.522766000401852</v>
      </c>
      <c r="S30" s="74">
        <f>R30*undergrid!$AQ$5</f>
        <v>7.8091064001607408E-5</v>
      </c>
      <c r="T30" s="75">
        <f>R30*(1-Graphs!$AD$1)</f>
        <v>0.9761383000200935</v>
      </c>
      <c r="U30" s="73">
        <f>undergrid!Q30</f>
        <v>0</v>
      </c>
      <c r="V30" s="75">
        <f>IF(U30&lt;0.001,0,P30*undergrid!$AQ$4)</f>
        <v>0</v>
      </c>
      <c r="W30" s="73">
        <f>undergrid!S30</f>
        <v>0</v>
      </c>
      <c r="X30" s="106">
        <f>IF(undergrid!AI30&gt;0,(undergrid!$AQ$7*W30+undergrid!$AQ$8*undergrid!$AQ$9)*undergrid!$AQ$6,0)+undergrid!AG30*undergrid!$AQ$10</f>
        <v>0</v>
      </c>
      <c r="Y30" s="73">
        <f>undergrid!U30</f>
        <v>0</v>
      </c>
      <c r="Z30" s="74">
        <f>Y30*undergrid!$AQ$5</f>
        <v>0</v>
      </c>
      <c r="AA30" s="75">
        <f>Y30*(1-Graphs!$AD$2)</f>
        <v>0</v>
      </c>
      <c r="AB30" s="73">
        <f>undergrid!W30</f>
        <v>25</v>
      </c>
      <c r="AC30" s="75">
        <f t="shared" si="5"/>
        <v>2.5</v>
      </c>
      <c r="AD30" s="73">
        <f>undergrid!Y30</f>
        <v>0</v>
      </c>
      <c r="AE30" s="75">
        <f t="shared" si="6"/>
        <v>0</v>
      </c>
      <c r="AF30" s="109">
        <f>undergrid!AA30</f>
        <v>0</v>
      </c>
      <c r="AG30" s="110">
        <f>undergrid!AE30</f>
        <v>0</v>
      </c>
      <c r="AH30" s="93">
        <f t="shared" si="7"/>
        <v>0</v>
      </c>
      <c r="AI30" s="93">
        <f t="shared" si="8"/>
        <v>0</v>
      </c>
      <c r="AJ30" s="93">
        <f t="shared" si="9"/>
        <v>21.861999999999998</v>
      </c>
      <c r="AK30" s="93">
        <f>IF(AH30&gt;0.00001,undergrid!$AM$4,IF(Costs!AI30&gt;0.0001,((undergrid!$AQ$7*W30+undergrid!$AQ$8*undergrid!$AQ$9)*undergrid!$AQ$6)/W30,IF(Costs!AJ30&gt;0.0001,Costs!L30,0)))</f>
        <v>0.1</v>
      </c>
      <c r="AL30" s="1">
        <v>29</v>
      </c>
      <c r="AM30" s="121">
        <f t="shared" si="2"/>
        <v>1.0225200000000001</v>
      </c>
      <c r="AN30" s="122">
        <f t="shared" si="10"/>
        <v>-2.5000780910640015</v>
      </c>
      <c r="AO30" s="123">
        <f t="shared" si="11"/>
        <v>-1.4775580910640014</v>
      </c>
      <c r="AR30" s="114">
        <f t="shared" si="12"/>
        <v>22.66076600040185</v>
      </c>
      <c r="AS30" s="32">
        <f t="shared" si="13"/>
        <v>25</v>
      </c>
      <c r="AT30" s="33">
        <f t="shared" si="14"/>
        <v>2.3392339995981501</v>
      </c>
    </row>
    <row r="31" spans="1:46" x14ac:dyDescent="0.3">
      <c r="A31" s="4" t="str">
        <f>undergrid!B31</f>
        <v>h030</v>
      </c>
      <c r="B31" s="73">
        <f>undergrid!C31*2</f>
        <v>1.88</v>
      </c>
      <c r="C31" s="74">
        <f>undergrid!$AQ$2*Costs!B31</f>
        <v>0.94</v>
      </c>
      <c r="D31" s="74">
        <f t="shared" si="3"/>
        <v>1.88</v>
      </c>
      <c r="E31" s="75">
        <f>D31*undergrid!$AQ$2</f>
        <v>0.94</v>
      </c>
      <c r="F31" s="73">
        <f>undergrid!E31</f>
        <v>1.74</v>
      </c>
      <c r="G31" s="74">
        <f>F31*undergrid!$AQ$3</f>
        <v>0.24360000000000001</v>
      </c>
      <c r="H31" s="74">
        <f t="shared" si="4"/>
        <v>1.74</v>
      </c>
      <c r="I31" s="75">
        <f>H31*undergrid!$AQ$3</f>
        <v>0.24360000000000001</v>
      </c>
      <c r="J31" s="73">
        <f>undergrid!G31</f>
        <v>0.08</v>
      </c>
      <c r="K31" s="75">
        <f t="shared" si="0"/>
        <v>0</v>
      </c>
      <c r="L31" s="73">
        <f>undergrid!I31</f>
        <v>0.1</v>
      </c>
      <c r="M31" s="75">
        <f t="shared" si="1"/>
        <v>2.5</v>
      </c>
      <c r="N31" s="81">
        <f>undergrid!K31</f>
        <v>2</v>
      </c>
      <c r="O31" s="82"/>
      <c r="P31" s="81">
        <f>undergrid!M31</f>
        <v>4.5E-10</v>
      </c>
      <c r="Q31" s="82"/>
      <c r="R31" s="73">
        <f>undergrid!O31</f>
        <v>19.092340000401851</v>
      </c>
      <c r="S31" s="74">
        <f>R31*undergrid!$AQ$5</f>
        <v>7.6369360001607396E-5</v>
      </c>
      <c r="T31" s="75">
        <f>R31*(1-Graphs!$AD$1)</f>
        <v>0.95461700002009342</v>
      </c>
      <c r="U31" s="73">
        <f>undergrid!Q31</f>
        <v>0</v>
      </c>
      <c r="V31" s="75">
        <f>IF(U31&lt;0.001,0,P31*undergrid!$AQ$4)</f>
        <v>0</v>
      </c>
      <c r="W31" s="73">
        <f>undergrid!S31</f>
        <v>0</v>
      </c>
      <c r="X31" s="106">
        <f>IF(undergrid!AI31&gt;0,(undergrid!$AQ$7*W31+undergrid!$AQ$8*undergrid!$AQ$9)*undergrid!$AQ$6,0)+undergrid!AG31*undergrid!$AQ$10</f>
        <v>0</v>
      </c>
      <c r="Y31" s="73">
        <f>undergrid!U31</f>
        <v>0</v>
      </c>
      <c r="Z31" s="74">
        <f>Y31*undergrid!$AQ$5</f>
        <v>0</v>
      </c>
      <c r="AA31" s="75">
        <f>Y31*(1-Graphs!$AD$2)</f>
        <v>0</v>
      </c>
      <c r="AB31" s="73">
        <f>undergrid!W31</f>
        <v>25</v>
      </c>
      <c r="AC31" s="75">
        <f t="shared" si="5"/>
        <v>2.5</v>
      </c>
      <c r="AD31" s="73">
        <f>undergrid!Y31</f>
        <v>0</v>
      </c>
      <c r="AE31" s="75">
        <f t="shared" si="6"/>
        <v>0</v>
      </c>
      <c r="AF31" s="109">
        <f>undergrid!AA31</f>
        <v>0</v>
      </c>
      <c r="AG31" s="110">
        <f>undergrid!AE31</f>
        <v>0</v>
      </c>
      <c r="AH31" s="93">
        <f t="shared" si="7"/>
        <v>0</v>
      </c>
      <c r="AI31" s="93">
        <f t="shared" si="8"/>
        <v>0</v>
      </c>
      <c r="AJ31" s="93">
        <f t="shared" si="9"/>
        <v>21.380000000000003</v>
      </c>
      <c r="AK31" s="93">
        <f>IF(AH31&gt;0.00001,undergrid!$AM$4,IF(Costs!AI31&gt;0.0001,((undergrid!$AQ$7*W31+undergrid!$AQ$8*undergrid!$AQ$9)*undergrid!$AQ$6)/W31,IF(Costs!AJ31&gt;0.0001,Costs!L31,0)))</f>
        <v>0.1</v>
      </c>
      <c r="AL31" s="1">
        <v>30</v>
      </c>
      <c r="AM31" s="121">
        <f t="shared" si="2"/>
        <v>1.1836</v>
      </c>
      <c r="AN31" s="122">
        <f t="shared" si="10"/>
        <v>-2.5000763693600017</v>
      </c>
      <c r="AO31" s="123">
        <f t="shared" si="11"/>
        <v>-1.3164763693600017</v>
      </c>
      <c r="AR31" s="114">
        <f t="shared" si="12"/>
        <v>22.712340000401852</v>
      </c>
      <c r="AS31" s="32">
        <f t="shared" si="13"/>
        <v>25</v>
      </c>
      <c r="AT31" s="33">
        <f t="shared" si="14"/>
        <v>2.2876599995981479</v>
      </c>
    </row>
    <row r="32" spans="1:46" x14ac:dyDescent="0.3">
      <c r="A32" s="4" t="str">
        <f>undergrid!B32</f>
        <v>h031</v>
      </c>
      <c r="B32" s="73">
        <f>undergrid!C32*2</f>
        <v>1.58</v>
      </c>
      <c r="C32" s="74">
        <f>undergrid!$AQ$2*Costs!B32</f>
        <v>0.79</v>
      </c>
      <c r="D32" s="74">
        <f t="shared" si="3"/>
        <v>1.58</v>
      </c>
      <c r="E32" s="75">
        <f>D32*undergrid!$AQ$2</f>
        <v>0.79</v>
      </c>
      <c r="F32" s="73">
        <f>undergrid!E32</f>
        <v>1.4590000000000001</v>
      </c>
      <c r="G32" s="74">
        <f>F32*undergrid!$AQ$3</f>
        <v>0.20426000000000002</v>
      </c>
      <c r="H32" s="74">
        <f t="shared" si="4"/>
        <v>1.4590000000000001</v>
      </c>
      <c r="I32" s="75">
        <f>H32*undergrid!$AQ$3</f>
        <v>0.20426000000000002</v>
      </c>
      <c r="J32" s="73">
        <f>undergrid!G32</f>
        <v>0.13</v>
      </c>
      <c r="K32" s="75">
        <f t="shared" si="0"/>
        <v>3.1149300000585001</v>
      </c>
      <c r="L32" s="73">
        <f>undergrid!I32</f>
        <v>0.15</v>
      </c>
      <c r="M32" s="75">
        <f t="shared" si="1"/>
        <v>0</v>
      </c>
      <c r="N32" s="81">
        <f>undergrid!K32</f>
        <v>2</v>
      </c>
      <c r="O32" s="82"/>
      <c r="P32" s="81">
        <f>undergrid!M32</f>
        <v>4.5E-10</v>
      </c>
      <c r="Q32" s="82"/>
      <c r="R32" s="73">
        <f>undergrid!O32</f>
        <v>0</v>
      </c>
      <c r="S32" s="74">
        <f>R32*undergrid!$AQ$5</f>
        <v>0</v>
      </c>
      <c r="T32" s="75">
        <f>R32*(1-Graphs!$AD$1)</f>
        <v>0</v>
      </c>
      <c r="U32" s="73">
        <f>undergrid!Q32</f>
        <v>0</v>
      </c>
      <c r="V32" s="75">
        <f>IF(U32&lt;0.001,0,P32*undergrid!$AQ$4)</f>
        <v>0</v>
      </c>
      <c r="W32" s="73">
        <f>undergrid!S32</f>
        <v>0</v>
      </c>
      <c r="X32" s="106">
        <f>IF(undergrid!AI32&gt;0,(undergrid!$AQ$7*W32+undergrid!$AQ$8*undergrid!$AQ$9)*undergrid!$AQ$6,0)+undergrid!AG32*undergrid!$AQ$10</f>
        <v>0</v>
      </c>
      <c r="Y32" s="73">
        <f>undergrid!U32</f>
        <v>30</v>
      </c>
      <c r="Z32" s="74">
        <f>Y32*undergrid!$AQ$5</f>
        <v>1.1999999999999999E-4</v>
      </c>
      <c r="AA32" s="75">
        <f>Y32*(1-Graphs!$AD$2)</f>
        <v>2.9999999999999991</v>
      </c>
      <c r="AB32" s="73">
        <f>undergrid!W32</f>
        <v>0</v>
      </c>
      <c r="AC32" s="75">
        <f t="shared" si="5"/>
        <v>0</v>
      </c>
      <c r="AD32" s="73">
        <f>undergrid!Y32</f>
        <v>23.961000000449999</v>
      </c>
      <c r="AE32" s="75">
        <f t="shared" si="6"/>
        <v>3.1149300000585001</v>
      </c>
      <c r="AF32" s="109">
        <f>undergrid!AA32</f>
        <v>0</v>
      </c>
      <c r="AG32" s="110">
        <f>undergrid!AE32</f>
        <v>0</v>
      </c>
      <c r="AH32" s="93">
        <f t="shared" si="7"/>
        <v>0</v>
      </c>
      <c r="AI32" s="93">
        <f t="shared" si="8"/>
        <v>0</v>
      </c>
      <c r="AJ32" s="93">
        <f t="shared" si="9"/>
        <v>0</v>
      </c>
      <c r="AK32" s="93">
        <f>IF(AH32&gt;0.00001,undergrid!$AM$4,IF(Costs!AI32&gt;0.0001,((undergrid!$AQ$7*W32+undergrid!$AQ$8*undergrid!$AQ$9)*undergrid!$AQ$6)/W32,IF(Costs!AJ32&gt;0.0001,Costs!L32,0)))</f>
        <v>0</v>
      </c>
      <c r="AL32" s="1">
        <v>31</v>
      </c>
      <c r="AM32" s="121">
        <f t="shared" si="2"/>
        <v>4.1091900000584998</v>
      </c>
      <c r="AN32" s="122">
        <f t="shared" si="10"/>
        <v>-1.1999999999999999E-4</v>
      </c>
      <c r="AO32" s="123">
        <f t="shared" si="11"/>
        <v>4.1090700000584999</v>
      </c>
      <c r="AR32" s="114">
        <f t="shared" si="12"/>
        <v>27.000000000450001</v>
      </c>
      <c r="AS32" s="32">
        <f t="shared" si="13"/>
        <v>30</v>
      </c>
      <c r="AT32" s="33">
        <f t="shared" si="14"/>
        <v>2.9999999995499991</v>
      </c>
    </row>
    <row r="33" spans="1:46" x14ac:dyDescent="0.3">
      <c r="A33" s="4" t="str">
        <f>undergrid!B33</f>
        <v>h032</v>
      </c>
      <c r="B33" s="73">
        <f>undergrid!C33*2</f>
        <v>1.48</v>
      </c>
      <c r="C33" s="74">
        <f>undergrid!$AQ$2*Costs!B33</f>
        <v>0.74</v>
      </c>
      <c r="D33" s="74">
        <f t="shared" si="3"/>
        <v>1.48</v>
      </c>
      <c r="E33" s="75">
        <f>D33*undergrid!$AQ$2</f>
        <v>0.74</v>
      </c>
      <c r="F33" s="73">
        <f>undergrid!E33</f>
        <v>1.7769999999999999</v>
      </c>
      <c r="G33" s="74">
        <f>F33*undergrid!$AQ$3</f>
        <v>0.24878</v>
      </c>
      <c r="H33" s="74">
        <f t="shared" si="4"/>
        <v>1.7769999999999999</v>
      </c>
      <c r="I33" s="75">
        <f>H33*undergrid!$AQ$3</f>
        <v>0.24878</v>
      </c>
      <c r="J33" s="73">
        <f>undergrid!G33</f>
        <v>0.13</v>
      </c>
      <c r="K33" s="75">
        <f t="shared" si="0"/>
        <v>0.35604976478737421</v>
      </c>
      <c r="L33" s="73">
        <f>undergrid!I33</f>
        <v>0.15</v>
      </c>
      <c r="M33" s="75">
        <f t="shared" si="1"/>
        <v>0</v>
      </c>
      <c r="N33" s="81">
        <f>undergrid!K33</f>
        <v>2</v>
      </c>
      <c r="O33" s="82"/>
      <c r="P33" s="81">
        <f>undergrid!M33</f>
        <v>4.96</v>
      </c>
      <c r="Q33" s="82"/>
      <c r="R33" s="73">
        <f>undergrid!O33</f>
        <v>0</v>
      </c>
      <c r="S33" s="74">
        <f>R33*undergrid!$AQ$5</f>
        <v>0</v>
      </c>
      <c r="T33" s="75">
        <f>R33*(1-Graphs!$AD$1)</f>
        <v>0</v>
      </c>
      <c r="U33" s="73">
        <f>undergrid!Q33</f>
        <v>4.96</v>
      </c>
      <c r="V33" s="75">
        <f>IF(U33&lt;0.001,0,P33*undergrid!$AQ$4)</f>
        <v>9.9199999999999999E-6</v>
      </c>
      <c r="W33" s="73">
        <f>undergrid!S33</f>
        <v>0</v>
      </c>
      <c r="X33" s="106">
        <f>IF(undergrid!AI33&gt;0,(undergrid!$AQ$7*W33+undergrid!$AQ$8*undergrid!$AQ$9)*undergrid!$AQ$6,0)+undergrid!AG33*undergrid!$AQ$10</f>
        <v>0</v>
      </c>
      <c r="Y33" s="73">
        <f>undergrid!U33</f>
        <v>1.1509381605758477</v>
      </c>
      <c r="Z33" s="74">
        <f>Y33*undergrid!$AQ$5</f>
        <v>4.6037526423033909E-6</v>
      </c>
      <c r="AA33" s="75">
        <f>Y33*(1-Graphs!$AD$2)</f>
        <v>0.11509381605758474</v>
      </c>
      <c r="AB33" s="73">
        <f>undergrid!W33</f>
        <v>0</v>
      </c>
      <c r="AC33" s="75">
        <f t="shared" si="5"/>
        <v>0</v>
      </c>
      <c r="AD33" s="73">
        <f>undergrid!Y33</f>
        <v>2.7388443445182631</v>
      </c>
      <c r="AE33" s="75">
        <f t="shared" si="6"/>
        <v>0.35604976478737421</v>
      </c>
      <c r="AF33" s="109">
        <f>undergrid!AA33</f>
        <v>0</v>
      </c>
      <c r="AG33" s="110">
        <f>undergrid!AE33</f>
        <v>0</v>
      </c>
      <c r="AH33" s="93">
        <f t="shared" si="7"/>
        <v>0</v>
      </c>
      <c r="AI33" s="93">
        <f t="shared" si="8"/>
        <v>0</v>
      </c>
      <c r="AJ33" s="93">
        <f t="shared" si="9"/>
        <v>0</v>
      </c>
      <c r="AK33" s="93">
        <f>IF(AH33&gt;0.00001,undergrid!$AM$4,IF(Costs!AI33&gt;0.0001,((undergrid!$AQ$7*W33+undergrid!$AQ$8*undergrid!$AQ$9)*undergrid!$AQ$6)/W33,IF(Costs!AJ33&gt;0.0001,Costs!L33,0)))</f>
        <v>0</v>
      </c>
      <c r="AL33" s="1">
        <v>32</v>
      </c>
      <c r="AM33" s="121">
        <f t="shared" si="2"/>
        <v>1.3448297647873741</v>
      </c>
      <c r="AN33" s="122">
        <f t="shared" si="10"/>
        <v>-1.452375264230339E-5</v>
      </c>
      <c r="AO33" s="123">
        <f t="shared" si="11"/>
        <v>1.3448152410347318</v>
      </c>
      <c r="AR33" s="114">
        <f t="shared" si="12"/>
        <v>5.9958443445182628</v>
      </c>
      <c r="AS33" s="32">
        <f t="shared" si="13"/>
        <v>6.1109381605758477</v>
      </c>
      <c r="AT33" s="33">
        <f t="shared" si="14"/>
        <v>0.11509381605758495</v>
      </c>
    </row>
    <row r="34" spans="1:46" x14ac:dyDescent="0.3">
      <c r="A34" s="4" t="str">
        <f>undergrid!B34</f>
        <v>h033</v>
      </c>
      <c r="B34" s="73">
        <f>undergrid!C34*2</f>
        <v>2.62</v>
      </c>
      <c r="C34" s="74">
        <f>undergrid!$AQ$2*Costs!B34</f>
        <v>1.31</v>
      </c>
      <c r="D34" s="74">
        <f t="shared" si="3"/>
        <v>2.62</v>
      </c>
      <c r="E34" s="75">
        <f>D34*undergrid!$AQ$2</f>
        <v>1.31</v>
      </c>
      <c r="F34" s="73">
        <f>undergrid!E34</f>
        <v>0.48699999999999999</v>
      </c>
      <c r="G34" s="74">
        <f>F34*undergrid!$AQ$3</f>
        <v>6.8180000000000004E-2</v>
      </c>
      <c r="H34" s="74">
        <f t="shared" si="4"/>
        <v>0.48699999999999999</v>
      </c>
      <c r="I34" s="75">
        <f>H34*undergrid!$AQ$3</f>
        <v>6.8180000000000004E-2</v>
      </c>
      <c r="J34" s="73">
        <f>undergrid!G34</f>
        <v>0.13</v>
      </c>
      <c r="K34" s="75">
        <f t="shared" si="0"/>
        <v>0.53469</v>
      </c>
      <c r="L34" s="73">
        <f>undergrid!I34</f>
        <v>0.15</v>
      </c>
      <c r="M34" s="75">
        <f t="shared" si="1"/>
        <v>0</v>
      </c>
      <c r="N34" s="81">
        <f>undergrid!K34</f>
        <v>2</v>
      </c>
      <c r="O34" s="82"/>
      <c r="P34" s="81">
        <f>undergrid!M34</f>
        <v>7.22</v>
      </c>
      <c r="Q34" s="82"/>
      <c r="R34" s="73">
        <f>undergrid!O34</f>
        <v>0</v>
      </c>
      <c r="S34" s="74">
        <f>R34*undergrid!$AQ$5</f>
        <v>0</v>
      </c>
      <c r="T34" s="75">
        <f>R34*(1-Graphs!$AD$1)</f>
        <v>0</v>
      </c>
      <c r="U34" s="73">
        <f>undergrid!Q34</f>
        <v>7.22</v>
      </c>
      <c r="V34" s="75">
        <f>IF(U34&lt;0.001,0,P34*undergrid!$AQ$4)</f>
        <v>1.4439999999999999E-5</v>
      </c>
      <c r="W34" s="73">
        <f>undergrid!S34</f>
        <v>0</v>
      </c>
      <c r="X34" s="106">
        <f>IF(undergrid!AI34&gt;0,(undergrid!$AQ$7*W34+undergrid!$AQ$8*undergrid!$AQ$9)*undergrid!$AQ$6,0)+undergrid!AG34*undergrid!$AQ$10</f>
        <v>0</v>
      </c>
      <c r="Y34" s="73">
        <f>undergrid!U34</f>
        <v>0</v>
      </c>
      <c r="Z34" s="74">
        <f>Y34*undergrid!$AQ$5</f>
        <v>0</v>
      </c>
      <c r="AA34" s="75">
        <f>Y34*(1-Graphs!$AD$2)</f>
        <v>0</v>
      </c>
      <c r="AB34" s="73">
        <f>undergrid!W34</f>
        <v>0</v>
      </c>
      <c r="AC34" s="75">
        <f t="shared" si="5"/>
        <v>0</v>
      </c>
      <c r="AD34" s="73">
        <f>undergrid!Y34</f>
        <v>4.1129999999999995</v>
      </c>
      <c r="AE34" s="75">
        <f t="shared" si="6"/>
        <v>0.53469</v>
      </c>
      <c r="AF34" s="109">
        <f>undergrid!AA34</f>
        <v>0</v>
      </c>
      <c r="AG34" s="110">
        <f>undergrid!AE34</f>
        <v>0</v>
      </c>
      <c r="AH34" s="93">
        <f t="shared" si="7"/>
        <v>0</v>
      </c>
      <c r="AI34" s="93">
        <f t="shared" si="8"/>
        <v>0</v>
      </c>
      <c r="AJ34" s="93">
        <f t="shared" si="9"/>
        <v>0</v>
      </c>
      <c r="AK34" s="93">
        <f>IF(AH34&gt;0.00001,undergrid!$AM$4,IF(Costs!AI34&gt;0.0001,((undergrid!$AQ$7*W34+undergrid!$AQ$8*undergrid!$AQ$9)*undergrid!$AQ$6)/W34,IF(Costs!AJ34&gt;0.0001,Costs!L34,0)))</f>
        <v>0</v>
      </c>
      <c r="AL34" s="1">
        <v>33</v>
      </c>
      <c r="AM34" s="121">
        <f t="shared" ref="AM34:AM65" si="15">E34+I34+AE34</f>
        <v>1.9128699999999998</v>
      </c>
      <c r="AN34" s="122">
        <f t="shared" si="10"/>
        <v>-1.4439999999999999E-5</v>
      </c>
      <c r="AO34" s="123">
        <f t="shared" si="11"/>
        <v>1.9128555599999999</v>
      </c>
      <c r="AR34" s="114">
        <f t="shared" si="12"/>
        <v>7.22</v>
      </c>
      <c r="AS34" s="32">
        <f t="shared" si="13"/>
        <v>7.22</v>
      </c>
      <c r="AT34" s="33">
        <f t="shared" ref="AT34:AT65" si="16">AS34-AR34</f>
        <v>0</v>
      </c>
    </row>
    <row r="35" spans="1:46" x14ac:dyDescent="0.3">
      <c r="A35" s="4" t="str">
        <f>undergrid!B35</f>
        <v>h034</v>
      </c>
      <c r="B35" s="73">
        <f>undergrid!C35*2</f>
        <v>2.68</v>
      </c>
      <c r="C35" s="74">
        <f>undergrid!$AQ$2*Costs!B35</f>
        <v>1.34</v>
      </c>
      <c r="D35" s="74">
        <f t="shared" si="3"/>
        <v>2.68</v>
      </c>
      <c r="E35" s="75">
        <f>D35*undergrid!$AQ$2</f>
        <v>1.34</v>
      </c>
      <c r="F35" s="73">
        <f>undergrid!E35</f>
        <v>5.5759999999999996</v>
      </c>
      <c r="G35" s="74">
        <f>F35*undergrid!$AQ$3</f>
        <v>0.78064</v>
      </c>
      <c r="H35" s="74">
        <f t="shared" si="4"/>
        <v>5.5759999999999996</v>
      </c>
      <c r="I35" s="75">
        <f>H35*undergrid!$AQ$3</f>
        <v>0.78064</v>
      </c>
      <c r="J35" s="73">
        <f>undergrid!G35</f>
        <v>0.13</v>
      </c>
      <c r="K35" s="75">
        <f t="shared" si="0"/>
        <v>1.02102</v>
      </c>
      <c r="L35" s="73">
        <f>undergrid!I35</f>
        <v>0.15</v>
      </c>
      <c r="M35" s="75">
        <f t="shared" si="1"/>
        <v>0</v>
      </c>
      <c r="N35" s="81">
        <f>undergrid!K35</f>
        <v>2</v>
      </c>
      <c r="O35" s="82"/>
      <c r="P35" s="81">
        <f>undergrid!M35</f>
        <v>16.11</v>
      </c>
      <c r="Q35" s="82"/>
      <c r="R35" s="73">
        <f>undergrid!O35</f>
        <v>0</v>
      </c>
      <c r="S35" s="74">
        <f>R35*undergrid!$AQ$5</f>
        <v>0</v>
      </c>
      <c r="T35" s="75">
        <f>R35*(1-Graphs!$AD$1)</f>
        <v>0</v>
      </c>
      <c r="U35" s="73">
        <f>undergrid!Q35</f>
        <v>16.11</v>
      </c>
      <c r="V35" s="75">
        <f>IF(U35&lt;0.001,0,P35*undergrid!$AQ$4)</f>
        <v>3.222E-5</v>
      </c>
      <c r="W35" s="73">
        <f>undergrid!S35</f>
        <v>0</v>
      </c>
      <c r="X35" s="106">
        <f>IF(undergrid!AI35&gt;0,(undergrid!$AQ$7*W35+undergrid!$AQ$8*undergrid!$AQ$9)*undergrid!$AQ$6,0)+undergrid!AG35*undergrid!$AQ$10</f>
        <v>0</v>
      </c>
      <c r="Y35" s="73">
        <f>undergrid!U35</f>
        <v>0</v>
      </c>
      <c r="Z35" s="74">
        <f>Y35*undergrid!$AQ$5</f>
        <v>0</v>
      </c>
      <c r="AA35" s="75">
        <f>Y35*(1-Graphs!$AD$2)</f>
        <v>0</v>
      </c>
      <c r="AB35" s="73">
        <f>undergrid!W35</f>
        <v>0</v>
      </c>
      <c r="AC35" s="75">
        <f t="shared" si="5"/>
        <v>0</v>
      </c>
      <c r="AD35" s="73">
        <f>undergrid!Y35</f>
        <v>7.8539999999999992</v>
      </c>
      <c r="AE35" s="75">
        <f t="shared" si="6"/>
        <v>1.02102</v>
      </c>
      <c r="AF35" s="109">
        <f>undergrid!AA35</f>
        <v>0</v>
      </c>
      <c r="AG35" s="110">
        <f>undergrid!AE35</f>
        <v>0</v>
      </c>
      <c r="AH35" s="93">
        <f t="shared" si="7"/>
        <v>0</v>
      </c>
      <c r="AI35" s="93">
        <f t="shared" si="8"/>
        <v>0</v>
      </c>
      <c r="AJ35" s="93">
        <f t="shared" si="9"/>
        <v>0</v>
      </c>
      <c r="AK35" s="93">
        <f>IF(AH35&gt;0.00001,undergrid!$AM$4,IF(Costs!AI35&gt;0.0001,((undergrid!$AQ$7*W35+undergrid!$AQ$8*undergrid!$AQ$9)*undergrid!$AQ$6)/W35,IF(Costs!AJ35&gt;0.0001,Costs!L35,0)))</f>
        <v>0</v>
      </c>
      <c r="AL35" s="1">
        <v>34</v>
      </c>
      <c r="AM35" s="121">
        <f t="shared" si="15"/>
        <v>3.1416599999999999</v>
      </c>
      <c r="AN35" s="122">
        <f t="shared" si="10"/>
        <v>-3.222E-5</v>
      </c>
      <c r="AO35" s="123">
        <f t="shared" si="11"/>
        <v>3.1416277799999999</v>
      </c>
      <c r="AR35" s="114">
        <f t="shared" si="12"/>
        <v>16.11</v>
      </c>
      <c r="AS35" s="32">
        <f t="shared" si="13"/>
        <v>16.11</v>
      </c>
      <c r="AT35" s="33">
        <f t="shared" si="16"/>
        <v>0</v>
      </c>
    </row>
    <row r="36" spans="1:46" x14ac:dyDescent="0.3">
      <c r="A36" s="4" t="str">
        <f>undergrid!B36</f>
        <v>h035</v>
      </c>
      <c r="B36" s="73">
        <f>undergrid!C36*2</f>
        <v>4.0599999999999996</v>
      </c>
      <c r="C36" s="74">
        <f>undergrid!$AQ$2*Costs!B36</f>
        <v>2.0299999999999998</v>
      </c>
      <c r="D36" s="74">
        <f t="shared" si="3"/>
        <v>4.0599999999999996</v>
      </c>
      <c r="E36" s="75">
        <f>D36*undergrid!$AQ$2</f>
        <v>2.0299999999999998</v>
      </c>
      <c r="F36" s="73">
        <f>undergrid!E36</f>
        <v>4.3730000000000002</v>
      </c>
      <c r="G36" s="74">
        <f>F36*undergrid!$AQ$3</f>
        <v>0.6122200000000001</v>
      </c>
      <c r="H36" s="74">
        <f t="shared" si="4"/>
        <v>4.3730000000000002</v>
      </c>
      <c r="I36" s="75">
        <f>H36*undergrid!$AQ$3</f>
        <v>0.6122200000000001</v>
      </c>
      <c r="J36" s="73">
        <f>undergrid!G36</f>
        <v>0.13</v>
      </c>
      <c r="K36" s="75">
        <f t="shared" si="0"/>
        <v>2.8037100000000001</v>
      </c>
      <c r="L36" s="73">
        <f>undergrid!I36</f>
        <v>0.15</v>
      </c>
      <c r="M36" s="75">
        <f t="shared" si="1"/>
        <v>0</v>
      </c>
      <c r="N36" s="81">
        <f>undergrid!K36</f>
        <v>2</v>
      </c>
      <c r="O36" s="82"/>
      <c r="P36" s="81">
        <f>undergrid!M36</f>
        <v>30.02</v>
      </c>
      <c r="Q36" s="82"/>
      <c r="R36" s="73">
        <f>undergrid!O36</f>
        <v>0</v>
      </c>
      <c r="S36" s="74">
        <f>R36*undergrid!$AQ$5</f>
        <v>0</v>
      </c>
      <c r="T36" s="75">
        <f>R36*(1-Graphs!$AD$1)</f>
        <v>0</v>
      </c>
      <c r="U36" s="73">
        <f>undergrid!Q36</f>
        <v>30</v>
      </c>
      <c r="V36" s="75">
        <f>IF(U36&lt;0.001,0,P36*undergrid!$AQ$4)</f>
        <v>6.0039999999999994E-5</v>
      </c>
      <c r="W36" s="73">
        <f>undergrid!S36</f>
        <v>0</v>
      </c>
      <c r="X36" s="106">
        <f>IF(undergrid!AI36&gt;0,(undergrid!$AQ$7*W36+undergrid!$AQ$8*undergrid!$AQ$9)*undergrid!$AQ$6,0)+undergrid!AG36*undergrid!$AQ$10</f>
        <v>0</v>
      </c>
      <c r="Y36" s="73">
        <f>undergrid!U36</f>
        <v>0</v>
      </c>
      <c r="Z36" s="74">
        <f>Y36*undergrid!$AQ$5</f>
        <v>0</v>
      </c>
      <c r="AA36" s="75">
        <f>Y36*(1-Graphs!$AD$2)</f>
        <v>0</v>
      </c>
      <c r="AB36" s="73">
        <f>undergrid!W36</f>
        <v>0</v>
      </c>
      <c r="AC36" s="75">
        <f t="shared" si="5"/>
        <v>0</v>
      </c>
      <c r="AD36" s="73">
        <f>undergrid!Y36</f>
        <v>21.567</v>
      </c>
      <c r="AE36" s="75">
        <f t="shared" si="6"/>
        <v>2.8037100000000001</v>
      </c>
      <c r="AF36" s="109">
        <f>undergrid!AA36</f>
        <v>0</v>
      </c>
      <c r="AG36" s="110">
        <f>undergrid!AE36</f>
        <v>0</v>
      </c>
      <c r="AH36" s="93">
        <f t="shared" si="7"/>
        <v>0</v>
      </c>
      <c r="AI36" s="93">
        <f t="shared" si="8"/>
        <v>0</v>
      </c>
      <c r="AJ36" s="93">
        <f t="shared" si="9"/>
        <v>0</v>
      </c>
      <c r="AK36" s="93">
        <f>IF(AH36&gt;0.00001,undergrid!$AM$4,IF(Costs!AI36&gt;0.0001,((undergrid!$AQ$7*W36+undergrid!$AQ$8*undergrid!$AQ$9)*undergrid!$AQ$6)/W36,IF(Costs!AJ36&gt;0.0001,Costs!L36,0)))</f>
        <v>0</v>
      </c>
      <c r="AL36" s="1">
        <v>35</v>
      </c>
      <c r="AM36" s="121">
        <f t="shared" si="15"/>
        <v>5.4459300000000006</v>
      </c>
      <c r="AN36" s="122">
        <f t="shared" si="10"/>
        <v>-6.0039999999999994E-5</v>
      </c>
      <c r="AO36" s="123">
        <f t="shared" si="11"/>
        <v>5.4458699600000005</v>
      </c>
      <c r="AR36" s="114">
        <f t="shared" si="12"/>
        <v>30</v>
      </c>
      <c r="AS36" s="32">
        <f t="shared" si="13"/>
        <v>30</v>
      </c>
      <c r="AT36" s="33">
        <f t="shared" si="16"/>
        <v>0</v>
      </c>
    </row>
    <row r="37" spans="1:46" x14ac:dyDescent="0.3">
      <c r="A37" s="4" t="str">
        <f>undergrid!B37</f>
        <v>h036</v>
      </c>
      <c r="B37" s="73">
        <f>undergrid!C37*2</f>
        <v>4.66</v>
      </c>
      <c r="C37" s="74">
        <f>undergrid!$AQ$2*Costs!B37</f>
        <v>2.33</v>
      </c>
      <c r="D37" s="74">
        <f t="shared" si="3"/>
        <v>4.66</v>
      </c>
      <c r="E37" s="75">
        <f>D37*undergrid!$AQ$2</f>
        <v>2.33</v>
      </c>
      <c r="F37" s="73">
        <f>undergrid!E37</f>
        <v>5.0380000000000003</v>
      </c>
      <c r="G37" s="74">
        <f>F37*undergrid!$AQ$3</f>
        <v>0.70532000000000006</v>
      </c>
      <c r="H37" s="74">
        <f t="shared" si="4"/>
        <v>5.0380000000000003</v>
      </c>
      <c r="I37" s="75">
        <f>H37*undergrid!$AQ$3</f>
        <v>0.70532000000000006</v>
      </c>
      <c r="J37" s="73">
        <f>undergrid!G37</f>
        <v>0.13</v>
      </c>
      <c r="K37" s="75">
        <f t="shared" si="0"/>
        <v>2.6392600000000002</v>
      </c>
      <c r="L37" s="73">
        <f>undergrid!I37</f>
        <v>0.15</v>
      </c>
      <c r="M37" s="75">
        <f t="shared" si="1"/>
        <v>0</v>
      </c>
      <c r="N37" s="81">
        <f>undergrid!K37</f>
        <v>2</v>
      </c>
      <c r="O37" s="82"/>
      <c r="P37" s="81">
        <f>undergrid!M37</f>
        <v>34.840000000000003</v>
      </c>
      <c r="Q37" s="82"/>
      <c r="R37" s="73">
        <f>undergrid!O37</f>
        <v>0</v>
      </c>
      <c r="S37" s="74">
        <f>R37*undergrid!$AQ$5</f>
        <v>0</v>
      </c>
      <c r="T37" s="75">
        <f>R37*(1-Graphs!$AD$1)</f>
        <v>0</v>
      </c>
      <c r="U37" s="73">
        <f>undergrid!Q37</f>
        <v>30</v>
      </c>
      <c r="V37" s="75">
        <f>IF(U37&lt;0.001,0,P37*undergrid!$AQ$4)</f>
        <v>6.9679999999999997E-5</v>
      </c>
      <c r="W37" s="73">
        <f>undergrid!S37</f>
        <v>0</v>
      </c>
      <c r="X37" s="106">
        <f>IF(undergrid!AI37&gt;0,(undergrid!$AQ$7*W37+undergrid!$AQ$8*undergrid!$AQ$9)*undergrid!$AQ$6,0)+undergrid!AG37*undergrid!$AQ$10</f>
        <v>0</v>
      </c>
      <c r="Y37" s="73">
        <f>undergrid!U37</f>
        <v>0</v>
      </c>
      <c r="Z37" s="74">
        <f>Y37*undergrid!$AQ$5</f>
        <v>0</v>
      </c>
      <c r="AA37" s="75">
        <f>Y37*(1-Graphs!$AD$2)</f>
        <v>0</v>
      </c>
      <c r="AB37" s="73">
        <f>undergrid!W37</f>
        <v>0</v>
      </c>
      <c r="AC37" s="75">
        <f t="shared" si="5"/>
        <v>0</v>
      </c>
      <c r="AD37" s="73">
        <f>undergrid!Y37</f>
        <v>20.302</v>
      </c>
      <c r="AE37" s="75">
        <f t="shared" si="6"/>
        <v>2.6392600000000002</v>
      </c>
      <c r="AF37" s="109">
        <f>undergrid!AA37</f>
        <v>0</v>
      </c>
      <c r="AG37" s="110">
        <f>undergrid!AE37</f>
        <v>0</v>
      </c>
      <c r="AH37" s="93">
        <f t="shared" si="7"/>
        <v>0</v>
      </c>
      <c r="AI37" s="93">
        <f t="shared" si="8"/>
        <v>0</v>
      </c>
      <c r="AJ37" s="93">
        <f t="shared" si="9"/>
        <v>0</v>
      </c>
      <c r="AK37" s="93">
        <f>IF(AH37&gt;0.00001,undergrid!$AM$4,IF(Costs!AI37&gt;0.0001,((undergrid!$AQ$7*W37+undergrid!$AQ$8*undergrid!$AQ$9)*undergrid!$AQ$6)/W37,IF(Costs!AJ37&gt;0.0001,Costs!L37,0)))</f>
        <v>0</v>
      </c>
      <c r="AL37" s="1">
        <v>36</v>
      </c>
      <c r="AM37" s="121">
        <f t="shared" si="15"/>
        <v>5.6745800000000006</v>
      </c>
      <c r="AN37" s="122">
        <f t="shared" si="10"/>
        <v>-6.9679999999999997E-5</v>
      </c>
      <c r="AO37" s="123">
        <f t="shared" si="11"/>
        <v>5.6745103200000004</v>
      </c>
      <c r="AR37" s="114">
        <f t="shared" si="12"/>
        <v>30</v>
      </c>
      <c r="AS37" s="32">
        <f t="shared" si="13"/>
        <v>30</v>
      </c>
      <c r="AT37" s="33">
        <f t="shared" si="16"/>
        <v>0</v>
      </c>
    </row>
    <row r="38" spans="1:46" x14ac:dyDescent="0.3">
      <c r="A38" s="4" t="str">
        <f>undergrid!B38</f>
        <v>h037</v>
      </c>
      <c r="B38" s="73">
        <f>undergrid!C38*2</f>
        <v>6.02</v>
      </c>
      <c r="C38" s="74">
        <f>undergrid!$AQ$2*Costs!B38</f>
        <v>3.01</v>
      </c>
      <c r="D38" s="74">
        <f t="shared" si="3"/>
        <v>6.02</v>
      </c>
      <c r="E38" s="75">
        <f>D38*undergrid!$AQ$2</f>
        <v>3.01</v>
      </c>
      <c r="F38" s="73">
        <f>undergrid!E38</f>
        <v>1.151</v>
      </c>
      <c r="G38" s="74">
        <f>F38*undergrid!$AQ$3</f>
        <v>0.16114000000000001</v>
      </c>
      <c r="H38" s="74">
        <f t="shared" si="4"/>
        <v>1.151</v>
      </c>
      <c r="I38" s="75">
        <f>H38*undergrid!$AQ$3</f>
        <v>0.16114000000000001</v>
      </c>
      <c r="J38" s="73">
        <f>undergrid!G38</f>
        <v>0.13</v>
      </c>
      <c r="K38" s="75">
        <f t="shared" si="0"/>
        <v>2.9677700000000002</v>
      </c>
      <c r="L38" s="73">
        <f>undergrid!I38</f>
        <v>0.15</v>
      </c>
      <c r="M38" s="75">
        <f t="shared" si="1"/>
        <v>0</v>
      </c>
      <c r="N38" s="81">
        <f>undergrid!K38</f>
        <v>2</v>
      </c>
      <c r="O38" s="82"/>
      <c r="P38" s="81">
        <f>undergrid!M38</f>
        <v>30.95</v>
      </c>
      <c r="Q38" s="82"/>
      <c r="R38" s="73">
        <f>undergrid!O38</f>
        <v>0</v>
      </c>
      <c r="S38" s="74">
        <f>R38*undergrid!$AQ$5</f>
        <v>0</v>
      </c>
      <c r="T38" s="75">
        <f>R38*(1-Graphs!$AD$1)</f>
        <v>0</v>
      </c>
      <c r="U38" s="73">
        <f>undergrid!Q38</f>
        <v>30</v>
      </c>
      <c r="V38" s="75">
        <f>IF(U38&lt;0.001,0,P38*undergrid!$AQ$4)</f>
        <v>6.19E-5</v>
      </c>
      <c r="W38" s="73">
        <f>undergrid!S38</f>
        <v>0</v>
      </c>
      <c r="X38" s="106">
        <f>IF(undergrid!AI38&gt;0,(undergrid!$AQ$7*W38+undergrid!$AQ$8*undergrid!$AQ$9)*undergrid!$AQ$6,0)+undergrid!AG38*undergrid!$AQ$10</f>
        <v>0</v>
      </c>
      <c r="Y38" s="73">
        <f>undergrid!U38</f>
        <v>0</v>
      </c>
      <c r="Z38" s="74">
        <f>Y38*undergrid!$AQ$5</f>
        <v>0</v>
      </c>
      <c r="AA38" s="75">
        <f>Y38*(1-Graphs!$AD$2)</f>
        <v>0</v>
      </c>
      <c r="AB38" s="73">
        <f>undergrid!W38</f>
        <v>0</v>
      </c>
      <c r="AC38" s="75">
        <f t="shared" si="5"/>
        <v>0</v>
      </c>
      <c r="AD38" s="73">
        <f>undergrid!Y38</f>
        <v>22.829000000000001</v>
      </c>
      <c r="AE38" s="75">
        <f t="shared" si="6"/>
        <v>2.9677700000000002</v>
      </c>
      <c r="AF38" s="109">
        <f>undergrid!AA38</f>
        <v>0</v>
      </c>
      <c r="AG38" s="110">
        <f>undergrid!AE38</f>
        <v>0</v>
      </c>
      <c r="AH38" s="93">
        <f t="shared" si="7"/>
        <v>0</v>
      </c>
      <c r="AI38" s="93">
        <f t="shared" si="8"/>
        <v>0</v>
      </c>
      <c r="AJ38" s="93">
        <f t="shared" si="9"/>
        <v>0</v>
      </c>
      <c r="AK38" s="93">
        <f>IF(AH38&gt;0.00001,undergrid!$AM$4,IF(Costs!AI38&gt;0.0001,((undergrid!$AQ$7*W38+undergrid!$AQ$8*undergrid!$AQ$9)*undergrid!$AQ$6)/W38,IF(Costs!AJ38&gt;0.0001,Costs!L38,0)))</f>
        <v>0</v>
      </c>
      <c r="AL38" s="1">
        <v>37</v>
      </c>
      <c r="AM38" s="121">
        <f t="shared" si="15"/>
        <v>6.1389100000000001</v>
      </c>
      <c r="AN38" s="122">
        <f t="shared" si="10"/>
        <v>-6.19E-5</v>
      </c>
      <c r="AO38" s="123">
        <f t="shared" si="11"/>
        <v>6.1388480999999997</v>
      </c>
      <c r="AR38" s="114">
        <f t="shared" si="12"/>
        <v>30</v>
      </c>
      <c r="AS38" s="32">
        <f t="shared" si="13"/>
        <v>30</v>
      </c>
      <c r="AT38" s="33">
        <f t="shared" si="16"/>
        <v>0</v>
      </c>
    </row>
    <row r="39" spans="1:46" x14ac:dyDescent="0.3">
      <c r="A39" s="4" t="str">
        <f>undergrid!B39</f>
        <v>h038</v>
      </c>
      <c r="B39" s="73">
        <f>undergrid!C39*2</f>
        <v>11.7</v>
      </c>
      <c r="C39" s="74">
        <f>undergrid!$AQ$2*Costs!B39</f>
        <v>5.85</v>
      </c>
      <c r="D39" s="74">
        <f t="shared" si="3"/>
        <v>11.7</v>
      </c>
      <c r="E39" s="75">
        <f>D39*undergrid!$AQ$2</f>
        <v>5.85</v>
      </c>
      <c r="F39" s="73">
        <f>undergrid!E39</f>
        <v>1.359</v>
      </c>
      <c r="G39" s="74">
        <f>F39*undergrid!$AQ$3</f>
        <v>0.19026000000000001</v>
      </c>
      <c r="H39" s="74">
        <f t="shared" si="4"/>
        <v>1.359</v>
      </c>
      <c r="I39" s="75">
        <f>H39*undergrid!$AQ$3</f>
        <v>0.19026000000000001</v>
      </c>
      <c r="J39" s="73">
        <f>undergrid!G39</f>
        <v>0.13</v>
      </c>
      <c r="K39" s="75">
        <f t="shared" si="0"/>
        <v>0</v>
      </c>
      <c r="L39" s="73">
        <f>undergrid!I39</f>
        <v>0.15</v>
      </c>
      <c r="M39" s="75">
        <f t="shared" si="1"/>
        <v>0</v>
      </c>
      <c r="N39" s="81">
        <f>undergrid!K39</f>
        <v>1</v>
      </c>
      <c r="O39" s="82"/>
      <c r="P39" s="81">
        <f>undergrid!M39</f>
        <v>25.37</v>
      </c>
      <c r="Q39" s="82"/>
      <c r="R39" s="73">
        <f>undergrid!O39</f>
        <v>10.993723000000001</v>
      </c>
      <c r="S39" s="74">
        <f>R39*undergrid!$AQ$5</f>
        <v>4.3974892000000003E-5</v>
      </c>
      <c r="T39" s="75">
        <f>R39*(1-Graphs!$AD$1)</f>
        <v>0.54968615000000054</v>
      </c>
      <c r="U39" s="73">
        <f>undergrid!Q39</f>
        <v>25.37</v>
      </c>
      <c r="V39" s="75">
        <f>IF(U39&lt;0.001,0,P39*undergrid!$AQ$4)</f>
        <v>5.0739999999999999E-5</v>
      </c>
      <c r="W39" s="73">
        <f>undergrid!S39</f>
        <v>0</v>
      </c>
      <c r="X39" s="106">
        <f>IF(undergrid!AI39&gt;0,(undergrid!$AQ$7*W39+undergrid!$AQ$8*undergrid!$AQ$9)*undergrid!$AQ$6,0)+undergrid!AG39*undergrid!$AQ$10</f>
        <v>0</v>
      </c>
      <c r="Y39" s="73">
        <f>undergrid!U39</f>
        <v>0</v>
      </c>
      <c r="Z39" s="74">
        <f>Y39*undergrid!$AQ$5</f>
        <v>0</v>
      </c>
      <c r="AA39" s="75">
        <f>Y39*(1-Graphs!$AD$2)</f>
        <v>0</v>
      </c>
      <c r="AB39" s="73">
        <f>undergrid!W39</f>
        <v>0</v>
      </c>
      <c r="AC39" s="75">
        <f t="shared" si="5"/>
        <v>0</v>
      </c>
      <c r="AD39" s="73">
        <f>undergrid!Y39</f>
        <v>0</v>
      </c>
      <c r="AE39" s="75">
        <f t="shared" si="6"/>
        <v>0</v>
      </c>
      <c r="AF39" s="109">
        <f>undergrid!AA39</f>
        <v>0</v>
      </c>
      <c r="AG39" s="110">
        <f>undergrid!AE39</f>
        <v>0</v>
      </c>
      <c r="AH39" s="93">
        <f t="shared" si="7"/>
        <v>12.311000000000002</v>
      </c>
      <c r="AI39" s="93">
        <f t="shared" si="8"/>
        <v>0</v>
      </c>
      <c r="AJ39" s="93">
        <f t="shared" si="9"/>
        <v>0</v>
      </c>
      <c r="AK39" s="93">
        <f>IF(AH39&gt;0.00001,undergrid!$AM$4,IF(Costs!AI39&gt;0.0001,((undergrid!$AQ$7*W39+undergrid!$AQ$8*undergrid!$AQ$9)*undergrid!$AQ$6)/W39,IF(Costs!AJ39&gt;0.0001,Costs!L39,0)))</f>
        <v>6.3317080478592676</v>
      </c>
      <c r="AL39" s="1">
        <v>38</v>
      </c>
      <c r="AM39" s="121">
        <f t="shared" si="15"/>
        <v>6.04026</v>
      </c>
      <c r="AN39" s="122">
        <f t="shared" si="10"/>
        <v>-9.4714892000000002E-5</v>
      </c>
      <c r="AO39" s="123">
        <f t="shared" si="11"/>
        <v>6.0401652851080003</v>
      </c>
      <c r="AR39" s="114">
        <f t="shared" si="12"/>
        <v>24.052723</v>
      </c>
      <c r="AS39" s="32">
        <f t="shared" si="13"/>
        <v>25.37</v>
      </c>
      <c r="AT39" s="33">
        <f t="shared" si="16"/>
        <v>1.3172770000000007</v>
      </c>
    </row>
    <row r="40" spans="1:46" x14ac:dyDescent="0.3">
      <c r="A40" s="4" t="str">
        <f>undergrid!B40</f>
        <v>h039</v>
      </c>
      <c r="B40" s="73">
        <f>undergrid!C40*2</f>
        <v>12.08</v>
      </c>
      <c r="C40" s="74">
        <f>undergrid!$AQ$2*Costs!B40</f>
        <v>6.04</v>
      </c>
      <c r="D40" s="74">
        <f t="shared" si="3"/>
        <v>12.08</v>
      </c>
      <c r="E40" s="75">
        <f>D40*undergrid!$AQ$2</f>
        <v>6.04</v>
      </c>
      <c r="F40" s="73">
        <f>undergrid!E40</f>
        <v>7.5789999999999997</v>
      </c>
      <c r="G40" s="74">
        <f>F40*undergrid!$AQ$3</f>
        <v>1.0610600000000001</v>
      </c>
      <c r="H40" s="74">
        <f t="shared" si="4"/>
        <v>7.5789999999999997</v>
      </c>
      <c r="I40" s="75">
        <f>H40*undergrid!$AQ$3</f>
        <v>1.0610600000000001</v>
      </c>
      <c r="J40" s="73">
        <f>undergrid!G40</f>
        <v>0.13</v>
      </c>
      <c r="K40" s="75">
        <f t="shared" si="0"/>
        <v>0</v>
      </c>
      <c r="L40" s="73">
        <f>undergrid!I40</f>
        <v>0.15</v>
      </c>
      <c r="M40" s="75">
        <f t="shared" si="1"/>
        <v>0</v>
      </c>
      <c r="N40" s="81">
        <f>undergrid!K40</f>
        <v>1</v>
      </c>
      <c r="O40" s="82"/>
      <c r="P40" s="81">
        <f>undergrid!M40</f>
        <v>22.46</v>
      </c>
      <c r="Q40" s="82"/>
      <c r="R40" s="73">
        <f>undergrid!O40</f>
        <v>2.501293000000004</v>
      </c>
      <c r="S40" s="74">
        <f>R40*undergrid!$AQ$5</f>
        <v>1.0005172000000016E-5</v>
      </c>
      <c r="T40" s="75">
        <f>R40*(1-Graphs!$AD$1)</f>
        <v>0.1250646500000003</v>
      </c>
      <c r="U40" s="73">
        <f>undergrid!Q40</f>
        <v>22.46</v>
      </c>
      <c r="V40" s="75">
        <f>IF(U40&lt;0.001,0,P40*undergrid!$AQ$4)</f>
        <v>4.4919999999999997E-5</v>
      </c>
      <c r="W40" s="73">
        <f>undergrid!S40</f>
        <v>0</v>
      </c>
      <c r="X40" s="106">
        <f>IF(undergrid!AI40&gt;0,(undergrid!$AQ$7*W40+undergrid!$AQ$8*undergrid!$AQ$9)*undergrid!$AQ$6,0)+undergrid!AG40*undergrid!$AQ$10</f>
        <v>0</v>
      </c>
      <c r="Y40" s="73">
        <f>undergrid!U40</f>
        <v>0</v>
      </c>
      <c r="Z40" s="74">
        <f>Y40*undergrid!$AQ$5</f>
        <v>0</v>
      </c>
      <c r="AA40" s="75">
        <f>Y40*(1-Graphs!$AD$2)</f>
        <v>0</v>
      </c>
      <c r="AB40" s="73">
        <f>undergrid!W40</f>
        <v>0</v>
      </c>
      <c r="AC40" s="75">
        <f t="shared" si="5"/>
        <v>0</v>
      </c>
      <c r="AD40" s="73">
        <f>undergrid!Y40</f>
        <v>0</v>
      </c>
      <c r="AE40" s="75">
        <f t="shared" si="6"/>
        <v>0</v>
      </c>
      <c r="AF40" s="109">
        <f>undergrid!AA40</f>
        <v>0</v>
      </c>
      <c r="AG40" s="110">
        <f>undergrid!AE40</f>
        <v>0</v>
      </c>
      <c r="AH40" s="93">
        <f t="shared" si="7"/>
        <v>2.801000000000001</v>
      </c>
      <c r="AI40" s="93">
        <f t="shared" si="8"/>
        <v>0</v>
      </c>
      <c r="AJ40" s="93">
        <f t="shared" si="9"/>
        <v>0</v>
      </c>
      <c r="AK40" s="93">
        <f>IF(AH40&gt;0.00001,undergrid!$AM$4,IF(Costs!AI40&gt;0.0001,((undergrid!$AQ$7*W40+undergrid!$AQ$8*undergrid!$AQ$9)*undergrid!$AQ$6)/W40,IF(Costs!AJ40&gt;0.0001,Costs!L40,0)))</f>
        <v>6.3317080478592676</v>
      </c>
      <c r="AL40" s="1">
        <v>39</v>
      </c>
      <c r="AM40" s="121">
        <f t="shared" si="15"/>
        <v>7.1010600000000004</v>
      </c>
      <c r="AN40" s="122">
        <f t="shared" si="10"/>
        <v>-5.4925172000000011E-5</v>
      </c>
      <c r="AO40" s="123">
        <f t="shared" si="11"/>
        <v>7.1010050748280005</v>
      </c>
      <c r="AR40" s="114">
        <f t="shared" si="12"/>
        <v>22.160293000000003</v>
      </c>
      <c r="AS40" s="32">
        <f t="shared" si="13"/>
        <v>22.46</v>
      </c>
      <c r="AT40" s="33">
        <f t="shared" si="16"/>
        <v>0.29970699999999795</v>
      </c>
    </row>
    <row r="41" spans="1:46" x14ac:dyDescent="0.3">
      <c r="A41" s="4" t="str">
        <f>undergrid!B41</f>
        <v>h040</v>
      </c>
      <c r="B41" s="73">
        <f>undergrid!C41*2</f>
        <v>5.3</v>
      </c>
      <c r="C41" s="74">
        <f>undergrid!$AQ$2*Costs!B41</f>
        <v>2.65</v>
      </c>
      <c r="D41" s="74">
        <f t="shared" si="3"/>
        <v>5.3</v>
      </c>
      <c r="E41" s="75">
        <f>D41*undergrid!$AQ$2</f>
        <v>2.65</v>
      </c>
      <c r="F41" s="73">
        <f>undergrid!E41</f>
        <v>5.72</v>
      </c>
      <c r="G41" s="74">
        <f>F41*undergrid!$AQ$3</f>
        <v>0.80080000000000007</v>
      </c>
      <c r="H41" s="74">
        <f t="shared" si="4"/>
        <v>5.72</v>
      </c>
      <c r="I41" s="75">
        <f>H41*undergrid!$AQ$3</f>
        <v>0.80080000000000007</v>
      </c>
      <c r="J41" s="73">
        <f>undergrid!G41</f>
        <v>0.13</v>
      </c>
      <c r="K41" s="75">
        <f t="shared" si="0"/>
        <v>0</v>
      </c>
      <c r="L41" s="73">
        <f>undergrid!I41</f>
        <v>0.15</v>
      </c>
      <c r="M41" s="75">
        <f t="shared" si="1"/>
        <v>0</v>
      </c>
      <c r="N41" s="81">
        <f>undergrid!K41</f>
        <v>1</v>
      </c>
      <c r="O41" s="82"/>
      <c r="P41" s="81">
        <f>undergrid!M41</f>
        <v>22.96</v>
      </c>
      <c r="Q41" s="82"/>
      <c r="R41" s="73">
        <f>undergrid!O41</f>
        <v>10.662420000000001</v>
      </c>
      <c r="S41" s="74">
        <f>R41*undergrid!$AQ$5</f>
        <v>4.2649680000000005E-5</v>
      </c>
      <c r="T41" s="75">
        <f>R41*(1-Graphs!$AD$1)</f>
        <v>0.53312100000000051</v>
      </c>
      <c r="U41" s="73">
        <f>undergrid!Q41</f>
        <v>22.96</v>
      </c>
      <c r="V41" s="75">
        <f>IF(U41&lt;0.001,0,P41*undergrid!$AQ$4)</f>
        <v>4.5920000000000001E-5</v>
      </c>
      <c r="W41" s="73">
        <f>undergrid!S41</f>
        <v>0</v>
      </c>
      <c r="X41" s="106">
        <f>IF(undergrid!AI41&gt;0,(undergrid!$AQ$7*W41+undergrid!$AQ$8*undergrid!$AQ$9)*undergrid!$AQ$6,0)+undergrid!AG41*undergrid!$AQ$10</f>
        <v>0</v>
      </c>
      <c r="Y41" s="73">
        <f>undergrid!U41</f>
        <v>0</v>
      </c>
      <c r="Z41" s="74">
        <f>Y41*undergrid!$AQ$5</f>
        <v>0</v>
      </c>
      <c r="AA41" s="75">
        <f>Y41*(1-Graphs!$AD$2)</f>
        <v>0</v>
      </c>
      <c r="AB41" s="73">
        <f>undergrid!W41</f>
        <v>0</v>
      </c>
      <c r="AC41" s="75">
        <f t="shared" si="5"/>
        <v>0</v>
      </c>
      <c r="AD41" s="73">
        <f>undergrid!Y41</f>
        <v>0</v>
      </c>
      <c r="AE41" s="75">
        <f t="shared" si="6"/>
        <v>0</v>
      </c>
      <c r="AF41" s="109">
        <f>undergrid!AA41</f>
        <v>0</v>
      </c>
      <c r="AG41" s="110">
        <f>undergrid!AE41</f>
        <v>0</v>
      </c>
      <c r="AH41" s="93">
        <f t="shared" si="7"/>
        <v>11.940000000000001</v>
      </c>
      <c r="AI41" s="93">
        <f t="shared" si="8"/>
        <v>0</v>
      </c>
      <c r="AJ41" s="93">
        <f t="shared" si="9"/>
        <v>0</v>
      </c>
      <c r="AK41" s="93">
        <f>IF(AH41&gt;0.00001,undergrid!$AM$4,IF(Costs!AI41&gt;0.0001,((undergrid!$AQ$7*W41+undergrid!$AQ$8*undergrid!$AQ$9)*undergrid!$AQ$6)/W41,IF(Costs!AJ41&gt;0.0001,Costs!L41,0)))</f>
        <v>6.3317080478592676</v>
      </c>
      <c r="AL41" s="1">
        <v>40</v>
      </c>
      <c r="AM41" s="121">
        <f t="shared" si="15"/>
        <v>3.4508000000000001</v>
      </c>
      <c r="AN41" s="122">
        <f t="shared" si="10"/>
        <v>-8.8569680000000005E-5</v>
      </c>
      <c r="AO41" s="123">
        <f t="shared" si="11"/>
        <v>3.4507114303200002</v>
      </c>
      <c r="AR41" s="114">
        <f t="shared" si="12"/>
        <v>21.68242</v>
      </c>
      <c r="AS41" s="32">
        <f t="shared" si="13"/>
        <v>22.96</v>
      </c>
      <c r="AT41" s="33">
        <f t="shared" si="16"/>
        <v>1.2775800000000004</v>
      </c>
    </row>
    <row r="42" spans="1:46" x14ac:dyDescent="0.3">
      <c r="A42" s="4" t="str">
        <f>undergrid!B42</f>
        <v>h041</v>
      </c>
      <c r="B42" s="73">
        <f>undergrid!C42*2</f>
        <v>6.12</v>
      </c>
      <c r="C42" s="74">
        <f>undergrid!$AQ$2*Costs!B42</f>
        <v>3.06</v>
      </c>
      <c r="D42" s="74">
        <f t="shared" si="3"/>
        <v>6.12</v>
      </c>
      <c r="E42" s="75">
        <f>D42*undergrid!$AQ$2</f>
        <v>3.06</v>
      </c>
      <c r="F42" s="73">
        <f>undergrid!E42</f>
        <v>6.6120000000000001</v>
      </c>
      <c r="G42" s="74">
        <f>F42*undergrid!$AQ$3</f>
        <v>0.92568000000000006</v>
      </c>
      <c r="H42" s="74">
        <f t="shared" si="4"/>
        <v>6.6120000000000001</v>
      </c>
      <c r="I42" s="75">
        <f>H42*undergrid!$AQ$3</f>
        <v>0.92568000000000006</v>
      </c>
      <c r="J42" s="73">
        <f>undergrid!G42</f>
        <v>0.13</v>
      </c>
      <c r="K42" s="75">
        <f t="shared" si="0"/>
        <v>0</v>
      </c>
      <c r="L42" s="73">
        <f>undergrid!I42</f>
        <v>0.15</v>
      </c>
      <c r="M42" s="75">
        <f t="shared" si="1"/>
        <v>0</v>
      </c>
      <c r="N42" s="81">
        <f>undergrid!K42</f>
        <v>1</v>
      </c>
      <c r="O42" s="82"/>
      <c r="P42" s="81">
        <f>undergrid!M42</f>
        <v>13.04</v>
      </c>
      <c r="Q42" s="82"/>
      <c r="R42" s="73">
        <f>undergrid!O42</f>
        <v>0.2750439999999994</v>
      </c>
      <c r="S42" s="74">
        <f>R42*undergrid!$AQ$5</f>
        <v>1.1001759999999975E-6</v>
      </c>
      <c r="T42" s="75">
        <f>R42*(1-Graphs!$AD$1)</f>
        <v>1.3752199999999982E-2</v>
      </c>
      <c r="U42" s="73">
        <f>undergrid!Q42</f>
        <v>13.04</v>
      </c>
      <c r="V42" s="75">
        <f>IF(U42&lt;0.001,0,P42*undergrid!$AQ$4)</f>
        <v>2.6079999999999998E-5</v>
      </c>
      <c r="W42" s="73">
        <f>undergrid!S42</f>
        <v>0</v>
      </c>
      <c r="X42" s="106">
        <f>IF(undergrid!AI42&gt;0,(undergrid!$AQ$7*W42+undergrid!$AQ$8*undergrid!$AQ$9)*undergrid!$AQ$6,0)+undergrid!AG42*undergrid!$AQ$10</f>
        <v>0</v>
      </c>
      <c r="Y42" s="73">
        <f>undergrid!U42</f>
        <v>0</v>
      </c>
      <c r="Z42" s="74">
        <f>Y42*undergrid!$AQ$5</f>
        <v>0</v>
      </c>
      <c r="AA42" s="75">
        <f>Y42*(1-Graphs!$AD$2)</f>
        <v>0</v>
      </c>
      <c r="AB42" s="73">
        <f>undergrid!W42</f>
        <v>0</v>
      </c>
      <c r="AC42" s="75">
        <f t="shared" si="5"/>
        <v>0</v>
      </c>
      <c r="AD42" s="73">
        <f>undergrid!Y42</f>
        <v>0</v>
      </c>
      <c r="AE42" s="75">
        <f t="shared" si="6"/>
        <v>0</v>
      </c>
      <c r="AF42" s="109">
        <f>undergrid!AA42</f>
        <v>0</v>
      </c>
      <c r="AG42" s="110">
        <f>undergrid!AE42</f>
        <v>0</v>
      </c>
      <c r="AH42" s="93">
        <f t="shared" si="7"/>
        <v>0.30799999999999894</v>
      </c>
      <c r="AI42" s="93">
        <f t="shared" si="8"/>
        <v>0</v>
      </c>
      <c r="AJ42" s="93">
        <f t="shared" si="9"/>
        <v>0</v>
      </c>
      <c r="AK42" s="93">
        <f>IF(AH42&gt;0.00001,undergrid!$AM$4,IF(Costs!AI42&gt;0.0001,((undergrid!$AQ$7*W42+undergrid!$AQ$8*undergrid!$AQ$9)*undergrid!$AQ$6)/W42,IF(Costs!AJ42&gt;0.0001,Costs!L42,0)))</f>
        <v>6.3317080478592676</v>
      </c>
      <c r="AL42" s="1">
        <v>41</v>
      </c>
      <c r="AM42" s="121">
        <f t="shared" si="15"/>
        <v>3.9856800000000003</v>
      </c>
      <c r="AN42" s="122">
        <f t="shared" si="10"/>
        <v>-2.7180175999999995E-5</v>
      </c>
      <c r="AO42" s="123">
        <f t="shared" si="11"/>
        <v>3.9856528198240002</v>
      </c>
      <c r="AR42" s="114">
        <f t="shared" si="12"/>
        <v>13.007043999999999</v>
      </c>
      <c r="AS42" s="32">
        <f t="shared" si="13"/>
        <v>13.04</v>
      </c>
      <c r="AT42" s="33">
        <f t="shared" si="16"/>
        <v>3.2956000000000429E-2</v>
      </c>
    </row>
    <row r="43" spans="1:46" x14ac:dyDescent="0.3">
      <c r="A43" s="4" t="str">
        <f>undergrid!B43</f>
        <v>h042</v>
      </c>
      <c r="B43" s="73">
        <f>undergrid!C43*2</f>
        <v>7.92</v>
      </c>
      <c r="C43" s="74">
        <f>undergrid!$AQ$2*Costs!B43</f>
        <v>3.96</v>
      </c>
      <c r="D43" s="74">
        <f t="shared" si="3"/>
        <v>7.92</v>
      </c>
      <c r="E43" s="75">
        <f>D43*undergrid!$AQ$2</f>
        <v>3.96</v>
      </c>
      <c r="F43" s="73">
        <f>undergrid!E43</f>
        <v>7.2430000000000003</v>
      </c>
      <c r="G43" s="74">
        <f>F43*undergrid!$AQ$3</f>
        <v>1.0140200000000001</v>
      </c>
      <c r="H43" s="74">
        <f t="shared" si="4"/>
        <v>7.2430000000000003</v>
      </c>
      <c r="I43" s="75">
        <f>H43*undergrid!$AQ$3</f>
        <v>1.0140200000000001</v>
      </c>
      <c r="J43" s="73">
        <f>undergrid!G43</f>
        <v>0.13</v>
      </c>
      <c r="K43" s="75">
        <f t="shared" si="0"/>
        <v>0</v>
      </c>
      <c r="L43" s="73">
        <f>undergrid!I43</f>
        <v>0.15</v>
      </c>
      <c r="M43" s="75">
        <f t="shared" si="1"/>
        <v>0</v>
      </c>
      <c r="N43" s="81">
        <f>undergrid!K43</f>
        <v>1</v>
      </c>
      <c r="O43" s="82"/>
      <c r="P43" s="81">
        <f>undergrid!M43</f>
        <v>8.49</v>
      </c>
      <c r="Q43" s="82"/>
      <c r="R43" s="73">
        <f>undergrid!O43</f>
        <v>0</v>
      </c>
      <c r="S43" s="74">
        <f>R43*undergrid!$AQ$5</f>
        <v>0</v>
      </c>
      <c r="T43" s="75">
        <f>R43*(1-Graphs!$AD$1)</f>
        <v>0</v>
      </c>
      <c r="U43" s="73">
        <f>undergrid!Q43</f>
        <v>8.49</v>
      </c>
      <c r="V43" s="75">
        <f>IF(U43&lt;0.001,0,P43*undergrid!$AQ$4)</f>
        <v>1.698E-5</v>
      </c>
      <c r="W43" s="73">
        <f>undergrid!S43</f>
        <v>0</v>
      </c>
      <c r="X43" s="106">
        <f>IF(undergrid!AI43&gt;0,(undergrid!$AQ$7*W43+undergrid!$AQ$8*undergrid!$AQ$9)*undergrid!$AQ$6,0)+undergrid!AG43*undergrid!$AQ$10</f>
        <v>0</v>
      </c>
      <c r="Y43" s="73">
        <f>undergrid!U43</f>
        <v>7.4144444444444453</v>
      </c>
      <c r="Z43" s="74">
        <f>Y43*undergrid!$AQ$5</f>
        <v>2.9657777777777781E-5</v>
      </c>
      <c r="AA43" s="75">
        <f>Y43*(1-Graphs!$AD$2)</f>
        <v>0.74144444444444435</v>
      </c>
      <c r="AB43" s="73">
        <f>undergrid!W43</f>
        <v>0</v>
      </c>
      <c r="AC43" s="75">
        <f t="shared" si="5"/>
        <v>0</v>
      </c>
      <c r="AD43" s="73">
        <f>undergrid!Y43</f>
        <v>0</v>
      </c>
      <c r="AE43" s="75">
        <f t="shared" si="6"/>
        <v>0</v>
      </c>
      <c r="AF43" s="109">
        <f>undergrid!AA43</f>
        <v>0</v>
      </c>
      <c r="AG43" s="110">
        <f>undergrid!AE43</f>
        <v>0</v>
      </c>
      <c r="AH43" s="93">
        <f t="shared" si="7"/>
        <v>0</v>
      </c>
      <c r="AI43" s="93">
        <f t="shared" si="8"/>
        <v>0</v>
      </c>
      <c r="AJ43" s="93">
        <f t="shared" si="9"/>
        <v>0</v>
      </c>
      <c r="AK43" s="93">
        <f>IF(AH43&gt;0.00001,undergrid!$AM$4,IF(Costs!AI43&gt;0.0001,((undergrid!$AQ$7*W43+undergrid!$AQ$8*undergrid!$AQ$9)*undergrid!$AQ$6)/W43,IF(Costs!AJ43&gt;0.0001,Costs!L43,0)))</f>
        <v>0</v>
      </c>
      <c r="AL43" s="1">
        <v>42</v>
      </c>
      <c r="AM43" s="121">
        <f t="shared" si="15"/>
        <v>4.9740200000000003</v>
      </c>
      <c r="AN43" s="122">
        <f t="shared" si="10"/>
        <v>-4.6637777777777778E-5</v>
      </c>
      <c r="AO43" s="123">
        <f t="shared" si="11"/>
        <v>4.9739733622222229</v>
      </c>
      <c r="AR43" s="114">
        <f t="shared" si="12"/>
        <v>15.163</v>
      </c>
      <c r="AS43" s="32">
        <f t="shared" si="13"/>
        <v>15.904444444444445</v>
      </c>
      <c r="AT43" s="33">
        <f t="shared" si="16"/>
        <v>0.74144444444444524</v>
      </c>
    </row>
    <row r="44" spans="1:46" x14ac:dyDescent="0.3">
      <c r="A44" s="4" t="str">
        <f>undergrid!B44</f>
        <v>h043</v>
      </c>
      <c r="B44" s="73">
        <f>undergrid!C44*2</f>
        <v>6.1</v>
      </c>
      <c r="C44" s="74">
        <f>undergrid!$AQ$2*Costs!B44</f>
        <v>3.05</v>
      </c>
      <c r="D44" s="74">
        <f t="shared" si="3"/>
        <v>6.1</v>
      </c>
      <c r="E44" s="75">
        <f>D44*undergrid!$AQ$2</f>
        <v>3.05</v>
      </c>
      <c r="F44" s="73">
        <f>undergrid!E44</f>
        <v>2.4950000000000001</v>
      </c>
      <c r="G44" s="74">
        <f>F44*undergrid!$AQ$3</f>
        <v>0.34930000000000005</v>
      </c>
      <c r="H44" s="74">
        <f t="shared" si="4"/>
        <v>2.4950000000000001</v>
      </c>
      <c r="I44" s="75">
        <f>H44*undergrid!$AQ$3</f>
        <v>0.34930000000000005</v>
      </c>
      <c r="J44" s="73">
        <f>undergrid!G44</f>
        <v>0.13</v>
      </c>
      <c r="K44" s="75">
        <f t="shared" si="0"/>
        <v>0</v>
      </c>
      <c r="L44" s="73">
        <f>undergrid!I44</f>
        <v>0.15</v>
      </c>
      <c r="M44" s="75">
        <f t="shared" si="1"/>
        <v>0</v>
      </c>
      <c r="N44" s="81">
        <f>undergrid!K44</f>
        <v>2</v>
      </c>
      <c r="O44" s="82"/>
      <c r="P44" s="81">
        <f>undergrid!M44</f>
        <v>2.61</v>
      </c>
      <c r="Q44" s="82"/>
      <c r="R44" s="73">
        <f>undergrid!O44</f>
        <v>0</v>
      </c>
      <c r="S44" s="74">
        <f>R44*undergrid!$AQ$5</f>
        <v>0</v>
      </c>
      <c r="T44" s="75">
        <f>R44*(1-Graphs!$AD$1)</f>
        <v>0</v>
      </c>
      <c r="U44" s="73">
        <f>undergrid!Q44</f>
        <v>2.61</v>
      </c>
      <c r="V44" s="75">
        <f>IF(U44&lt;0.001,0,P44*undergrid!$AQ$4)</f>
        <v>5.2199999999999991E-6</v>
      </c>
      <c r="W44" s="73">
        <f>undergrid!S44</f>
        <v>0</v>
      </c>
      <c r="X44" s="106">
        <f>IF(undergrid!AI44&gt;0,(undergrid!$AQ$7*W44+undergrid!$AQ$8*undergrid!$AQ$9)*undergrid!$AQ$6,0)+undergrid!AG44*undergrid!$AQ$10</f>
        <v>0</v>
      </c>
      <c r="Y44" s="73">
        <f>undergrid!U44</f>
        <v>6.6499999999999986</v>
      </c>
      <c r="Z44" s="74">
        <f>Y44*undergrid!$AQ$5</f>
        <v>2.6599999999999993E-5</v>
      </c>
      <c r="AA44" s="75">
        <f>Y44*(1-Graphs!$AD$2)</f>
        <v>0.6649999999999997</v>
      </c>
      <c r="AB44" s="73">
        <f>undergrid!W44</f>
        <v>0</v>
      </c>
      <c r="AC44" s="75">
        <f t="shared" si="5"/>
        <v>0</v>
      </c>
      <c r="AD44" s="73">
        <f>undergrid!Y44</f>
        <v>0</v>
      </c>
      <c r="AE44" s="75">
        <f t="shared" si="6"/>
        <v>0</v>
      </c>
      <c r="AF44" s="109">
        <f>undergrid!AA44</f>
        <v>0</v>
      </c>
      <c r="AG44" s="110">
        <f>undergrid!AE44</f>
        <v>0</v>
      </c>
      <c r="AH44" s="93">
        <f t="shared" si="7"/>
        <v>0</v>
      </c>
      <c r="AI44" s="93">
        <f t="shared" si="8"/>
        <v>0</v>
      </c>
      <c r="AJ44" s="93">
        <f t="shared" si="9"/>
        <v>0</v>
      </c>
      <c r="AK44" s="93">
        <f>IF(AH44&gt;0.00001,undergrid!$AM$4,IF(Costs!AI44&gt;0.0001,((undergrid!$AQ$7*W44+undergrid!$AQ$8*undergrid!$AQ$9)*undergrid!$AQ$6)/W44,IF(Costs!AJ44&gt;0.0001,Costs!L44,0)))</f>
        <v>0</v>
      </c>
      <c r="AL44" s="1">
        <v>43</v>
      </c>
      <c r="AM44" s="121">
        <f t="shared" si="15"/>
        <v>3.3992999999999998</v>
      </c>
      <c r="AN44" s="122">
        <f t="shared" si="10"/>
        <v>-3.181999999999999E-5</v>
      </c>
      <c r="AO44" s="123">
        <f t="shared" si="11"/>
        <v>3.39926818</v>
      </c>
      <c r="AR44" s="114">
        <f t="shared" si="12"/>
        <v>8.5949999999999989</v>
      </c>
      <c r="AS44" s="32">
        <f t="shared" si="13"/>
        <v>9.259999999999998</v>
      </c>
      <c r="AT44" s="33">
        <f t="shared" si="16"/>
        <v>0.66499999999999915</v>
      </c>
    </row>
    <row r="45" spans="1:46" x14ac:dyDescent="0.3">
      <c r="A45" s="4" t="str">
        <f>undergrid!B45</f>
        <v>h044</v>
      </c>
      <c r="B45" s="73">
        <f>undergrid!C45*2</f>
        <v>3.86</v>
      </c>
      <c r="C45" s="74">
        <f>undergrid!$AQ$2*Costs!B45</f>
        <v>1.93</v>
      </c>
      <c r="D45" s="74">
        <f t="shared" si="3"/>
        <v>3.86</v>
      </c>
      <c r="E45" s="75">
        <f>D45*undergrid!$AQ$2</f>
        <v>1.93</v>
      </c>
      <c r="F45" s="73">
        <f>undergrid!E45</f>
        <v>2.5590000000000002</v>
      </c>
      <c r="G45" s="74">
        <f>F45*undergrid!$AQ$3</f>
        <v>0.35826000000000008</v>
      </c>
      <c r="H45" s="74">
        <f t="shared" si="4"/>
        <v>2.5590000000000002</v>
      </c>
      <c r="I45" s="75">
        <f>H45*undergrid!$AQ$3</f>
        <v>0.35826000000000008</v>
      </c>
      <c r="J45" s="73">
        <f>undergrid!G45</f>
        <v>0.13</v>
      </c>
      <c r="K45" s="75">
        <f t="shared" si="0"/>
        <v>0</v>
      </c>
      <c r="L45" s="73">
        <f>undergrid!I45</f>
        <v>0.15</v>
      </c>
      <c r="M45" s="75">
        <f t="shared" si="1"/>
        <v>0</v>
      </c>
      <c r="N45" s="81">
        <f>undergrid!K45</f>
        <v>2</v>
      </c>
      <c r="O45" s="82"/>
      <c r="P45" s="81">
        <f>undergrid!M45</f>
        <v>6.3999999999999996E-10</v>
      </c>
      <c r="Q45" s="82"/>
      <c r="R45" s="73">
        <f>undergrid!O45</f>
        <v>0</v>
      </c>
      <c r="S45" s="74">
        <f>R45*undergrid!$AQ$5</f>
        <v>0</v>
      </c>
      <c r="T45" s="75">
        <f>R45*(1-Graphs!$AD$1)</f>
        <v>0</v>
      </c>
      <c r="U45" s="73">
        <f>undergrid!Q45</f>
        <v>0</v>
      </c>
      <c r="V45" s="75">
        <f>IF(U45&lt;0.001,0,P45*undergrid!$AQ$4)</f>
        <v>0</v>
      </c>
      <c r="W45" s="73">
        <f>undergrid!S45</f>
        <v>0</v>
      </c>
      <c r="X45" s="106">
        <f>IF(undergrid!AI45&gt;0,(undergrid!$AQ$7*W45+undergrid!$AQ$8*undergrid!$AQ$9)*undergrid!$AQ$6,0)+undergrid!AG45*undergrid!$AQ$10</f>
        <v>0</v>
      </c>
      <c r="Y45" s="73">
        <f>undergrid!U45</f>
        <v>7.1322222215111122</v>
      </c>
      <c r="Z45" s="74">
        <f>Y45*undergrid!$AQ$5</f>
        <v>2.8528888886044447E-5</v>
      </c>
      <c r="AA45" s="75">
        <f>Y45*(1-Graphs!$AD$2)</f>
        <v>0.71322222215111108</v>
      </c>
      <c r="AB45" s="73">
        <f>undergrid!W45</f>
        <v>0</v>
      </c>
      <c r="AC45" s="75">
        <f t="shared" si="5"/>
        <v>0</v>
      </c>
      <c r="AD45" s="73">
        <f>undergrid!Y45</f>
        <v>0</v>
      </c>
      <c r="AE45" s="75">
        <f t="shared" si="6"/>
        <v>0</v>
      </c>
      <c r="AF45" s="109">
        <f>undergrid!AA45</f>
        <v>0</v>
      </c>
      <c r="AG45" s="110">
        <f>undergrid!AE45</f>
        <v>0</v>
      </c>
      <c r="AH45" s="93">
        <f t="shared" si="7"/>
        <v>0</v>
      </c>
      <c r="AI45" s="93">
        <f t="shared" si="8"/>
        <v>0</v>
      </c>
      <c r="AJ45" s="93">
        <f t="shared" si="9"/>
        <v>0</v>
      </c>
      <c r="AK45" s="93">
        <f>IF(AH45&gt;0.00001,undergrid!$AM$4,IF(Costs!AI45&gt;0.0001,((undergrid!$AQ$7*W45+undergrid!$AQ$8*undergrid!$AQ$9)*undergrid!$AQ$6)/W45,IF(Costs!AJ45&gt;0.0001,Costs!L45,0)))</f>
        <v>0</v>
      </c>
      <c r="AL45" s="1">
        <v>44</v>
      </c>
      <c r="AM45" s="121">
        <f t="shared" si="15"/>
        <v>2.2882600000000002</v>
      </c>
      <c r="AN45" s="122">
        <f t="shared" si="10"/>
        <v>-2.8528888886044447E-5</v>
      </c>
      <c r="AO45" s="123">
        <f t="shared" si="11"/>
        <v>2.2882314711111142</v>
      </c>
      <c r="AR45" s="114">
        <f t="shared" si="12"/>
        <v>6.4190000000000005</v>
      </c>
      <c r="AS45" s="32">
        <f t="shared" si="13"/>
        <v>7.1322222215111122</v>
      </c>
      <c r="AT45" s="33">
        <f t="shared" si="16"/>
        <v>0.7132222215111117</v>
      </c>
    </row>
    <row r="46" spans="1:46" x14ac:dyDescent="0.3">
      <c r="A46" s="4" t="str">
        <f>undergrid!B46</f>
        <v>h045</v>
      </c>
      <c r="B46" s="73">
        <f>undergrid!C46*2</f>
        <v>15.94</v>
      </c>
      <c r="C46" s="74">
        <f>undergrid!$AQ$2*Costs!B46</f>
        <v>7.97</v>
      </c>
      <c r="D46" s="74">
        <f t="shared" si="3"/>
        <v>15.94</v>
      </c>
      <c r="E46" s="75">
        <f>D46*undergrid!$AQ$2</f>
        <v>7.97</v>
      </c>
      <c r="F46" s="73">
        <f>undergrid!E46</f>
        <v>2.8969999999999998</v>
      </c>
      <c r="G46" s="74">
        <f>F46*undergrid!$AQ$3</f>
        <v>0.40558</v>
      </c>
      <c r="H46" s="74">
        <f t="shared" si="4"/>
        <v>2.8969999999999998</v>
      </c>
      <c r="I46" s="75">
        <f>H46*undergrid!$AQ$3</f>
        <v>0.40558</v>
      </c>
      <c r="J46" s="73">
        <f>undergrid!G46</f>
        <v>0.13</v>
      </c>
      <c r="K46" s="75">
        <f t="shared" si="0"/>
        <v>0</v>
      </c>
      <c r="L46" s="73">
        <f>undergrid!I46</f>
        <v>0.15</v>
      </c>
      <c r="M46" s="75">
        <f t="shared" si="1"/>
        <v>0</v>
      </c>
      <c r="N46" s="81">
        <f>undergrid!K46</f>
        <v>1</v>
      </c>
      <c r="O46" s="82"/>
      <c r="P46" s="81">
        <f>undergrid!M46</f>
        <v>6.3999999999999996E-10</v>
      </c>
      <c r="Q46" s="82"/>
      <c r="R46" s="73">
        <f>undergrid!O46</f>
        <v>0</v>
      </c>
      <c r="S46" s="74">
        <f>R46*undergrid!$AQ$5</f>
        <v>0</v>
      </c>
      <c r="T46" s="75">
        <f>R46*(1-Graphs!$AD$1)</f>
        <v>0</v>
      </c>
      <c r="U46" s="73">
        <f>undergrid!Q46</f>
        <v>0</v>
      </c>
      <c r="V46" s="75">
        <f>IF(U46&lt;0.001,0,P46*undergrid!$AQ$4)</f>
        <v>0</v>
      </c>
      <c r="W46" s="73">
        <f>undergrid!S46</f>
        <v>0</v>
      </c>
      <c r="X46" s="106">
        <f>IF(undergrid!AI46&gt;0,(undergrid!$AQ$7*W46+undergrid!$AQ$8*undergrid!$AQ$9)*undergrid!$AQ$6,0)+undergrid!AG46*undergrid!$AQ$10</f>
        <v>0</v>
      </c>
      <c r="Y46" s="73">
        <f>undergrid!U46</f>
        <v>20.929999999288889</v>
      </c>
      <c r="Z46" s="74">
        <f>Y46*undergrid!$AQ$5</f>
        <v>8.3719999997155546E-5</v>
      </c>
      <c r="AA46" s="75">
        <f>Y46*(1-Graphs!$AD$2)</f>
        <v>2.0929999999288884</v>
      </c>
      <c r="AB46" s="73">
        <f>undergrid!W46</f>
        <v>0</v>
      </c>
      <c r="AC46" s="75">
        <f t="shared" si="5"/>
        <v>0</v>
      </c>
      <c r="AD46" s="73">
        <f>undergrid!Y46</f>
        <v>0</v>
      </c>
      <c r="AE46" s="75">
        <f t="shared" si="6"/>
        <v>0</v>
      </c>
      <c r="AF46" s="109">
        <f>undergrid!AA46</f>
        <v>0</v>
      </c>
      <c r="AG46" s="110">
        <f>undergrid!AE46</f>
        <v>0</v>
      </c>
      <c r="AH46" s="93">
        <f t="shared" si="7"/>
        <v>0</v>
      </c>
      <c r="AI46" s="93">
        <f t="shared" si="8"/>
        <v>0</v>
      </c>
      <c r="AJ46" s="93">
        <f t="shared" si="9"/>
        <v>0</v>
      </c>
      <c r="AK46" s="93">
        <f>IF(AH46&gt;0.00001,undergrid!$AM$4,IF(Costs!AI46&gt;0.0001,((undergrid!$AQ$7*W46+undergrid!$AQ$8*undergrid!$AQ$9)*undergrid!$AQ$6)/W46,IF(Costs!AJ46&gt;0.0001,Costs!L46,0)))</f>
        <v>0</v>
      </c>
      <c r="AL46" s="1">
        <v>45</v>
      </c>
      <c r="AM46" s="121">
        <f t="shared" si="15"/>
        <v>8.3755799999999994</v>
      </c>
      <c r="AN46" s="122">
        <f t="shared" si="10"/>
        <v>-8.3719999997155546E-5</v>
      </c>
      <c r="AO46" s="123">
        <f t="shared" si="11"/>
        <v>8.3754962800000019</v>
      </c>
      <c r="AR46" s="114">
        <f t="shared" si="12"/>
        <v>18.837</v>
      </c>
      <c r="AS46" s="32">
        <f t="shared" si="13"/>
        <v>20.929999999288889</v>
      </c>
      <c r="AT46" s="33">
        <f t="shared" si="16"/>
        <v>2.0929999992888888</v>
      </c>
    </row>
    <row r="47" spans="1:46" x14ac:dyDescent="0.3">
      <c r="A47" s="4" t="str">
        <f>undergrid!B47</f>
        <v>h046</v>
      </c>
      <c r="B47" s="73">
        <f>undergrid!C47*2</f>
        <v>11.48</v>
      </c>
      <c r="C47" s="74">
        <f>undergrid!$AQ$2*Costs!B47</f>
        <v>5.74</v>
      </c>
      <c r="D47" s="74">
        <f t="shared" si="3"/>
        <v>11.48</v>
      </c>
      <c r="E47" s="75">
        <f>D47*undergrid!$AQ$2</f>
        <v>5.74</v>
      </c>
      <c r="F47" s="73">
        <f>undergrid!E47</f>
        <v>1.335</v>
      </c>
      <c r="G47" s="74">
        <f>F47*undergrid!$AQ$3</f>
        <v>0.18690000000000001</v>
      </c>
      <c r="H47" s="74">
        <f t="shared" si="4"/>
        <v>1.335</v>
      </c>
      <c r="I47" s="75">
        <f>H47*undergrid!$AQ$3</f>
        <v>0.18690000000000001</v>
      </c>
      <c r="J47" s="73">
        <f>undergrid!G47</f>
        <v>0.13</v>
      </c>
      <c r="K47" s="75">
        <f t="shared" si="0"/>
        <v>0</v>
      </c>
      <c r="L47" s="73">
        <f>undergrid!I47</f>
        <v>0.15</v>
      </c>
      <c r="M47" s="75">
        <f t="shared" si="1"/>
        <v>0</v>
      </c>
      <c r="N47" s="81">
        <f>undergrid!K47</f>
        <v>1</v>
      </c>
      <c r="O47" s="82"/>
      <c r="P47" s="81">
        <f>undergrid!M47</f>
        <v>6.3999999999999996E-10</v>
      </c>
      <c r="Q47" s="82"/>
      <c r="R47" s="73">
        <f>undergrid!O47</f>
        <v>0</v>
      </c>
      <c r="S47" s="74">
        <f>R47*undergrid!$AQ$5</f>
        <v>0</v>
      </c>
      <c r="T47" s="75">
        <f>R47*(1-Graphs!$AD$1)</f>
        <v>0</v>
      </c>
      <c r="U47" s="73">
        <f>undergrid!Q47</f>
        <v>0</v>
      </c>
      <c r="V47" s="75">
        <f>IF(U47&lt;0.001,0,P47*undergrid!$AQ$4)</f>
        <v>0</v>
      </c>
      <c r="W47" s="73">
        <f>undergrid!S47</f>
        <v>0</v>
      </c>
      <c r="X47" s="106">
        <f>IF(undergrid!AI47&gt;0,(undergrid!$AQ$7*W47+undergrid!$AQ$8*undergrid!$AQ$9)*undergrid!$AQ$6,0)+undergrid!AG47*undergrid!$AQ$10</f>
        <v>0</v>
      </c>
      <c r="Y47" s="73">
        <f>undergrid!U47</f>
        <v>14.23888888817778</v>
      </c>
      <c r="Z47" s="74">
        <f>Y47*undergrid!$AQ$5</f>
        <v>5.6955555552711113E-5</v>
      </c>
      <c r="AA47" s="75">
        <f>Y47*(1-Graphs!$AD$2)</f>
        <v>1.4238888888177776</v>
      </c>
      <c r="AB47" s="73">
        <f>undergrid!W47</f>
        <v>0</v>
      </c>
      <c r="AC47" s="75">
        <f t="shared" si="5"/>
        <v>0</v>
      </c>
      <c r="AD47" s="73">
        <f>undergrid!Y47</f>
        <v>0</v>
      </c>
      <c r="AE47" s="75">
        <f t="shared" si="6"/>
        <v>0</v>
      </c>
      <c r="AF47" s="109">
        <f>undergrid!AA47</f>
        <v>0</v>
      </c>
      <c r="AG47" s="110">
        <f>undergrid!AE47</f>
        <v>0</v>
      </c>
      <c r="AH47" s="93">
        <f t="shared" si="7"/>
        <v>0</v>
      </c>
      <c r="AI47" s="93">
        <f t="shared" si="8"/>
        <v>0</v>
      </c>
      <c r="AJ47" s="93">
        <f t="shared" si="9"/>
        <v>0</v>
      </c>
      <c r="AK47" s="93">
        <f>IF(AH47&gt;0.00001,undergrid!$AM$4,IF(Costs!AI47&gt;0.0001,((undergrid!$AQ$7*W47+undergrid!$AQ$8*undergrid!$AQ$9)*undergrid!$AQ$6)/W47,IF(Costs!AJ47&gt;0.0001,Costs!L47,0)))</f>
        <v>0</v>
      </c>
      <c r="AL47" s="1">
        <v>46</v>
      </c>
      <c r="AM47" s="121">
        <f t="shared" si="15"/>
        <v>5.9268999999999998</v>
      </c>
      <c r="AN47" s="122">
        <f t="shared" si="10"/>
        <v>-5.6955555552711113E-5</v>
      </c>
      <c r="AO47" s="123">
        <f t="shared" si="11"/>
        <v>5.9268430444444471</v>
      </c>
      <c r="AR47" s="114">
        <f t="shared" si="12"/>
        <v>12.815000000000001</v>
      </c>
      <c r="AS47" s="32">
        <f t="shared" si="13"/>
        <v>14.23888888817778</v>
      </c>
      <c r="AT47" s="33">
        <f t="shared" si="16"/>
        <v>1.4238888881777783</v>
      </c>
    </row>
    <row r="48" spans="1:46" x14ac:dyDescent="0.3">
      <c r="A48" s="4" t="str">
        <f>undergrid!B48</f>
        <v>h047</v>
      </c>
      <c r="B48" s="73">
        <f>undergrid!C48*2</f>
        <v>4.7</v>
      </c>
      <c r="C48" s="74">
        <f>undergrid!$AQ$2*Costs!B48</f>
        <v>2.35</v>
      </c>
      <c r="D48" s="74">
        <f t="shared" si="3"/>
        <v>4.7</v>
      </c>
      <c r="E48" s="75">
        <f>D48*undergrid!$AQ$2</f>
        <v>2.35</v>
      </c>
      <c r="F48" s="73">
        <f>undergrid!E48</f>
        <v>1.4570000000000001</v>
      </c>
      <c r="G48" s="74">
        <f>F48*undergrid!$AQ$3</f>
        <v>0.20398000000000002</v>
      </c>
      <c r="H48" s="74">
        <f t="shared" si="4"/>
        <v>1.4570000000000001</v>
      </c>
      <c r="I48" s="75">
        <f>H48*undergrid!$AQ$3</f>
        <v>0.20398000000000002</v>
      </c>
      <c r="J48" s="73">
        <f>undergrid!G48</f>
        <v>0.08</v>
      </c>
      <c r="K48" s="75">
        <f t="shared" si="0"/>
        <v>0</v>
      </c>
      <c r="L48" s="73">
        <f>undergrid!I48</f>
        <v>0.1</v>
      </c>
      <c r="M48" s="75">
        <f t="shared" si="1"/>
        <v>0</v>
      </c>
      <c r="N48" s="81">
        <f>undergrid!K48</f>
        <v>1</v>
      </c>
      <c r="O48" s="82"/>
      <c r="P48" s="81">
        <f>undergrid!M48</f>
        <v>6.3999999999999996E-10</v>
      </c>
      <c r="Q48" s="82"/>
      <c r="R48" s="73">
        <f>undergrid!O48</f>
        <v>0</v>
      </c>
      <c r="S48" s="74">
        <f>R48*undergrid!$AQ$5</f>
        <v>0</v>
      </c>
      <c r="T48" s="75">
        <f>R48*(1-Graphs!$AD$1)</f>
        <v>0</v>
      </c>
      <c r="U48" s="73">
        <f>undergrid!Q48</f>
        <v>0</v>
      </c>
      <c r="V48" s="75">
        <f>IF(U48&lt;0.001,0,P48*undergrid!$AQ$4)</f>
        <v>0</v>
      </c>
      <c r="W48" s="73">
        <f>undergrid!S48</f>
        <v>0</v>
      </c>
      <c r="X48" s="106">
        <f>IF(undergrid!AI48&gt;0,(undergrid!$AQ$7*W48+undergrid!$AQ$8*undergrid!$AQ$9)*undergrid!$AQ$6,0)+undergrid!AG48*undergrid!$AQ$10</f>
        <v>0</v>
      </c>
      <c r="Y48" s="73">
        <f>undergrid!U48</f>
        <v>6.8411111104</v>
      </c>
      <c r="Z48" s="74">
        <f>Y48*undergrid!$AQ$5</f>
        <v>2.7364444441599999E-5</v>
      </c>
      <c r="AA48" s="75">
        <f>Y48*(1-Graphs!$AD$2)</f>
        <v>0.68411111103999989</v>
      </c>
      <c r="AB48" s="73">
        <f>undergrid!W48</f>
        <v>0</v>
      </c>
      <c r="AC48" s="75">
        <f t="shared" si="5"/>
        <v>0</v>
      </c>
      <c r="AD48" s="73">
        <f>undergrid!Y48</f>
        <v>0</v>
      </c>
      <c r="AE48" s="75">
        <f t="shared" si="6"/>
        <v>0</v>
      </c>
      <c r="AF48" s="109">
        <f>undergrid!AA48</f>
        <v>0</v>
      </c>
      <c r="AG48" s="110">
        <f>undergrid!AE48</f>
        <v>0</v>
      </c>
      <c r="AH48" s="93">
        <f t="shared" si="7"/>
        <v>0</v>
      </c>
      <c r="AI48" s="93">
        <f t="shared" si="8"/>
        <v>0</v>
      </c>
      <c r="AJ48" s="93">
        <f t="shared" si="9"/>
        <v>0</v>
      </c>
      <c r="AK48" s="93">
        <f>IF(AH48&gt;0.00001,undergrid!$AM$4,IF(Costs!AI48&gt;0.0001,((undergrid!$AQ$7*W48+undergrid!$AQ$8*undergrid!$AQ$9)*undergrid!$AQ$6)/W48,IF(Costs!AJ48&gt;0.0001,Costs!L48,0)))</f>
        <v>0</v>
      </c>
      <c r="AL48" s="1">
        <v>47</v>
      </c>
      <c r="AM48" s="121">
        <f t="shared" si="15"/>
        <v>2.5539800000000001</v>
      </c>
      <c r="AN48" s="122">
        <f t="shared" si="10"/>
        <v>-2.7364444441599999E-5</v>
      </c>
      <c r="AO48" s="123">
        <f t="shared" si="11"/>
        <v>2.5539526355555586</v>
      </c>
      <c r="AR48" s="114">
        <f t="shared" si="12"/>
        <v>6.157</v>
      </c>
      <c r="AS48" s="32">
        <f t="shared" si="13"/>
        <v>6.8411111104</v>
      </c>
      <c r="AT48" s="33">
        <f t="shared" si="16"/>
        <v>0.68411111039999994</v>
      </c>
    </row>
    <row r="49" spans="1:46" x14ac:dyDescent="0.3">
      <c r="A49" s="4" t="str">
        <f>undergrid!B49</f>
        <v>h048</v>
      </c>
      <c r="B49" s="73">
        <f>undergrid!C49*2</f>
        <v>5.6</v>
      </c>
      <c r="C49" s="74">
        <f>undergrid!$AQ$2*Costs!B49</f>
        <v>2.8</v>
      </c>
      <c r="D49" s="74">
        <f t="shared" si="3"/>
        <v>5.6</v>
      </c>
      <c r="E49" s="75">
        <f>D49*undergrid!$AQ$2</f>
        <v>2.8</v>
      </c>
      <c r="F49" s="73">
        <f>undergrid!E49</f>
        <v>2.2000000000000002</v>
      </c>
      <c r="G49" s="74">
        <f>F49*undergrid!$AQ$3</f>
        <v>0.30800000000000005</v>
      </c>
      <c r="H49" s="74">
        <f t="shared" si="4"/>
        <v>2.2000000000000002</v>
      </c>
      <c r="I49" s="75">
        <f>H49*undergrid!$AQ$3</f>
        <v>0.30800000000000005</v>
      </c>
      <c r="J49" s="73">
        <f>undergrid!G49</f>
        <v>0.08</v>
      </c>
      <c r="K49" s="75">
        <f t="shared" si="0"/>
        <v>0</v>
      </c>
      <c r="L49" s="73">
        <f>undergrid!I49</f>
        <v>0.1</v>
      </c>
      <c r="M49" s="75">
        <f t="shared" si="1"/>
        <v>0.78018812983521579</v>
      </c>
      <c r="N49" s="81">
        <f>undergrid!K49</f>
        <v>2</v>
      </c>
      <c r="O49" s="82"/>
      <c r="P49" s="81">
        <f>undergrid!M49</f>
        <v>6.3999999999999996E-10</v>
      </c>
      <c r="Q49" s="82"/>
      <c r="R49" s="73">
        <f>undergrid!O49</f>
        <v>1.6799999999967952E-3</v>
      </c>
      <c r="S49" s="74">
        <f>R49*undergrid!$AQ$5</f>
        <v>6.7199999999871803E-9</v>
      </c>
      <c r="T49" s="75">
        <f>R49*(1-Graphs!$AD$1)</f>
        <v>8.3999999999839832E-5</v>
      </c>
      <c r="U49" s="73">
        <f>undergrid!Q49</f>
        <v>0</v>
      </c>
      <c r="V49" s="75">
        <f>IF(U49&lt;0.001,0,P49*undergrid!$AQ$4)</f>
        <v>0</v>
      </c>
      <c r="W49" s="73">
        <f>undergrid!S49</f>
        <v>0</v>
      </c>
      <c r="X49" s="106">
        <f>IF(undergrid!AI49&gt;0,(undergrid!$AQ$7*W49+undergrid!$AQ$8*undergrid!$AQ$9)*undergrid!$AQ$6,0)+undergrid!AG49*undergrid!$AQ$10</f>
        <v>0</v>
      </c>
      <c r="Y49" s="73">
        <f>undergrid!U49</f>
        <v>0</v>
      </c>
      <c r="Z49" s="74">
        <f>Y49*undergrid!$AQ$5</f>
        <v>0</v>
      </c>
      <c r="AA49" s="75">
        <f>Y49*(1-Graphs!$AD$2)</f>
        <v>0</v>
      </c>
      <c r="AB49" s="73">
        <f>undergrid!W49</f>
        <v>7.801881298352157</v>
      </c>
      <c r="AC49" s="75">
        <f t="shared" si="5"/>
        <v>0.78018812983521579</v>
      </c>
      <c r="AD49" s="73">
        <f>undergrid!Y49</f>
        <v>0</v>
      </c>
      <c r="AE49" s="75">
        <f t="shared" si="6"/>
        <v>0</v>
      </c>
      <c r="AF49" s="109">
        <f>undergrid!AA49</f>
        <v>0</v>
      </c>
      <c r="AG49" s="110">
        <f>undergrid!AE49</f>
        <v>0</v>
      </c>
      <c r="AH49" s="93">
        <f t="shared" si="7"/>
        <v>0</v>
      </c>
      <c r="AI49" s="93">
        <f t="shared" si="8"/>
        <v>0</v>
      </c>
      <c r="AJ49" s="93">
        <f t="shared" si="9"/>
        <v>1.8812983521572235E-3</v>
      </c>
      <c r="AK49" s="93">
        <f>IF(AH49&gt;0.00001,undergrid!$AM$4,IF(Costs!AI49&gt;0.0001,((undergrid!$AQ$7*W49+undergrid!$AQ$8*undergrid!$AQ$9)*undergrid!$AQ$6)/W49,IF(Costs!AJ49&gt;0.0001,Costs!L49,0)))</f>
        <v>0.1</v>
      </c>
      <c r="AL49" s="1">
        <v>48</v>
      </c>
      <c r="AM49" s="121">
        <f t="shared" si="15"/>
        <v>3.1079999999999997</v>
      </c>
      <c r="AN49" s="122">
        <f t="shared" si="10"/>
        <v>-0.78018813655521579</v>
      </c>
      <c r="AO49" s="123">
        <f t="shared" si="11"/>
        <v>2.3278118634447837</v>
      </c>
      <c r="AR49" s="114">
        <f t="shared" si="12"/>
        <v>7.8016799999999966</v>
      </c>
      <c r="AS49" s="32">
        <f t="shared" si="13"/>
        <v>7.801881298352157</v>
      </c>
      <c r="AT49" s="33">
        <f t="shared" si="16"/>
        <v>2.0129835216042835E-4</v>
      </c>
    </row>
    <row r="50" spans="1:46" x14ac:dyDescent="0.3">
      <c r="A50" s="4" t="str">
        <f>undergrid!B50</f>
        <v>h049</v>
      </c>
      <c r="B50" s="73">
        <f>undergrid!C50*2</f>
        <v>4.8600000000000003</v>
      </c>
      <c r="C50" s="74">
        <f>undergrid!$AQ$2*Costs!B50</f>
        <v>2.4300000000000002</v>
      </c>
      <c r="D50" s="74">
        <f t="shared" si="3"/>
        <v>4.8600000000000003</v>
      </c>
      <c r="E50" s="75">
        <f>D50*undergrid!$AQ$2</f>
        <v>2.4300000000000002</v>
      </c>
      <c r="F50" s="73">
        <f>undergrid!E50</f>
        <v>2.5649999999999999</v>
      </c>
      <c r="G50" s="74">
        <f>F50*undergrid!$AQ$3</f>
        <v>0.35910000000000003</v>
      </c>
      <c r="H50" s="74">
        <f t="shared" si="4"/>
        <v>2.5649999999999999</v>
      </c>
      <c r="I50" s="75">
        <f>H50*undergrid!$AQ$3</f>
        <v>0.35910000000000003</v>
      </c>
      <c r="J50" s="73">
        <f>undergrid!G50</f>
        <v>0.08</v>
      </c>
      <c r="K50" s="75">
        <f t="shared" si="0"/>
        <v>0</v>
      </c>
      <c r="L50" s="73">
        <f>undergrid!I50</f>
        <v>0.1</v>
      </c>
      <c r="M50" s="75">
        <f t="shared" si="1"/>
        <v>0.74268812983521582</v>
      </c>
      <c r="N50" s="81">
        <f>undergrid!K50</f>
        <v>2</v>
      </c>
      <c r="O50" s="82"/>
      <c r="P50" s="81">
        <f>undergrid!M50</f>
        <v>6.3999999999999996E-10</v>
      </c>
      <c r="Q50" s="82"/>
      <c r="R50" s="73">
        <f>undergrid!O50</f>
        <v>1.6799999999967952E-3</v>
      </c>
      <c r="S50" s="74">
        <f>R50*undergrid!$AQ$5</f>
        <v>6.7199999999871803E-9</v>
      </c>
      <c r="T50" s="75">
        <f>R50*(1-Graphs!$AD$1)</f>
        <v>8.3999999999839832E-5</v>
      </c>
      <c r="U50" s="73">
        <f>undergrid!Q50</f>
        <v>0</v>
      </c>
      <c r="V50" s="75">
        <f>IF(U50&lt;0.001,0,P50*undergrid!$AQ$4)</f>
        <v>0</v>
      </c>
      <c r="W50" s="73">
        <f>undergrid!S50</f>
        <v>0</v>
      </c>
      <c r="X50" s="106">
        <f>IF(undergrid!AI50&gt;0,(undergrid!$AQ$7*W50+undergrid!$AQ$8*undergrid!$AQ$9)*undergrid!$AQ$6,0)+undergrid!AG50*undergrid!$AQ$10</f>
        <v>0</v>
      </c>
      <c r="Y50" s="73">
        <f>undergrid!U50</f>
        <v>0</v>
      </c>
      <c r="Z50" s="74">
        <f>Y50*undergrid!$AQ$5</f>
        <v>0</v>
      </c>
      <c r="AA50" s="75">
        <f>Y50*(1-Graphs!$AD$2)</f>
        <v>0</v>
      </c>
      <c r="AB50" s="73">
        <f>undergrid!W50</f>
        <v>7.4268812983521579</v>
      </c>
      <c r="AC50" s="75">
        <f t="shared" si="5"/>
        <v>0.74268812983521582</v>
      </c>
      <c r="AD50" s="73">
        <f>undergrid!Y50</f>
        <v>0</v>
      </c>
      <c r="AE50" s="75">
        <f t="shared" si="6"/>
        <v>0</v>
      </c>
      <c r="AF50" s="109">
        <f>undergrid!AA50</f>
        <v>0</v>
      </c>
      <c r="AG50" s="110">
        <f>undergrid!AE50</f>
        <v>0</v>
      </c>
      <c r="AH50" s="93">
        <f t="shared" si="7"/>
        <v>0</v>
      </c>
      <c r="AI50" s="93">
        <f t="shared" si="8"/>
        <v>0</v>
      </c>
      <c r="AJ50" s="93">
        <f t="shared" si="9"/>
        <v>1.8812983521576676E-3</v>
      </c>
      <c r="AK50" s="93">
        <f>IF(AH50&gt;0.00001,undergrid!$AM$4,IF(Costs!AI50&gt;0.0001,((undergrid!$AQ$7*W50+undergrid!$AQ$8*undergrid!$AQ$9)*undergrid!$AQ$6)/W50,IF(Costs!AJ50&gt;0.0001,Costs!L50,0)))</f>
        <v>0.1</v>
      </c>
      <c r="AL50" s="1">
        <v>49</v>
      </c>
      <c r="AM50" s="121">
        <f t="shared" si="15"/>
        <v>2.7891000000000004</v>
      </c>
      <c r="AN50" s="122">
        <f t="shared" si="10"/>
        <v>-0.74268813655521582</v>
      </c>
      <c r="AO50" s="123">
        <f t="shared" si="11"/>
        <v>2.0464118634447845</v>
      </c>
      <c r="AR50" s="114">
        <f t="shared" si="12"/>
        <v>7.4266799999999975</v>
      </c>
      <c r="AS50" s="32">
        <f t="shared" si="13"/>
        <v>7.4268812983521579</v>
      </c>
      <c r="AT50" s="33">
        <f t="shared" si="16"/>
        <v>2.0129835216042835E-4</v>
      </c>
    </row>
    <row r="51" spans="1:46" x14ac:dyDescent="0.3">
      <c r="A51" s="4" t="str">
        <f>undergrid!B51</f>
        <v>h050</v>
      </c>
      <c r="B51" s="73">
        <f>undergrid!C51*2</f>
        <v>2.02</v>
      </c>
      <c r="C51" s="74">
        <f>undergrid!$AQ$2*Costs!B51</f>
        <v>1.01</v>
      </c>
      <c r="D51" s="74">
        <f t="shared" si="3"/>
        <v>2.02</v>
      </c>
      <c r="E51" s="75">
        <f>D51*undergrid!$AQ$2</f>
        <v>1.01</v>
      </c>
      <c r="F51" s="73">
        <f>undergrid!E51</f>
        <v>1.877</v>
      </c>
      <c r="G51" s="74">
        <f>F51*undergrid!$AQ$3</f>
        <v>0.26278000000000001</v>
      </c>
      <c r="H51" s="74">
        <f t="shared" si="4"/>
        <v>1.877</v>
      </c>
      <c r="I51" s="75">
        <f>H51*undergrid!$AQ$3</f>
        <v>0.26278000000000001</v>
      </c>
      <c r="J51" s="73">
        <f>undergrid!G51</f>
        <v>0.08</v>
      </c>
      <c r="K51" s="75">
        <f t="shared" si="0"/>
        <v>0</v>
      </c>
      <c r="L51" s="73">
        <f>undergrid!I51</f>
        <v>0.1</v>
      </c>
      <c r="M51" s="75">
        <f t="shared" si="1"/>
        <v>0.39803928552526813</v>
      </c>
      <c r="N51" s="81">
        <f>undergrid!K51</f>
        <v>2</v>
      </c>
      <c r="O51" s="82"/>
      <c r="P51" s="81">
        <f>undergrid!M51</f>
        <v>6.3999999999999996E-10</v>
      </c>
      <c r="Q51" s="82"/>
      <c r="R51" s="73">
        <f>undergrid!O51</f>
        <v>7.4469820312163648E-2</v>
      </c>
      <c r="S51" s="74">
        <f>R51*undergrid!$AQ$5</f>
        <v>2.9787928124865457E-7</v>
      </c>
      <c r="T51" s="75">
        <f>R51*(1-Graphs!$AD$1)</f>
        <v>3.7234910156081855E-3</v>
      </c>
      <c r="U51" s="73">
        <f>undergrid!Q51</f>
        <v>0</v>
      </c>
      <c r="V51" s="75">
        <f>IF(U51&lt;0.001,0,P51*undergrid!$AQ$4)</f>
        <v>0</v>
      </c>
      <c r="W51" s="73">
        <f>undergrid!S51</f>
        <v>0</v>
      </c>
      <c r="X51" s="106">
        <f>IF(undergrid!AI51&gt;0,(undergrid!$AQ$7*W51+undergrid!$AQ$8*undergrid!$AQ$9)*undergrid!$AQ$6,0)+undergrid!AG51*undergrid!$AQ$10</f>
        <v>0</v>
      </c>
      <c r="Y51" s="73">
        <f>undergrid!U51</f>
        <v>0</v>
      </c>
      <c r="Z51" s="74">
        <f>Y51*undergrid!$AQ$5</f>
        <v>0</v>
      </c>
      <c r="AA51" s="75">
        <f>Y51*(1-Graphs!$AD$2)</f>
        <v>0</v>
      </c>
      <c r="AB51" s="73">
        <f>undergrid!W51</f>
        <v>3.9803928552526808</v>
      </c>
      <c r="AC51" s="75">
        <f t="shared" si="5"/>
        <v>0.39803928552526813</v>
      </c>
      <c r="AD51" s="73">
        <f>undergrid!Y51</f>
        <v>0</v>
      </c>
      <c r="AE51" s="75">
        <f t="shared" si="6"/>
        <v>0</v>
      </c>
      <c r="AF51" s="109">
        <f>undergrid!AA51</f>
        <v>0</v>
      </c>
      <c r="AG51" s="110">
        <f>undergrid!AE51</f>
        <v>0</v>
      </c>
      <c r="AH51" s="93">
        <f t="shared" si="7"/>
        <v>0</v>
      </c>
      <c r="AI51" s="93">
        <f t="shared" si="8"/>
        <v>0</v>
      </c>
      <c r="AJ51" s="93">
        <f t="shared" si="9"/>
        <v>8.3392855252680809E-2</v>
      </c>
      <c r="AK51" s="93">
        <f>IF(AH51&gt;0.00001,undergrid!$AM$4,IF(Costs!AI51&gt;0.0001,((undergrid!$AQ$7*W51+undergrid!$AQ$8*undergrid!$AQ$9)*undergrid!$AQ$6)/W51,IF(Costs!AJ51&gt;0.0001,Costs!L51,0)))</f>
        <v>0.1</v>
      </c>
      <c r="AL51" s="1">
        <v>50</v>
      </c>
      <c r="AM51" s="121">
        <f t="shared" si="15"/>
        <v>1.27278</v>
      </c>
      <c r="AN51" s="122">
        <f t="shared" si="10"/>
        <v>-0.39803958340454937</v>
      </c>
      <c r="AO51" s="123">
        <f t="shared" si="11"/>
        <v>0.87474041659545065</v>
      </c>
      <c r="AR51" s="114">
        <f t="shared" si="12"/>
        <v>3.9714698203121639</v>
      </c>
      <c r="AS51" s="32">
        <f t="shared" si="13"/>
        <v>3.9803928552526808</v>
      </c>
      <c r="AT51" s="33">
        <f t="shared" si="16"/>
        <v>8.9230349405169385E-3</v>
      </c>
    </row>
    <row r="52" spans="1:46" x14ac:dyDescent="0.3">
      <c r="A52" s="4" t="str">
        <f>undergrid!B52</f>
        <v>h051</v>
      </c>
      <c r="B52" s="73">
        <f>undergrid!C52*2</f>
        <v>2.16</v>
      </c>
      <c r="C52" s="74">
        <f>undergrid!$AQ$2*Costs!B52</f>
        <v>1.08</v>
      </c>
      <c r="D52" s="74">
        <f t="shared" si="3"/>
        <v>2.16</v>
      </c>
      <c r="E52" s="75">
        <f>D52*undergrid!$AQ$2</f>
        <v>1.08</v>
      </c>
      <c r="F52" s="73">
        <f>undergrid!E52</f>
        <v>1.9990000000000001</v>
      </c>
      <c r="G52" s="74">
        <f>F52*undergrid!$AQ$3</f>
        <v>0.27986000000000005</v>
      </c>
      <c r="H52" s="74">
        <f t="shared" si="4"/>
        <v>1.9990000000000001</v>
      </c>
      <c r="I52" s="75">
        <f>H52*undergrid!$AQ$3</f>
        <v>0.27986000000000005</v>
      </c>
      <c r="J52" s="73">
        <f>undergrid!G52</f>
        <v>0.08</v>
      </c>
      <c r="K52" s="75">
        <f t="shared" si="0"/>
        <v>0</v>
      </c>
      <c r="L52" s="73">
        <f>undergrid!I52</f>
        <v>0.1</v>
      </c>
      <c r="M52" s="75">
        <f t="shared" si="1"/>
        <v>2.5</v>
      </c>
      <c r="N52" s="81">
        <f>undergrid!K52</f>
        <v>2</v>
      </c>
      <c r="O52" s="82"/>
      <c r="P52" s="81">
        <f>undergrid!M52</f>
        <v>6.3999999999999996E-10</v>
      </c>
      <c r="Q52" s="82"/>
      <c r="R52" s="73">
        <f>undergrid!O52</f>
        <v>18.611013000571518</v>
      </c>
      <c r="S52" s="74">
        <f>R52*undergrid!$AQ$5</f>
        <v>7.444405200228607E-5</v>
      </c>
      <c r="T52" s="75">
        <f>R52*(1-Graphs!$AD$1)</f>
        <v>0.93055065002857673</v>
      </c>
      <c r="U52" s="73">
        <f>undergrid!Q52</f>
        <v>0</v>
      </c>
      <c r="V52" s="75">
        <f>IF(U52&lt;0.001,0,P52*undergrid!$AQ$4)</f>
        <v>0</v>
      </c>
      <c r="W52" s="73">
        <f>undergrid!S52</f>
        <v>0</v>
      </c>
      <c r="X52" s="106">
        <f>IF(undergrid!AI52&gt;0,(undergrid!$AQ$7*W52+undergrid!$AQ$8*undergrid!$AQ$9)*undergrid!$AQ$6,0)+undergrid!AG52*undergrid!$AQ$10</f>
        <v>0</v>
      </c>
      <c r="Y52" s="73">
        <f>undergrid!U52</f>
        <v>0</v>
      </c>
      <c r="Z52" s="74">
        <f>Y52*undergrid!$AQ$5</f>
        <v>0</v>
      </c>
      <c r="AA52" s="75">
        <f>Y52*(1-Graphs!$AD$2)</f>
        <v>0</v>
      </c>
      <c r="AB52" s="73">
        <f>undergrid!W52</f>
        <v>25</v>
      </c>
      <c r="AC52" s="75">
        <f t="shared" si="5"/>
        <v>2.5</v>
      </c>
      <c r="AD52" s="73">
        <f>undergrid!Y52</f>
        <v>0</v>
      </c>
      <c r="AE52" s="75">
        <f t="shared" si="6"/>
        <v>0</v>
      </c>
      <c r="AF52" s="109">
        <f>undergrid!AA52</f>
        <v>0</v>
      </c>
      <c r="AG52" s="110">
        <f>undergrid!AE52</f>
        <v>0</v>
      </c>
      <c r="AH52" s="93">
        <f t="shared" si="7"/>
        <v>0</v>
      </c>
      <c r="AI52" s="93">
        <f t="shared" si="8"/>
        <v>0</v>
      </c>
      <c r="AJ52" s="93">
        <f t="shared" si="9"/>
        <v>20.841000000000001</v>
      </c>
      <c r="AK52" s="93">
        <f>IF(AH52&gt;0.00001,undergrid!$AM$4,IF(Costs!AI52&gt;0.0001,((undergrid!$AQ$7*W52+undergrid!$AQ$8*undergrid!$AQ$9)*undergrid!$AQ$6)/W52,IF(Costs!AJ52&gt;0.0001,Costs!L52,0)))</f>
        <v>0.1</v>
      </c>
      <c r="AL52" s="1">
        <v>51</v>
      </c>
      <c r="AM52" s="121">
        <f t="shared" si="15"/>
        <v>1.3598600000000001</v>
      </c>
      <c r="AN52" s="122">
        <f t="shared" si="10"/>
        <v>-2.5000744440520024</v>
      </c>
      <c r="AO52" s="123">
        <f t="shared" si="11"/>
        <v>-1.1402144440520023</v>
      </c>
      <c r="AR52" s="114">
        <f t="shared" si="12"/>
        <v>22.770013000571517</v>
      </c>
      <c r="AS52" s="32">
        <f t="shared" si="13"/>
        <v>25</v>
      </c>
      <c r="AT52" s="33">
        <f t="shared" si="16"/>
        <v>2.2299869994284833</v>
      </c>
    </row>
    <row r="53" spans="1:46" x14ac:dyDescent="0.3">
      <c r="A53" s="4" t="str">
        <f>undergrid!B53</f>
        <v>h052</v>
      </c>
      <c r="B53" s="73">
        <f>undergrid!C53*2</f>
        <v>3.12</v>
      </c>
      <c r="C53" s="74">
        <f>undergrid!$AQ$2*Costs!B53</f>
        <v>1.56</v>
      </c>
      <c r="D53" s="74">
        <f t="shared" si="3"/>
        <v>3.12</v>
      </c>
      <c r="E53" s="75">
        <f>D53*undergrid!$AQ$2</f>
        <v>1.56</v>
      </c>
      <c r="F53" s="73">
        <f>undergrid!E53</f>
        <v>2.9129999999999998</v>
      </c>
      <c r="G53" s="74">
        <f>F53*undergrid!$AQ$3</f>
        <v>0.40782000000000002</v>
      </c>
      <c r="H53" s="74">
        <f t="shared" si="4"/>
        <v>2.9129999999999998</v>
      </c>
      <c r="I53" s="75">
        <f>H53*undergrid!$AQ$3</f>
        <v>0.40782000000000002</v>
      </c>
      <c r="J53" s="73">
        <f>undergrid!G53</f>
        <v>0.08</v>
      </c>
      <c r="K53" s="75">
        <f t="shared" si="0"/>
        <v>0</v>
      </c>
      <c r="L53" s="73">
        <f>undergrid!I53</f>
        <v>0.1</v>
      </c>
      <c r="M53" s="75">
        <f t="shared" si="1"/>
        <v>2.5</v>
      </c>
      <c r="N53" s="81">
        <f>undergrid!K53</f>
        <v>2</v>
      </c>
      <c r="O53" s="82"/>
      <c r="P53" s="81">
        <f>undergrid!M53</f>
        <v>6.3999999999999996E-10</v>
      </c>
      <c r="Q53" s="82"/>
      <c r="R53" s="73">
        <f>undergrid!O53</f>
        <v>16.937531000571518</v>
      </c>
      <c r="S53" s="74">
        <f>R53*undergrid!$AQ$5</f>
        <v>6.7750124002286067E-5</v>
      </c>
      <c r="T53" s="75">
        <f>R53*(1-Graphs!$AD$1)</f>
        <v>0.84687655002857665</v>
      </c>
      <c r="U53" s="73">
        <f>undergrid!Q53</f>
        <v>0</v>
      </c>
      <c r="V53" s="75">
        <f>IF(U53&lt;0.001,0,P53*undergrid!$AQ$4)</f>
        <v>0</v>
      </c>
      <c r="W53" s="73">
        <f>undergrid!S53</f>
        <v>0</v>
      </c>
      <c r="X53" s="106">
        <f>IF(undergrid!AI53&gt;0,(undergrid!$AQ$7*W53+undergrid!$AQ$8*undergrid!$AQ$9)*undergrid!$AQ$6,0)+undergrid!AG53*undergrid!$AQ$10</f>
        <v>0</v>
      </c>
      <c r="Y53" s="73">
        <f>undergrid!U53</f>
        <v>0</v>
      </c>
      <c r="Z53" s="74">
        <f>Y53*undergrid!$AQ$5</f>
        <v>0</v>
      </c>
      <c r="AA53" s="75">
        <f>Y53*(1-Graphs!$AD$2)</f>
        <v>0</v>
      </c>
      <c r="AB53" s="73">
        <f>undergrid!W53</f>
        <v>25</v>
      </c>
      <c r="AC53" s="75">
        <f t="shared" si="5"/>
        <v>2.5</v>
      </c>
      <c r="AD53" s="73">
        <f>undergrid!Y53</f>
        <v>0</v>
      </c>
      <c r="AE53" s="75">
        <f t="shared" si="6"/>
        <v>0</v>
      </c>
      <c r="AF53" s="109">
        <f>undergrid!AA53</f>
        <v>0</v>
      </c>
      <c r="AG53" s="110">
        <f>undergrid!AE53</f>
        <v>0</v>
      </c>
      <c r="AH53" s="93">
        <f t="shared" si="7"/>
        <v>0</v>
      </c>
      <c r="AI53" s="93">
        <f t="shared" si="8"/>
        <v>0</v>
      </c>
      <c r="AJ53" s="93">
        <f t="shared" si="9"/>
        <v>18.966999999999999</v>
      </c>
      <c r="AK53" s="93">
        <f>IF(AH53&gt;0.00001,undergrid!$AM$4,IF(Costs!AI53&gt;0.0001,((undergrid!$AQ$7*W53+undergrid!$AQ$8*undergrid!$AQ$9)*undergrid!$AQ$6)/W53,IF(Costs!AJ53&gt;0.0001,Costs!L53,0)))</f>
        <v>0.1</v>
      </c>
      <c r="AL53" s="1">
        <v>52</v>
      </c>
      <c r="AM53" s="121">
        <f t="shared" si="15"/>
        <v>1.9678200000000001</v>
      </c>
      <c r="AN53" s="122">
        <f t="shared" si="10"/>
        <v>-2.5000677501240025</v>
      </c>
      <c r="AO53" s="123">
        <f t="shared" si="11"/>
        <v>-0.53224775012400238</v>
      </c>
      <c r="AR53" s="114">
        <f t="shared" si="12"/>
        <v>22.970531000571519</v>
      </c>
      <c r="AS53" s="32">
        <f t="shared" si="13"/>
        <v>25</v>
      </c>
      <c r="AT53" s="33">
        <f t="shared" si="16"/>
        <v>2.0294689994284809</v>
      </c>
    </row>
    <row r="54" spans="1:46" x14ac:dyDescent="0.3">
      <c r="A54" s="4" t="str">
        <f>undergrid!B54</f>
        <v>h053</v>
      </c>
      <c r="B54" s="73">
        <f>undergrid!C54*2</f>
        <v>2.76</v>
      </c>
      <c r="C54" s="74">
        <f>undergrid!$AQ$2*Costs!B54</f>
        <v>1.38</v>
      </c>
      <c r="D54" s="74">
        <f t="shared" si="3"/>
        <v>2.76</v>
      </c>
      <c r="E54" s="75">
        <f>D54*undergrid!$AQ$2</f>
        <v>1.38</v>
      </c>
      <c r="F54" s="73">
        <f>undergrid!E54</f>
        <v>2.5710000000000002</v>
      </c>
      <c r="G54" s="74">
        <f>F54*undergrid!$AQ$3</f>
        <v>0.35994000000000004</v>
      </c>
      <c r="H54" s="74">
        <f t="shared" si="4"/>
        <v>2.5710000000000002</v>
      </c>
      <c r="I54" s="75">
        <f>H54*undergrid!$AQ$3</f>
        <v>0.35994000000000004</v>
      </c>
      <c r="J54" s="73">
        <f>undergrid!G54</f>
        <v>0.08</v>
      </c>
      <c r="K54" s="75">
        <f t="shared" si="0"/>
        <v>0</v>
      </c>
      <c r="L54" s="73">
        <f>undergrid!I54</f>
        <v>0.1</v>
      </c>
      <c r="M54" s="75">
        <f t="shared" si="1"/>
        <v>2.5</v>
      </c>
      <c r="N54" s="81">
        <f>undergrid!K54</f>
        <v>2</v>
      </c>
      <c r="O54" s="82"/>
      <c r="P54" s="81">
        <f>undergrid!M54</f>
        <v>6.3999999999999996E-10</v>
      </c>
      <c r="Q54" s="82"/>
      <c r="R54" s="73">
        <f>undergrid!O54</f>
        <v>17.56441700057152</v>
      </c>
      <c r="S54" s="74">
        <f>R54*undergrid!$AQ$5</f>
        <v>7.0257668002286083E-5</v>
      </c>
      <c r="T54" s="75">
        <f>R54*(1-Graphs!$AD$1)</f>
        <v>0.87822085002857675</v>
      </c>
      <c r="U54" s="73">
        <f>undergrid!Q54</f>
        <v>0</v>
      </c>
      <c r="V54" s="75">
        <f>IF(U54&lt;0.001,0,P54*undergrid!$AQ$4)</f>
        <v>0</v>
      </c>
      <c r="W54" s="73">
        <f>undergrid!S54</f>
        <v>0</v>
      </c>
      <c r="X54" s="106">
        <f>IF(undergrid!AI54&gt;0,(undergrid!$AQ$7*W54+undergrid!$AQ$8*undergrid!$AQ$9)*undergrid!$AQ$6,0)+undergrid!AG54*undergrid!$AQ$10</f>
        <v>0</v>
      </c>
      <c r="Y54" s="73">
        <f>undergrid!U54</f>
        <v>0</v>
      </c>
      <c r="Z54" s="74">
        <f>Y54*undergrid!$AQ$5</f>
        <v>0</v>
      </c>
      <c r="AA54" s="75">
        <f>Y54*(1-Graphs!$AD$2)</f>
        <v>0</v>
      </c>
      <c r="AB54" s="73">
        <f>undergrid!W54</f>
        <v>25</v>
      </c>
      <c r="AC54" s="75">
        <f t="shared" si="5"/>
        <v>2.5</v>
      </c>
      <c r="AD54" s="73">
        <f>undergrid!Y54</f>
        <v>0</v>
      </c>
      <c r="AE54" s="75">
        <f t="shared" si="6"/>
        <v>0</v>
      </c>
      <c r="AF54" s="109">
        <f>undergrid!AA54</f>
        <v>0</v>
      </c>
      <c r="AG54" s="110">
        <f>undergrid!AE54</f>
        <v>0</v>
      </c>
      <c r="AH54" s="93">
        <f t="shared" si="7"/>
        <v>0</v>
      </c>
      <c r="AI54" s="93">
        <f t="shared" si="8"/>
        <v>0</v>
      </c>
      <c r="AJ54" s="93">
        <f t="shared" si="9"/>
        <v>19.669</v>
      </c>
      <c r="AK54" s="93">
        <f>IF(AH54&gt;0.00001,undergrid!$AM$4,IF(Costs!AI54&gt;0.0001,((undergrid!$AQ$7*W54+undergrid!$AQ$8*undergrid!$AQ$9)*undergrid!$AQ$6)/W54,IF(Costs!AJ54&gt;0.0001,Costs!L54,0)))</f>
        <v>0.1</v>
      </c>
      <c r="AL54" s="1">
        <v>53</v>
      </c>
      <c r="AM54" s="121">
        <f t="shared" si="15"/>
        <v>1.7399399999999998</v>
      </c>
      <c r="AN54" s="122">
        <f t="shared" si="10"/>
        <v>-2.5000702576680025</v>
      </c>
      <c r="AO54" s="123">
        <f t="shared" si="11"/>
        <v>-0.76013025766800268</v>
      </c>
      <c r="AR54" s="114">
        <f t="shared" si="12"/>
        <v>22.89541700057152</v>
      </c>
      <c r="AS54" s="32">
        <f t="shared" si="13"/>
        <v>25</v>
      </c>
      <c r="AT54" s="33">
        <f t="shared" si="16"/>
        <v>2.1045829994284802</v>
      </c>
    </row>
    <row r="55" spans="1:46" x14ac:dyDescent="0.3">
      <c r="A55" s="4" t="str">
        <f>undergrid!B55</f>
        <v>h054</v>
      </c>
      <c r="B55" s="73">
        <f>undergrid!C55*2</f>
        <v>3.2</v>
      </c>
      <c r="C55" s="74">
        <f>undergrid!$AQ$2*Costs!B55</f>
        <v>1.6</v>
      </c>
      <c r="D55" s="74">
        <f t="shared" si="3"/>
        <v>3.2</v>
      </c>
      <c r="E55" s="75">
        <f>D55*undergrid!$AQ$2</f>
        <v>1.6</v>
      </c>
      <c r="F55" s="73">
        <f>undergrid!E55</f>
        <v>2.9620000000000002</v>
      </c>
      <c r="G55" s="74">
        <f>F55*undergrid!$AQ$3</f>
        <v>0.41468000000000005</v>
      </c>
      <c r="H55" s="74">
        <f t="shared" si="4"/>
        <v>2.9620000000000002</v>
      </c>
      <c r="I55" s="75">
        <f>H55*undergrid!$AQ$3</f>
        <v>0.41468000000000005</v>
      </c>
      <c r="J55" s="73">
        <f>undergrid!G55</f>
        <v>0.08</v>
      </c>
      <c r="K55" s="75">
        <f t="shared" si="0"/>
        <v>0</v>
      </c>
      <c r="L55" s="73">
        <f>undergrid!I55</f>
        <v>0.1</v>
      </c>
      <c r="M55" s="75">
        <f t="shared" si="1"/>
        <v>2.5</v>
      </c>
      <c r="N55" s="81">
        <f>undergrid!K55</f>
        <v>2</v>
      </c>
      <c r="O55" s="82"/>
      <c r="P55" s="81">
        <f>undergrid!M55</f>
        <v>6.3999999999999996E-10</v>
      </c>
      <c r="Q55" s="82"/>
      <c r="R55" s="73">
        <f>undergrid!O55</f>
        <v>16.822334000571519</v>
      </c>
      <c r="S55" s="74">
        <f>R55*undergrid!$AQ$5</f>
        <v>6.7289336002286079E-5</v>
      </c>
      <c r="T55" s="75">
        <f>R55*(1-Graphs!$AD$1)</f>
        <v>0.84111670002857675</v>
      </c>
      <c r="U55" s="73">
        <f>undergrid!Q55</f>
        <v>0</v>
      </c>
      <c r="V55" s="75">
        <f>IF(U55&lt;0.001,0,P55*undergrid!$AQ$4)</f>
        <v>0</v>
      </c>
      <c r="W55" s="73">
        <f>undergrid!S55</f>
        <v>0</v>
      </c>
      <c r="X55" s="106">
        <f>IF(undergrid!AI55&gt;0,(undergrid!$AQ$7*W55+undergrid!$AQ$8*undergrid!$AQ$9)*undergrid!$AQ$6,0)+undergrid!AG55*undergrid!$AQ$10</f>
        <v>0</v>
      </c>
      <c r="Y55" s="73">
        <f>undergrid!U55</f>
        <v>0</v>
      </c>
      <c r="Z55" s="74">
        <f>Y55*undergrid!$AQ$5</f>
        <v>0</v>
      </c>
      <c r="AA55" s="75">
        <f>Y55*(1-Graphs!$AD$2)</f>
        <v>0</v>
      </c>
      <c r="AB55" s="73">
        <f>undergrid!W55</f>
        <v>25</v>
      </c>
      <c r="AC55" s="75">
        <f t="shared" si="5"/>
        <v>2.5</v>
      </c>
      <c r="AD55" s="73">
        <f>undergrid!Y55</f>
        <v>0</v>
      </c>
      <c r="AE55" s="75">
        <f t="shared" si="6"/>
        <v>0</v>
      </c>
      <c r="AF55" s="109">
        <f>undergrid!AA55</f>
        <v>0</v>
      </c>
      <c r="AG55" s="110">
        <f>undergrid!AE55</f>
        <v>0</v>
      </c>
      <c r="AH55" s="93">
        <f t="shared" si="7"/>
        <v>0</v>
      </c>
      <c r="AI55" s="93">
        <f t="shared" si="8"/>
        <v>0</v>
      </c>
      <c r="AJ55" s="93">
        <f t="shared" si="9"/>
        <v>18.838000000000001</v>
      </c>
      <c r="AK55" s="93">
        <f>IF(AH55&gt;0.00001,undergrid!$AM$4,IF(Costs!AI55&gt;0.0001,((undergrid!$AQ$7*W55+undergrid!$AQ$8*undergrid!$AQ$9)*undergrid!$AQ$6)/W55,IF(Costs!AJ55&gt;0.0001,Costs!L55,0)))</f>
        <v>0.1</v>
      </c>
      <c r="AL55" s="1">
        <v>54</v>
      </c>
      <c r="AM55" s="121">
        <f t="shared" si="15"/>
        <v>2.0146800000000002</v>
      </c>
      <c r="AN55" s="122">
        <f t="shared" si="10"/>
        <v>-2.5000672893360023</v>
      </c>
      <c r="AO55" s="123">
        <f t="shared" si="11"/>
        <v>-0.48538728933600206</v>
      </c>
      <c r="AR55" s="114">
        <f t="shared" si="12"/>
        <v>22.984334000571522</v>
      </c>
      <c r="AS55" s="32">
        <f t="shared" si="13"/>
        <v>25</v>
      </c>
      <c r="AT55" s="33">
        <f t="shared" si="16"/>
        <v>2.015665999428478</v>
      </c>
    </row>
    <row r="56" spans="1:46" x14ac:dyDescent="0.3">
      <c r="A56" s="4" t="str">
        <f>undergrid!B56</f>
        <v>h055</v>
      </c>
      <c r="B56" s="73">
        <f>undergrid!C56*2</f>
        <v>2.42</v>
      </c>
      <c r="C56" s="74">
        <f>undergrid!$AQ$2*Costs!B56</f>
        <v>1.21</v>
      </c>
      <c r="D56" s="74">
        <f t="shared" si="3"/>
        <v>2.42</v>
      </c>
      <c r="E56" s="75">
        <f>D56*undergrid!$AQ$2</f>
        <v>1.21</v>
      </c>
      <c r="F56" s="73">
        <f>undergrid!E56</f>
        <v>2.2469999999999999</v>
      </c>
      <c r="G56" s="74">
        <f>F56*undergrid!$AQ$3</f>
        <v>0.31458000000000003</v>
      </c>
      <c r="H56" s="74">
        <f t="shared" si="4"/>
        <v>2.2469999999999999</v>
      </c>
      <c r="I56" s="75">
        <f>H56*undergrid!$AQ$3</f>
        <v>0.31458000000000003</v>
      </c>
      <c r="J56" s="73">
        <f>undergrid!G56</f>
        <v>0.13</v>
      </c>
      <c r="K56" s="75">
        <f t="shared" si="0"/>
        <v>0</v>
      </c>
      <c r="L56" s="73">
        <f>undergrid!I56</f>
        <v>0.15</v>
      </c>
      <c r="M56" s="75">
        <f t="shared" si="1"/>
        <v>0</v>
      </c>
      <c r="N56" s="81">
        <f>undergrid!K56</f>
        <v>2</v>
      </c>
      <c r="O56" s="82"/>
      <c r="P56" s="81">
        <f>undergrid!M56</f>
        <v>6.3999999999999996E-10</v>
      </c>
      <c r="Q56" s="82"/>
      <c r="R56" s="73">
        <f>undergrid!O56</f>
        <v>0</v>
      </c>
      <c r="S56" s="74">
        <f>R56*undergrid!$AQ$5</f>
        <v>0</v>
      </c>
      <c r="T56" s="75">
        <f>R56*(1-Graphs!$AD$1)</f>
        <v>0</v>
      </c>
      <c r="U56" s="73">
        <f>undergrid!Q56</f>
        <v>0</v>
      </c>
      <c r="V56" s="75">
        <f>IF(U56&lt;0.001,0,P56*undergrid!$AQ$4)</f>
        <v>0</v>
      </c>
      <c r="W56" s="73">
        <f>undergrid!S56</f>
        <v>0</v>
      </c>
      <c r="X56" s="106">
        <f>IF(undergrid!AI56&gt;0,(undergrid!$AQ$7*W56+undergrid!$AQ$8*undergrid!$AQ$9)*undergrid!$AQ$6,0)+undergrid!AG56*undergrid!$AQ$10</f>
        <v>0</v>
      </c>
      <c r="Y56" s="73">
        <f>undergrid!U56</f>
        <v>5.1855555548444441</v>
      </c>
      <c r="Z56" s="74">
        <f>Y56*undergrid!$AQ$5</f>
        <v>2.0742222219377775E-5</v>
      </c>
      <c r="AA56" s="75">
        <f>Y56*(1-Graphs!$AD$2)</f>
        <v>0.51855555548444432</v>
      </c>
      <c r="AB56" s="73">
        <f>undergrid!W56</f>
        <v>0</v>
      </c>
      <c r="AC56" s="75">
        <f t="shared" si="5"/>
        <v>0</v>
      </c>
      <c r="AD56" s="73">
        <f>undergrid!Y56</f>
        <v>0</v>
      </c>
      <c r="AE56" s="75">
        <f t="shared" si="6"/>
        <v>0</v>
      </c>
      <c r="AF56" s="109">
        <f>undergrid!AA56</f>
        <v>0</v>
      </c>
      <c r="AG56" s="110">
        <f>undergrid!AE56</f>
        <v>0</v>
      </c>
      <c r="AH56" s="93">
        <f t="shared" si="7"/>
        <v>0</v>
      </c>
      <c r="AI56" s="93">
        <f t="shared" si="8"/>
        <v>0</v>
      </c>
      <c r="AJ56" s="93">
        <f t="shared" si="9"/>
        <v>0</v>
      </c>
      <c r="AK56" s="93">
        <f>IF(AH56&gt;0.00001,undergrid!$AM$4,IF(Costs!AI56&gt;0.0001,((undergrid!$AQ$7*W56+undergrid!$AQ$8*undergrid!$AQ$9)*undergrid!$AQ$6)/W56,IF(Costs!AJ56&gt;0.0001,Costs!L56,0)))</f>
        <v>0</v>
      </c>
      <c r="AL56" s="1">
        <v>55</v>
      </c>
      <c r="AM56" s="121">
        <f t="shared" si="15"/>
        <v>1.52458</v>
      </c>
      <c r="AN56" s="122">
        <f t="shared" si="10"/>
        <v>-2.0742222219377775E-5</v>
      </c>
      <c r="AO56" s="123">
        <f t="shared" si="11"/>
        <v>1.5245592577777807</v>
      </c>
      <c r="AR56" s="114">
        <f t="shared" si="12"/>
        <v>4.6669999999999998</v>
      </c>
      <c r="AS56" s="32">
        <f t="shared" si="13"/>
        <v>5.1855555548444441</v>
      </c>
      <c r="AT56" s="33">
        <f t="shared" si="16"/>
        <v>0.51855555484444427</v>
      </c>
    </row>
    <row r="57" spans="1:46" x14ac:dyDescent="0.3">
      <c r="A57" s="4" t="str">
        <f>undergrid!B57</f>
        <v>h056</v>
      </c>
      <c r="B57" s="73">
        <f>undergrid!C57*2</f>
        <v>1.38</v>
      </c>
      <c r="C57" s="74">
        <f>undergrid!$AQ$2*Costs!B57</f>
        <v>0.69</v>
      </c>
      <c r="D57" s="74">
        <f t="shared" si="3"/>
        <v>1.38</v>
      </c>
      <c r="E57" s="75">
        <f>D57*undergrid!$AQ$2</f>
        <v>0.69</v>
      </c>
      <c r="F57" s="73">
        <f>undergrid!E57</f>
        <v>1.671</v>
      </c>
      <c r="G57" s="74">
        <f>F57*undergrid!$AQ$3</f>
        <v>0.23394000000000004</v>
      </c>
      <c r="H57" s="74">
        <f t="shared" si="4"/>
        <v>1.671</v>
      </c>
      <c r="I57" s="75">
        <f>H57*undergrid!$AQ$3</f>
        <v>0.23394000000000004</v>
      </c>
      <c r="J57" s="73">
        <f>undergrid!G57</f>
        <v>0.13</v>
      </c>
      <c r="K57" s="75">
        <f t="shared" si="0"/>
        <v>0</v>
      </c>
      <c r="L57" s="73">
        <f>undergrid!I57</f>
        <v>0.15</v>
      </c>
      <c r="M57" s="75">
        <f t="shared" si="1"/>
        <v>0</v>
      </c>
      <c r="N57" s="81">
        <f>undergrid!K57</f>
        <v>2</v>
      </c>
      <c r="O57" s="82"/>
      <c r="P57" s="81">
        <f>undergrid!M57</f>
        <v>6.8000000000000003E-10</v>
      </c>
      <c r="Q57" s="82"/>
      <c r="R57" s="73">
        <f>undergrid!O57</f>
        <v>0</v>
      </c>
      <c r="S57" s="74">
        <f>R57*undergrid!$AQ$5</f>
        <v>0</v>
      </c>
      <c r="T57" s="75">
        <f>R57*(1-Graphs!$AD$1)</f>
        <v>0</v>
      </c>
      <c r="U57" s="73">
        <f>undergrid!Q57</f>
        <v>0</v>
      </c>
      <c r="V57" s="75">
        <f>IF(U57&lt;0.001,0,P57*undergrid!$AQ$4)</f>
        <v>0</v>
      </c>
      <c r="W57" s="73">
        <f>undergrid!S57</f>
        <v>0</v>
      </c>
      <c r="X57" s="106">
        <f>IF(undergrid!AI57&gt;0,(undergrid!$AQ$7*W57+undergrid!$AQ$8*undergrid!$AQ$9)*undergrid!$AQ$6,0)+undergrid!AG57*undergrid!$AQ$10</f>
        <v>0</v>
      </c>
      <c r="Y57" s="73">
        <f>undergrid!U57</f>
        <v>3.3899999992444445</v>
      </c>
      <c r="Z57" s="74">
        <f>Y57*undergrid!$AQ$5</f>
        <v>1.3559999996977777E-5</v>
      </c>
      <c r="AA57" s="75">
        <f>Y57*(1-Graphs!$AD$2)</f>
        <v>0.33899999992444435</v>
      </c>
      <c r="AB57" s="73">
        <f>undergrid!W57</f>
        <v>0</v>
      </c>
      <c r="AC57" s="75">
        <f t="shared" si="5"/>
        <v>0</v>
      </c>
      <c r="AD57" s="73">
        <f>undergrid!Y57</f>
        <v>0</v>
      </c>
      <c r="AE57" s="75">
        <f t="shared" si="6"/>
        <v>0</v>
      </c>
      <c r="AF57" s="109">
        <f>undergrid!AA57</f>
        <v>0</v>
      </c>
      <c r="AG57" s="110">
        <f>undergrid!AE57</f>
        <v>0</v>
      </c>
      <c r="AH57" s="93">
        <f t="shared" si="7"/>
        <v>0</v>
      </c>
      <c r="AI57" s="93">
        <f t="shared" si="8"/>
        <v>0</v>
      </c>
      <c r="AJ57" s="93">
        <f t="shared" si="9"/>
        <v>0</v>
      </c>
      <c r="AK57" s="93">
        <f>IF(AH57&gt;0.00001,undergrid!$AM$4,IF(Costs!AI57&gt;0.0001,((undergrid!$AQ$7*W57+undergrid!$AQ$8*undergrid!$AQ$9)*undergrid!$AQ$6)/W57,IF(Costs!AJ57&gt;0.0001,Costs!L57,0)))</f>
        <v>0</v>
      </c>
      <c r="AL57" s="1">
        <v>56</v>
      </c>
      <c r="AM57" s="121">
        <f t="shared" si="15"/>
        <v>0.92393999999999998</v>
      </c>
      <c r="AN57" s="122">
        <f t="shared" si="10"/>
        <v>-1.3559999996977777E-5</v>
      </c>
      <c r="AO57" s="123">
        <f t="shared" si="11"/>
        <v>0.92392644000000301</v>
      </c>
      <c r="AR57" s="114">
        <f t="shared" si="12"/>
        <v>3.0510000000000002</v>
      </c>
      <c r="AS57" s="32">
        <f t="shared" si="13"/>
        <v>3.3899999992444445</v>
      </c>
      <c r="AT57" s="33">
        <f t="shared" si="16"/>
        <v>0.33899999924444435</v>
      </c>
    </row>
    <row r="58" spans="1:46" x14ac:dyDescent="0.3">
      <c r="A58" s="4" t="str">
        <f>undergrid!B58</f>
        <v>h057</v>
      </c>
      <c r="B58" s="73">
        <f>undergrid!C58*2</f>
        <v>1.84</v>
      </c>
      <c r="C58" s="74">
        <f>undergrid!$AQ$2*Costs!B58</f>
        <v>0.92</v>
      </c>
      <c r="D58" s="74">
        <f t="shared" si="3"/>
        <v>1.84</v>
      </c>
      <c r="E58" s="75">
        <f>D58*undergrid!$AQ$2</f>
        <v>0.92</v>
      </c>
      <c r="F58" s="73">
        <f>undergrid!E58</f>
        <v>2.2440000000000002</v>
      </c>
      <c r="G58" s="74">
        <f>F58*undergrid!$AQ$3</f>
        <v>0.31416000000000005</v>
      </c>
      <c r="H58" s="74">
        <f t="shared" si="4"/>
        <v>2.2440000000000002</v>
      </c>
      <c r="I58" s="75">
        <f>H58*undergrid!$AQ$3</f>
        <v>0.31416000000000005</v>
      </c>
      <c r="J58" s="73">
        <f>undergrid!G58</f>
        <v>0.13</v>
      </c>
      <c r="K58" s="75">
        <f t="shared" si="0"/>
        <v>0.45577999999999991</v>
      </c>
      <c r="L58" s="73">
        <f>undergrid!I58</f>
        <v>0.15</v>
      </c>
      <c r="M58" s="75">
        <f t="shared" si="1"/>
        <v>0</v>
      </c>
      <c r="N58" s="81">
        <f>undergrid!K58</f>
        <v>2</v>
      </c>
      <c r="O58" s="82"/>
      <c r="P58" s="81">
        <f>undergrid!M58</f>
        <v>7.59</v>
      </c>
      <c r="Q58" s="82"/>
      <c r="R58" s="73">
        <f>undergrid!O58</f>
        <v>0</v>
      </c>
      <c r="S58" s="74">
        <f>R58*undergrid!$AQ$5</f>
        <v>0</v>
      </c>
      <c r="T58" s="75">
        <f>R58*(1-Graphs!$AD$1)</f>
        <v>0</v>
      </c>
      <c r="U58" s="73">
        <f>undergrid!Q58</f>
        <v>7.59</v>
      </c>
      <c r="V58" s="75">
        <f>IF(U58&lt;0.001,0,P58*undergrid!$AQ$4)</f>
        <v>1.5179999999999999E-5</v>
      </c>
      <c r="W58" s="73">
        <f>undergrid!S58</f>
        <v>0</v>
      </c>
      <c r="X58" s="106">
        <f>IF(undergrid!AI58&gt;0,(undergrid!$AQ$7*W58+undergrid!$AQ$8*undergrid!$AQ$9)*undergrid!$AQ$6,0)+undergrid!AG58*undergrid!$AQ$10</f>
        <v>0</v>
      </c>
      <c r="Y58" s="73">
        <f>undergrid!U58</f>
        <v>0</v>
      </c>
      <c r="Z58" s="74">
        <f>Y58*undergrid!$AQ$5</f>
        <v>0</v>
      </c>
      <c r="AA58" s="75">
        <f>Y58*(1-Graphs!$AD$2)</f>
        <v>0</v>
      </c>
      <c r="AB58" s="73">
        <f>undergrid!W58</f>
        <v>0</v>
      </c>
      <c r="AC58" s="75">
        <f t="shared" si="5"/>
        <v>0</v>
      </c>
      <c r="AD58" s="73">
        <f>undergrid!Y58</f>
        <v>3.5059999999999993</v>
      </c>
      <c r="AE58" s="75">
        <f t="shared" si="6"/>
        <v>0.45577999999999991</v>
      </c>
      <c r="AF58" s="109">
        <f>undergrid!AA58</f>
        <v>0</v>
      </c>
      <c r="AG58" s="110">
        <f>undergrid!AE58</f>
        <v>0</v>
      </c>
      <c r="AH58" s="93">
        <f t="shared" si="7"/>
        <v>0</v>
      </c>
      <c r="AI58" s="93">
        <f t="shared" si="8"/>
        <v>0</v>
      </c>
      <c r="AJ58" s="93">
        <f t="shared" si="9"/>
        <v>0</v>
      </c>
      <c r="AK58" s="93">
        <f>IF(AH58&gt;0.00001,undergrid!$AM$4,IF(Costs!AI58&gt;0.0001,((undergrid!$AQ$7*W58+undergrid!$AQ$8*undergrid!$AQ$9)*undergrid!$AQ$6)/W58,IF(Costs!AJ58&gt;0.0001,Costs!L58,0)))</f>
        <v>0</v>
      </c>
      <c r="AL58" s="1">
        <v>57</v>
      </c>
      <c r="AM58" s="121">
        <f t="shared" si="15"/>
        <v>1.68994</v>
      </c>
      <c r="AN58" s="122">
        <f t="shared" si="10"/>
        <v>-1.5179999999999999E-5</v>
      </c>
      <c r="AO58" s="123">
        <f t="shared" si="11"/>
        <v>1.6899248200000001</v>
      </c>
      <c r="AR58" s="114">
        <f t="shared" si="12"/>
        <v>7.59</v>
      </c>
      <c r="AS58" s="32">
        <f t="shared" si="13"/>
        <v>7.59</v>
      </c>
      <c r="AT58" s="33">
        <f t="shared" si="16"/>
        <v>0</v>
      </c>
    </row>
    <row r="59" spans="1:46" x14ac:dyDescent="0.3">
      <c r="A59" s="4" t="str">
        <f>undergrid!B59</f>
        <v>h058</v>
      </c>
      <c r="B59" s="73">
        <f>undergrid!C59*2</f>
        <v>3.7</v>
      </c>
      <c r="C59" s="74">
        <f>undergrid!$AQ$2*Costs!B59</f>
        <v>1.85</v>
      </c>
      <c r="D59" s="74">
        <f t="shared" si="3"/>
        <v>3.7</v>
      </c>
      <c r="E59" s="75">
        <f>D59*undergrid!$AQ$2</f>
        <v>1.85</v>
      </c>
      <c r="F59" s="73">
        <f>undergrid!E59</f>
        <v>7.72</v>
      </c>
      <c r="G59" s="74">
        <f>F59*undergrid!$AQ$3</f>
        <v>1.0808</v>
      </c>
      <c r="H59" s="74">
        <f t="shared" si="4"/>
        <v>7.72</v>
      </c>
      <c r="I59" s="75">
        <f>H59*undergrid!$AQ$3</f>
        <v>1.0808</v>
      </c>
      <c r="J59" s="73">
        <f>undergrid!G59</f>
        <v>0.13</v>
      </c>
      <c r="K59" s="75">
        <f t="shared" si="0"/>
        <v>0</v>
      </c>
      <c r="L59" s="73">
        <f>undergrid!I59</f>
        <v>0.15</v>
      </c>
      <c r="M59" s="75">
        <f t="shared" si="1"/>
        <v>0.42576520272506385</v>
      </c>
      <c r="N59" s="81">
        <f>undergrid!K59</f>
        <v>2</v>
      </c>
      <c r="O59" s="82"/>
      <c r="P59" s="81">
        <f>undergrid!M59</f>
        <v>7.15</v>
      </c>
      <c r="Q59" s="82"/>
      <c r="R59" s="73">
        <f>undergrid!O59</f>
        <v>0</v>
      </c>
      <c r="S59" s="74">
        <f>R59*undergrid!$AQ$5</f>
        <v>0</v>
      </c>
      <c r="T59" s="75">
        <f>R59*(1-Graphs!$AD$1)</f>
        <v>0</v>
      </c>
      <c r="U59" s="73">
        <f>undergrid!Q59</f>
        <v>7.15</v>
      </c>
      <c r="V59" s="75">
        <f>IF(U59&lt;0.001,0,P59*undergrid!$AQ$4)</f>
        <v>1.43E-5</v>
      </c>
      <c r="W59" s="73">
        <f>undergrid!S59</f>
        <v>0</v>
      </c>
      <c r="X59" s="106">
        <f>IF(undergrid!AI59&gt;0,(undergrid!$AQ$7*W59+undergrid!$AQ$8*undergrid!$AQ$9)*undergrid!$AQ$6,0)+undergrid!AG59*undergrid!$AQ$10</f>
        <v>0</v>
      </c>
      <c r="Y59" s="73">
        <f>undergrid!U59</f>
        <v>1.5906281279624892</v>
      </c>
      <c r="Z59" s="74">
        <f>Y59*undergrid!$AQ$5</f>
        <v>6.3625125118499567E-6</v>
      </c>
      <c r="AA59" s="75">
        <f>Y59*(1-Graphs!$AD$2)</f>
        <v>0.1590628127962489</v>
      </c>
      <c r="AB59" s="73">
        <f>undergrid!W59</f>
        <v>2.8384346848337589</v>
      </c>
      <c r="AC59" s="75">
        <f t="shared" si="5"/>
        <v>0.42576520272506385</v>
      </c>
      <c r="AD59" s="73">
        <f>undergrid!Y59</f>
        <v>0</v>
      </c>
      <c r="AE59" s="75">
        <f t="shared" si="6"/>
        <v>0</v>
      </c>
      <c r="AF59" s="109">
        <f>undergrid!AA59</f>
        <v>0</v>
      </c>
      <c r="AG59" s="110">
        <f>undergrid!AE59</f>
        <v>0</v>
      </c>
      <c r="AH59" s="93">
        <f t="shared" si="7"/>
        <v>0</v>
      </c>
      <c r="AI59" s="93">
        <f t="shared" si="8"/>
        <v>0</v>
      </c>
      <c r="AJ59" s="93">
        <f t="shared" si="9"/>
        <v>0</v>
      </c>
      <c r="AK59" s="93">
        <f>IF(AH59&gt;0.00001,undergrid!$AM$4,IF(Costs!AI59&gt;0.0001,((undergrid!$AQ$7*W59+undergrid!$AQ$8*undergrid!$AQ$9)*undergrid!$AQ$6)/W59,IF(Costs!AJ59&gt;0.0001,Costs!L59,0)))</f>
        <v>0</v>
      </c>
      <c r="AL59" s="1">
        <v>58</v>
      </c>
      <c r="AM59" s="121">
        <f t="shared" si="15"/>
        <v>2.9308000000000001</v>
      </c>
      <c r="AN59" s="122">
        <f t="shared" si="10"/>
        <v>-0.42578586523757572</v>
      </c>
      <c r="AO59" s="123">
        <f t="shared" si="11"/>
        <v>2.5050141347624244</v>
      </c>
      <c r="AR59" s="114">
        <f t="shared" si="12"/>
        <v>11.42</v>
      </c>
      <c r="AS59" s="32">
        <f t="shared" si="13"/>
        <v>11.579062812796248</v>
      </c>
      <c r="AT59" s="33">
        <f t="shared" si="16"/>
        <v>0.15906281279624856</v>
      </c>
    </row>
    <row r="60" spans="1:46" x14ac:dyDescent="0.3">
      <c r="A60" s="4" t="str">
        <f>undergrid!B60</f>
        <v>h059</v>
      </c>
      <c r="B60" s="73">
        <f>undergrid!C60*2</f>
        <v>6.56</v>
      </c>
      <c r="C60" s="74">
        <f>undergrid!$AQ$2*Costs!B60</f>
        <v>3.28</v>
      </c>
      <c r="D60" s="74">
        <f t="shared" si="3"/>
        <v>6.56</v>
      </c>
      <c r="E60" s="75">
        <f>D60*undergrid!$AQ$2</f>
        <v>3.28</v>
      </c>
      <c r="F60" s="73">
        <f>undergrid!E60</f>
        <v>7.0890000000000004</v>
      </c>
      <c r="G60" s="74">
        <f>F60*undergrid!$AQ$3</f>
        <v>0.99246000000000012</v>
      </c>
      <c r="H60" s="74">
        <f t="shared" si="4"/>
        <v>7.0890000000000004</v>
      </c>
      <c r="I60" s="75">
        <f>H60*undergrid!$AQ$3</f>
        <v>0.99246000000000012</v>
      </c>
      <c r="J60" s="73">
        <f>undergrid!G60</f>
        <v>0.13</v>
      </c>
      <c r="K60" s="75">
        <f t="shared" si="0"/>
        <v>0</v>
      </c>
      <c r="L60" s="73">
        <f>undergrid!I60</f>
        <v>0.15</v>
      </c>
      <c r="M60" s="75">
        <f t="shared" si="1"/>
        <v>0</v>
      </c>
      <c r="N60" s="81">
        <f>undergrid!K60</f>
        <v>1</v>
      </c>
      <c r="O60" s="82"/>
      <c r="P60" s="81">
        <f>undergrid!M60</f>
        <v>9.9499999999999993</v>
      </c>
      <c r="Q60" s="82"/>
      <c r="R60" s="73">
        <f>undergrid!O60</f>
        <v>0</v>
      </c>
      <c r="S60" s="74">
        <f>R60*undergrid!$AQ$5</f>
        <v>0</v>
      </c>
      <c r="T60" s="75">
        <f>R60*(1-Graphs!$AD$1)</f>
        <v>0</v>
      </c>
      <c r="U60" s="73">
        <f>undergrid!Q60</f>
        <v>9.9499999999999993</v>
      </c>
      <c r="V60" s="75">
        <f>IF(U60&lt;0.001,0,P60*undergrid!$AQ$4)</f>
        <v>1.9899999999999999E-5</v>
      </c>
      <c r="W60" s="73">
        <f>undergrid!S60</f>
        <v>0</v>
      </c>
      <c r="X60" s="106">
        <f>IF(undergrid!AI60&gt;0,(undergrid!$AQ$7*W60+undergrid!$AQ$8*undergrid!$AQ$9)*undergrid!$AQ$6,0)+undergrid!AG60*undergrid!$AQ$10</f>
        <v>0</v>
      </c>
      <c r="Y60" s="73">
        <f>undergrid!U60</f>
        <v>4.1100000000000012</v>
      </c>
      <c r="Z60" s="74">
        <f>Y60*undergrid!$AQ$5</f>
        <v>1.6440000000000005E-5</v>
      </c>
      <c r="AA60" s="75">
        <f>Y60*(1-Graphs!$AD$2)</f>
        <v>0.41100000000000003</v>
      </c>
      <c r="AB60" s="73">
        <f>undergrid!W60</f>
        <v>0</v>
      </c>
      <c r="AC60" s="75">
        <f t="shared" si="5"/>
        <v>0</v>
      </c>
      <c r="AD60" s="73">
        <f>undergrid!Y60</f>
        <v>0</v>
      </c>
      <c r="AE60" s="75">
        <f t="shared" si="6"/>
        <v>0</v>
      </c>
      <c r="AF60" s="109">
        <f>undergrid!AA60</f>
        <v>0</v>
      </c>
      <c r="AG60" s="110">
        <f>undergrid!AE60</f>
        <v>0</v>
      </c>
      <c r="AH60" s="93">
        <f t="shared" si="7"/>
        <v>0</v>
      </c>
      <c r="AI60" s="93">
        <f t="shared" si="8"/>
        <v>0</v>
      </c>
      <c r="AJ60" s="93">
        <f t="shared" si="9"/>
        <v>0</v>
      </c>
      <c r="AK60" s="93">
        <f>IF(AH60&gt;0.00001,undergrid!$AM$4,IF(Costs!AI60&gt;0.0001,((undergrid!$AQ$7*W60+undergrid!$AQ$8*undergrid!$AQ$9)*undergrid!$AQ$6)/W60,IF(Costs!AJ60&gt;0.0001,Costs!L60,0)))</f>
        <v>0</v>
      </c>
      <c r="AL60" s="1">
        <v>59</v>
      </c>
      <c r="AM60" s="121">
        <f t="shared" si="15"/>
        <v>4.2724599999999997</v>
      </c>
      <c r="AN60" s="122">
        <f t="shared" si="10"/>
        <v>-3.6340000000000008E-5</v>
      </c>
      <c r="AO60" s="123">
        <f t="shared" si="11"/>
        <v>4.2724236599999994</v>
      </c>
      <c r="AR60" s="114">
        <f t="shared" si="12"/>
        <v>13.649000000000001</v>
      </c>
      <c r="AS60" s="32">
        <f t="shared" si="13"/>
        <v>14.06</v>
      </c>
      <c r="AT60" s="33">
        <f t="shared" si="16"/>
        <v>0.41099999999999959</v>
      </c>
    </row>
    <row r="61" spans="1:46" x14ac:dyDescent="0.3">
      <c r="A61" s="4" t="str">
        <f>undergrid!B61</f>
        <v>h060</v>
      </c>
      <c r="B61" s="73">
        <f>undergrid!C61*2</f>
        <v>8.8000000000000007</v>
      </c>
      <c r="C61" s="74">
        <f>undergrid!$AQ$2*Costs!B61</f>
        <v>4.4000000000000004</v>
      </c>
      <c r="D61" s="74">
        <f t="shared" si="3"/>
        <v>8.8000000000000007</v>
      </c>
      <c r="E61" s="75">
        <f>D61*undergrid!$AQ$2</f>
        <v>4.4000000000000004</v>
      </c>
      <c r="F61" s="73">
        <f>undergrid!E61</f>
        <v>9.4930000000000003</v>
      </c>
      <c r="G61" s="74">
        <f>F61*undergrid!$AQ$3</f>
        <v>1.3290200000000001</v>
      </c>
      <c r="H61" s="74">
        <f t="shared" si="4"/>
        <v>9.4930000000000003</v>
      </c>
      <c r="I61" s="75">
        <f>H61*undergrid!$AQ$3</f>
        <v>1.3290200000000001</v>
      </c>
      <c r="J61" s="73">
        <f>undergrid!G61</f>
        <v>0.13</v>
      </c>
      <c r="K61" s="75">
        <f t="shared" si="0"/>
        <v>0</v>
      </c>
      <c r="L61" s="73">
        <f>undergrid!I61</f>
        <v>0.15</v>
      </c>
      <c r="M61" s="75">
        <f t="shared" si="1"/>
        <v>0</v>
      </c>
      <c r="N61" s="81">
        <f>undergrid!K61</f>
        <v>1</v>
      </c>
      <c r="O61" s="82"/>
      <c r="P61" s="81">
        <f>undergrid!M61</f>
        <v>10.63</v>
      </c>
      <c r="Q61" s="82"/>
      <c r="R61" s="73">
        <f>undergrid!O61</f>
        <v>0</v>
      </c>
      <c r="S61" s="74">
        <f>R61*undergrid!$AQ$5</f>
        <v>0</v>
      </c>
      <c r="T61" s="75">
        <f>R61*(1-Graphs!$AD$1)</f>
        <v>0</v>
      </c>
      <c r="U61" s="73">
        <f>undergrid!Q61</f>
        <v>10.63</v>
      </c>
      <c r="V61" s="75">
        <f>IF(U61&lt;0.001,0,P61*undergrid!$AQ$4)</f>
        <v>2.126E-5</v>
      </c>
      <c r="W61" s="73">
        <f>undergrid!S61</f>
        <v>0</v>
      </c>
      <c r="X61" s="106">
        <f>IF(undergrid!AI61&gt;0,(undergrid!$AQ$7*W61+undergrid!$AQ$8*undergrid!$AQ$9)*undergrid!$AQ$6,0)+undergrid!AG61*undergrid!$AQ$10</f>
        <v>0</v>
      </c>
      <c r="Y61" s="73">
        <f>undergrid!U61</f>
        <v>8.5144444444444449</v>
      </c>
      <c r="Z61" s="74">
        <f>Y61*undergrid!$AQ$5</f>
        <v>3.405777777777778E-5</v>
      </c>
      <c r="AA61" s="75">
        <f>Y61*(1-Graphs!$AD$2)</f>
        <v>0.85144444444444434</v>
      </c>
      <c r="AB61" s="73">
        <f>undergrid!W61</f>
        <v>0</v>
      </c>
      <c r="AC61" s="75">
        <f t="shared" si="5"/>
        <v>0</v>
      </c>
      <c r="AD61" s="73">
        <f>undergrid!Y61</f>
        <v>0</v>
      </c>
      <c r="AE61" s="75">
        <f t="shared" si="6"/>
        <v>0</v>
      </c>
      <c r="AF61" s="109">
        <f>undergrid!AA61</f>
        <v>0</v>
      </c>
      <c r="AG61" s="110">
        <f>undergrid!AE61</f>
        <v>0</v>
      </c>
      <c r="AH61" s="93">
        <f t="shared" si="7"/>
        <v>0</v>
      </c>
      <c r="AI61" s="93">
        <f t="shared" si="8"/>
        <v>0</v>
      </c>
      <c r="AJ61" s="93">
        <f t="shared" si="9"/>
        <v>0</v>
      </c>
      <c r="AK61" s="93">
        <f>IF(AH61&gt;0.00001,undergrid!$AM$4,IF(Costs!AI61&gt;0.0001,((undergrid!$AQ$7*W61+undergrid!$AQ$8*undergrid!$AQ$9)*undergrid!$AQ$6)/W61,IF(Costs!AJ61&gt;0.0001,Costs!L61,0)))</f>
        <v>0</v>
      </c>
      <c r="AL61" s="1">
        <v>60</v>
      </c>
      <c r="AM61" s="121">
        <f t="shared" si="15"/>
        <v>5.7290200000000002</v>
      </c>
      <c r="AN61" s="122">
        <f t="shared" si="10"/>
        <v>-5.5317777777777783E-5</v>
      </c>
      <c r="AO61" s="123">
        <f t="shared" si="11"/>
        <v>5.7289646822222222</v>
      </c>
      <c r="AR61" s="114">
        <f t="shared" si="12"/>
        <v>18.292999999999999</v>
      </c>
      <c r="AS61" s="32">
        <f t="shared" si="13"/>
        <v>19.144444444444446</v>
      </c>
      <c r="AT61" s="33">
        <f t="shared" si="16"/>
        <v>0.85144444444444645</v>
      </c>
    </row>
    <row r="62" spans="1:46" x14ac:dyDescent="0.3">
      <c r="A62" s="4" t="str">
        <f>undergrid!B62</f>
        <v>h061</v>
      </c>
      <c r="B62" s="73">
        <f>undergrid!C62*2</f>
        <v>6.1</v>
      </c>
      <c r="C62" s="74">
        <f>undergrid!$AQ$2*Costs!B62</f>
        <v>3.05</v>
      </c>
      <c r="D62" s="74">
        <f t="shared" si="3"/>
        <v>6.1</v>
      </c>
      <c r="E62" s="75">
        <f>D62*undergrid!$AQ$2</f>
        <v>3.05</v>
      </c>
      <c r="F62" s="73">
        <f>undergrid!E62</f>
        <v>1.1679999999999999</v>
      </c>
      <c r="G62" s="74">
        <f>F62*undergrid!$AQ$3</f>
        <v>0.16352</v>
      </c>
      <c r="H62" s="74">
        <f t="shared" si="4"/>
        <v>1.1679999999999999</v>
      </c>
      <c r="I62" s="75">
        <f>H62*undergrid!$AQ$3</f>
        <v>0.16352</v>
      </c>
      <c r="J62" s="73">
        <f>undergrid!G62</f>
        <v>0.13</v>
      </c>
      <c r="K62" s="75">
        <f t="shared" si="0"/>
        <v>0</v>
      </c>
      <c r="L62" s="73">
        <f>undergrid!I62</f>
        <v>0.15</v>
      </c>
      <c r="M62" s="75">
        <f t="shared" si="1"/>
        <v>0</v>
      </c>
      <c r="N62" s="81">
        <f>undergrid!K62</f>
        <v>1</v>
      </c>
      <c r="O62" s="82"/>
      <c r="P62" s="81">
        <f>undergrid!M62</f>
        <v>10.66</v>
      </c>
      <c r="Q62" s="82"/>
      <c r="R62" s="73">
        <f>undergrid!O62</f>
        <v>3.0290560000000006</v>
      </c>
      <c r="S62" s="74">
        <f>R62*undergrid!$AQ$5</f>
        <v>1.2116224000000002E-5</v>
      </c>
      <c r="T62" s="75">
        <f>R62*(1-Graphs!$AD$1)</f>
        <v>0.15145280000000017</v>
      </c>
      <c r="U62" s="73">
        <f>undergrid!Q62</f>
        <v>10.66</v>
      </c>
      <c r="V62" s="75">
        <f>IF(U62&lt;0.001,0,P62*undergrid!$AQ$4)</f>
        <v>2.1319999999999999E-5</v>
      </c>
      <c r="W62" s="73">
        <f>undergrid!S62</f>
        <v>0</v>
      </c>
      <c r="X62" s="106">
        <f>IF(undergrid!AI62&gt;0,(undergrid!$AQ$7*W62+undergrid!$AQ$8*undergrid!$AQ$9)*undergrid!$AQ$6,0)+undergrid!AG62*undergrid!$AQ$10</f>
        <v>0</v>
      </c>
      <c r="Y62" s="73">
        <f>undergrid!U62</f>
        <v>0</v>
      </c>
      <c r="Z62" s="74">
        <f>Y62*undergrid!$AQ$5</f>
        <v>0</v>
      </c>
      <c r="AA62" s="75">
        <f>Y62*(1-Graphs!$AD$2)</f>
        <v>0</v>
      </c>
      <c r="AB62" s="73">
        <f>undergrid!W62</f>
        <v>0</v>
      </c>
      <c r="AC62" s="75">
        <f t="shared" si="5"/>
        <v>0</v>
      </c>
      <c r="AD62" s="73">
        <f>undergrid!Y62</f>
        <v>0</v>
      </c>
      <c r="AE62" s="75">
        <f t="shared" si="6"/>
        <v>0</v>
      </c>
      <c r="AF62" s="109">
        <f>undergrid!AA62</f>
        <v>0</v>
      </c>
      <c r="AG62" s="110">
        <f>undergrid!AE62</f>
        <v>0</v>
      </c>
      <c r="AH62" s="93">
        <f t="shared" si="7"/>
        <v>3.3920000000000003</v>
      </c>
      <c r="AI62" s="93">
        <f t="shared" si="8"/>
        <v>0</v>
      </c>
      <c r="AJ62" s="93">
        <f t="shared" si="9"/>
        <v>0</v>
      </c>
      <c r="AK62" s="93">
        <f>IF(AH62&gt;0.00001,undergrid!$AM$4,IF(Costs!AI62&gt;0.0001,((undergrid!$AQ$7*W62+undergrid!$AQ$8*undergrid!$AQ$9)*undergrid!$AQ$6)/W62,IF(Costs!AJ62&gt;0.0001,Costs!L62,0)))</f>
        <v>6.3317080478592676</v>
      </c>
      <c r="AL62" s="1">
        <v>61</v>
      </c>
      <c r="AM62" s="121">
        <f t="shared" si="15"/>
        <v>3.2135199999999999</v>
      </c>
      <c r="AN62" s="122">
        <f t="shared" si="10"/>
        <v>-3.3436224000000003E-5</v>
      </c>
      <c r="AO62" s="123">
        <f t="shared" si="11"/>
        <v>3.2134865637759997</v>
      </c>
      <c r="AR62" s="114">
        <f t="shared" si="12"/>
        <v>10.297056000000001</v>
      </c>
      <c r="AS62" s="32">
        <f t="shared" si="13"/>
        <v>10.66</v>
      </c>
      <c r="AT62" s="33">
        <f t="shared" si="16"/>
        <v>0.36294399999999882</v>
      </c>
    </row>
    <row r="63" spans="1:46" x14ac:dyDescent="0.3">
      <c r="A63" s="4" t="str">
        <f>undergrid!B63</f>
        <v>h062</v>
      </c>
      <c r="B63" s="73">
        <f>undergrid!C63*2</f>
        <v>10.82</v>
      </c>
      <c r="C63" s="74">
        <f>undergrid!$AQ$2*Costs!B63</f>
        <v>5.41</v>
      </c>
      <c r="D63" s="74">
        <f t="shared" si="3"/>
        <v>10.82</v>
      </c>
      <c r="E63" s="75">
        <f>D63*undergrid!$AQ$2</f>
        <v>5.41</v>
      </c>
      <c r="F63" s="73">
        <f>undergrid!E63</f>
        <v>1.258</v>
      </c>
      <c r="G63" s="74">
        <f>F63*undergrid!$AQ$3</f>
        <v>0.17612000000000003</v>
      </c>
      <c r="H63" s="74">
        <f t="shared" si="4"/>
        <v>1.258</v>
      </c>
      <c r="I63" s="75">
        <f>H63*undergrid!$AQ$3</f>
        <v>0.17612000000000003</v>
      </c>
      <c r="J63" s="73">
        <f>undergrid!G63</f>
        <v>0.13</v>
      </c>
      <c r="K63" s="75">
        <f t="shared" si="0"/>
        <v>0</v>
      </c>
      <c r="L63" s="73">
        <f>undergrid!I63</f>
        <v>0.15</v>
      </c>
      <c r="M63" s="75">
        <f t="shared" si="1"/>
        <v>0</v>
      </c>
      <c r="N63" s="81">
        <f>undergrid!K63</f>
        <v>1</v>
      </c>
      <c r="O63" s="82"/>
      <c r="P63" s="81">
        <f>undergrid!M63</f>
        <v>11.91</v>
      </c>
      <c r="Q63" s="82"/>
      <c r="R63" s="73">
        <f>undergrid!O63</f>
        <v>0</v>
      </c>
      <c r="S63" s="74">
        <f>R63*undergrid!$AQ$5</f>
        <v>0</v>
      </c>
      <c r="T63" s="75">
        <f>R63*(1-Graphs!$AD$1)</f>
        <v>0</v>
      </c>
      <c r="U63" s="73">
        <f>undergrid!Q63</f>
        <v>11.91</v>
      </c>
      <c r="V63" s="75">
        <f>IF(U63&lt;0.001,0,P63*undergrid!$AQ$4)</f>
        <v>2.3819999999999999E-5</v>
      </c>
      <c r="W63" s="73">
        <f>undergrid!S63</f>
        <v>0</v>
      </c>
      <c r="X63" s="106">
        <f>IF(undergrid!AI63&gt;0,(undergrid!$AQ$7*W63+undergrid!$AQ$8*undergrid!$AQ$9)*undergrid!$AQ$6,0)+undergrid!AG63*undergrid!$AQ$10</f>
        <v>0</v>
      </c>
      <c r="Y63" s="73">
        <f>undergrid!U63</f>
        <v>0.18666666666666565</v>
      </c>
      <c r="Z63" s="74">
        <f>Y63*undergrid!$AQ$5</f>
        <v>7.4666666666666255E-7</v>
      </c>
      <c r="AA63" s="75">
        <f>Y63*(1-Graphs!$AD$2)</f>
        <v>1.8666666666666561E-2</v>
      </c>
      <c r="AB63" s="73">
        <f>undergrid!W63</f>
        <v>0</v>
      </c>
      <c r="AC63" s="75">
        <f t="shared" si="5"/>
        <v>0</v>
      </c>
      <c r="AD63" s="73">
        <f>undergrid!Y63</f>
        <v>0</v>
      </c>
      <c r="AE63" s="75">
        <f t="shared" si="6"/>
        <v>0</v>
      </c>
      <c r="AF63" s="109">
        <f>undergrid!AA63</f>
        <v>0</v>
      </c>
      <c r="AG63" s="110">
        <f>undergrid!AE63</f>
        <v>0</v>
      </c>
      <c r="AH63" s="93">
        <f t="shared" si="7"/>
        <v>0</v>
      </c>
      <c r="AI63" s="93">
        <f t="shared" si="8"/>
        <v>0</v>
      </c>
      <c r="AJ63" s="93">
        <f t="shared" si="9"/>
        <v>0</v>
      </c>
      <c r="AK63" s="93">
        <f>IF(AH63&gt;0.00001,undergrid!$AM$4,IF(Costs!AI63&gt;0.0001,((undergrid!$AQ$7*W63+undergrid!$AQ$8*undergrid!$AQ$9)*undergrid!$AQ$6)/W63,IF(Costs!AJ63&gt;0.0001,Costs!L63,0)))</f>
        <v>0</v>
      </c>
      <c r="AL63" s="1">
        <v>62</v>
      </c>
      <c r="AM63" s="121">
        <f t="shared" si="15"/>
        <v>5.5861200000000002</v>
      </c>
      <c r="AN63" s="122">
        <f t="shared" si="10"/>
        <v>-2.4566666666666663E-5</v>
      </c>
      <c r="AO63" s="123">
        <f t="shared" si="11"/>
        <v>5.5860954333333339</v>
      </c>
      <c r="AR63" s="114">
        <f t="shared" si="12"/>
        <v>12.077999999999999</v>
      </c>
      <c r="AS63" s="32">
        <f t="shared" si="13"/>
        <v>12.096666666666666</v>
      </c>
      <c r="AT63" s="33">
        <f t="shared" si="16"/>
        <v>1.8666666666666387E-2</v>
      </c>
    </row>
    <row r="64" spans="1:46" x14ac:dyDescent="0.3">
      <c r="A64" s="4" t="str">
        <f>undergrid!B64</f>
        <v>h063</v>
      </c>
      <c r="B64" s="73">
        <f>undergrid!C64*2</f>
        <v>10.54</v>
      </c>
      <c r="C64" s="74">
        <f>undergrid!$AQ$2*Costs!B64</f>
        <v>5.27</v>
      </c>
      <c r="D64" s="74">
        <f t="shared" si="3"/>
        <v>10.54</v>
      </c>
      <c r="E64" s="75">
        <f>D64*undergrid!$AQ$2</f>
        <v>5.27</v>
      </c>
      <c r="F64" s="73">
        <f>undergrid!E64</f>
        <v>6.6159999999999997</v>
      </c>
      <c r="G64" s="74">
        <f>F64*undergrid!$AQ$3</f>
        <v>0.92624000000000006</v>
      </c>
      <c r="H64" s="74">
        <f t="shared" si="4"/>
        <v>6.6159999999999997</v>
      </c>
      <c r="I64" s="75">
        <f>H64*undergrid!$AQ$3</f>
        <v>0.92624000000000006</v>
      </c>
      <c r="J64" s="73">
        <f>undergrid!G64</f>
        <v>0.13</v>
      </c>
      <c r="K64" s="75">
        <f t="shared" si="0"/>
        <v>0</v>
      </c>
      <c r="L64" s="73">
        <f>undergrid!I64</f>
        <v>0.15</v>
      </c>
      <c r="M64" s="75">
        <f t="shared" si="1"/>
        <v>0.83789999999999976</v>
      </c>
      <c r="N64" s="81">
        <f>undergrid!K64</f>
        <v>2</v>
      </c>
      <c r="O64" s="82"/>
      <c r="P64" s="81">
        <f>undergrid!M64</f>
        <v>11.57</v>
      </c>
      <c r="Q64" s="82"/>
      <c r="R64" s="73">
        <f>undergrid!O64</f>
        <v>0</v>
      </c>
      <c r="S64" s="74">
        <f>R64*undergrid!$AQ$5</f>
        <v>0</v>
      </c>
      <c r="T64" s="75">
        <f>R64*(1-Graphs!$AD$1)</f>
        <v>0</v>
      </c>
      <c r="U64" s="73">
        <f>undergrid!Q64</f>
        <v>11.57</v>
      </c>
      <c r="V64" s="75">
        <f>IF(U64&lt;0.001,0,P64*undergrid!$AQ$4)</f>
        <v>2.3139999999999999E-5</v>
      </c>
      <c r="W64" s="73">
        <f>undergrid!S64</f>
        <v>0</v>
      </c>
      <c r="X64" s="106">
        <f>IF(undergrid!AI64&gt;0,(undergrid!$AQ$7*W64+undergrid!$AQ$8*undergrid!$AQ$9)*undergrid!$AQ$6,0)+undergrid!AG64*undergrid!$AQ$10</f>
        <v>0</v>
      </c>
      <c r="Y64" s="73">
        <f>undergrid!U64</f>
        <v>0</v>
      </c>
      <c r="Z64" s="74">
        <f>Y64*undergrid!$AQ$5</f>
        <v>0</v>
      </c>
      <c r="AA64" s="75">
        <f>Y64*(1-Graphs!$AD$2)</f>
        <v>0</v>
      </c>
      <c r="AB64" s="73">
        <f>undergrid!W64</f>
        <v>5.5859999999999985</v>
      </c>
      <c r="AC64" s="75">
        <f t="shared" si="5"/>
        <v>0.83789999999999976</v>
      </c>
      <c r="AD64" s="73">
        <f>undergrid!Y64</f>
        <v>0</v>
      </c>
      <c r="AE64" s="75">
        <f t="shared" si="6"/>
        <v>0</v>
      </c>
      <c r="AF64" s="109">
        <f>undergrid!AA64</f>
        <v>0</v>
      </c>
      <c r="AG64" s="110">
        <f>undergrid!AE64</f>
        <v>0</v>
      </c>
      <c r="AH64" s="93">
        <f t="shared" si="7"/>
        <v>0</v>
      </c>
      <c r="AI64" s="93">
        <f t="shared" si="8"/>
        <v>0</v>
      </c>
      <c r="AJ64" s="93">
        <f t="shared" si="9"/>
        <v>0</v>
      </c>
      <c r="AK64" s="93">
        <f>IF(AH64&gt;0.00001,undergrid!$AM$4,IF(Costs!AI64&gt;0.0001,((undergrid!$AQ$7*W64+undergrid!$AQ$8*undergrid!$AQ$9)*undergrid!$AQ$6)/W64,IF(Costs!AJ64&gt;0.0001,Costs!L64,0)))</f>
        <v>0</v>
      </c>
      <c r="AL64" s="1">
        <v>63</v>
      </c>
      <c r="AM64" s="121">
        <f t="shared" si="15"/>
        <v>6.1962399999999995</v>
      </c>
      <c r="AN64" s="122">
        <f t="shared" si="10"/>
        <v>-0.83792313999999979</v>
      </c>
      <c r="AO64" s="123">
        <f t="shared" si="11"/>
        <v>5.3583168599999995</v>
      </c>
      <c r="AR64" s="114">
        <f t="shared" si="12"/>
        <v>17.155999999999999</v>
      </c>
      <c r="AS64" s="32">
        <f t="shared" si="13"/>
        <v>17.155999999999999</v>
      </c>
      <c r="AT64" s="33">
        <f t="shared" si="16"/>
        <v>0</v>
      </c>
    </row>
    <row r="65" spans="1:46" x14ac:dyDescent="0.3">
      <c r="A65" s="4" t="str">
        <f>undergrid!B65</f>
        <v>h064</v>
      </c>
      <c r="B65" s="73">
        <f>undergrid!C65*2</f>
        <v>7.48</v>
      </c>
      <c r="C65" s="74">
        <f>undergrid!$AQ$2*Costs!B65</f>
        <v>3.74</v>
      </c>
      <c r="D65" s="74">
        <f t="shared" si="3"/>
        <v>7.48</v>
      </c>
      <c r="E65" s="75">
        <f>D65*undergrid!$AQ$2</f>
        <v>3.74</v>
      </c>
      <c r="F65" s="73">
        <f>undergrid!E65</f>
        <v>8.0719999999999992</v>
      </c>
      <c r="G65" s="74">
        <f>F65*undergrid!$AQ$3</f>
        <v>1.13008</v>
      </c>
      <c r="H65" s="74">
        <f t="shared" si="4"/>
        <v>8.0719999999999992</v>
      </c>
      <c r="I65" s="75">
        <f>H65*undergrid!$AQ$3</f>
        <v>1.13008</v>
      </c>
      <c r="J65" s="73">
        <f>undergrid!G65</f>
        <v>0.13</v>
      </c>
      <c r="K65" s="75">
        <f t="shared" si="0"/>
        <v>0</v>
      </c>
      <c r="L65" s="73">
        <f>undergrid!I65</f>
        <v>0.15</v>
      </c>
      <c r="M65" s="75">
        <f t="shared" si="1"/>
        <v>1.5452999999999999</v>
      </c>
      <c r="N65" s="81">
        <f>undergrid!K65</f>
        <v>2</v>
      </c>
      <c r="O65" s="82"/>
      <c r="P65" s="81">
        <f>undergrid!M65</f>
        <v>5.25</v>
      </c>
      <c r="Q65" s="82"/>
      <c r="R65" s="73">
        <f>undergrid!O65</f>
        <v>0</v>
      </c>
      <c r="S65" s="74">
        <f>R65*undergrid!$AQ$5</f>
        <v>0</v>
      </c>
      <c r="T65" s="75">
        <f>R65*(1-Graphs!$AD$1)</f>
        <v>0</v>
      </c>
      <c r="U65" s="73">
        <f>undergrid!Q65</f>
        <v>5.25</v>
      </c>
      <c r="V65" s="75">
        <f>IF(U65&lt;0.001,0,P65*undergrid!$AQ$4)</f>
        <v>1.0499999999999999E-5</v>
      </c>
      <c r="W65" s="73">
        <f>undergrid!S65</f>
        <v>0</v>
      </c>
      <c r="X65" s="106">
        <f>IF(undergrid!AI65&gt;0,(undergrid!$AQ$7*W65+undergrid!$AQ$8*undergrid!$AQ$9)*undergrid!$AQ$6,0)+undergrid!AG65*undergrid!$AQ$10</f>
        <v>0</v>
      </c>
      <c r="Y65" s="73">
        <f>undergrid!U65</f>
        <v>0</v>
      </c>
      <c r="Z65" s="74">
        <f>Y65*undergrid!$AQ$5</f>
        <v>0</v>
      </c>
      <c r="AA65" s="75">
        <f>Y65*(1-Graphs!$AD$2)</f>
        <v>0</v>
      </c>
      <c r="AB65" s="73">
        <f>undergrid!W65</f>
        <v>10.302</v>
      </c>
      <c r="AC65" s="75">
        <f t="shared" si="5"/>
        <v>1.5452999999999999</v>
      </c>
      <c r="AD65" s="73">
        <f>undergrid!Y65</f>
        <v>0</v>
      </c>
      <c r="AE65" s="75">
        <f t="shared" si="6"/>
        <v>0</v>
      </c>
      <c r="AF65" s="109">
        <f>undergrid!AA65</f>
        <v>0</v>
      </c>
      <c r="AG65" s="110">
        <f>undergrid!AE65</f>
        <v>0</v>
      </c>
      <c r="AH65" s="93">
        <f t="shared" si="7"/>
        <v>0</v>
      </c>
      <c r="AI65" s="93">
        <f t="shared" si="8"/>
        <v>0</v>
      </c>
      <c r="AJ65" s="93">
        <f t="shared" si="9"/>
        <v>0</v>
      </c>
      <c r="AK65" s="93">
        <f>IF(AH65&gt;0.00001,undergrid!$AM$4,IF(Costs!AI65&gt;0.0001,((undergrid!$AQ$7*W65+undergrid!$AQ$8*undergrid!$AQ$9)*undergrid!$AQ$6)/W65,IF(Costs!AJ65&gt;0.0001,Costs!L65,0)))</f>
        <v>0</v>
      </c>
      <c r="AL65" s="1">
        <v>64</v>
      </c>
      <c r="AM65" s="121">
        <f t="shared" si="15"/>
        <v>4.8700799999999997</v>
      </c>
      <c r="AN65" s="122">
        <f t="shared" si="10"/>
        <v>-1.5453104999999998</v>
      </c>
      <c r="AO65" s="123">
        <f t="shared" si="11"/>
        <v>3.3247694999999999</v>
      </c>
      <c r="AR65" s="114">
        <f t="shared" si="12"/>
        <v>15.552</v>
      </c>
      <c r="AS65" s="32">
        <f t="shared" si="13"/>
        <v>15.552</v>
      </c>
      <c r="AT65" s="33">
        <f t="shared" si="16"/>
        <v>0</v>
      </c>
    </row>
    <row r="66" spans="1:46" x14ac:dyDescent="0.3">
      <c r="A66" s="4" t="str">
        <f>undergrid!B66</f>
        <v>h065</v>
      </c>
      <c r="B66" s="73">
        <f>undergrid!C66*2</f>
        <v>7.16</v>
      </c>
      <c r="C66" s="74">
        <f>undergrid!$AQ$2*Costs!B66</f>
        <v>3.58</v>
      </c>
      <c r="D66" s="74">
        <f t="shared" si="3"/>
        <v>7.16</v>
      </c>
      <c r="E66" s="75">
        <f>D66*undergrid!$AQ$2</f>
        <v>3.58</v>
      </c>
      <c r="F66" s="73">
        <f>undergrid!E66</f>
        <v>7.7229999999999999</v>
      </c>
      <c r="G66" s="74">
        <f>F66*undergrid!$AQ$3</f>
        <v>1.0812200000000001</v>
      </c>
      <c r="H66" s="74">
        <f t="shared" si="4"/>
        <v>7.7229999999999999</v>
      </c>
      <c r="I66" s="75">
        <f>H66*undergrid!$AQ$3</f>
        <v>1.0812200000000001</v>
      </c>
      <c r="J66" s="73">
        <f>undergrid!G66</f>
        <v>0.13</v>
      </c>
      <c r="K66" s="75">
        <f t="shared" si="0"/>
        <v>0</v>
      </c>
      <c r="L66" s="73">
        <f>undergrid!I66</f>
        <v>0.15</v>
      </c>
      <c r="M66" s="75">
        <f t="shared" si="1"/>
        <v>1.4599499999999999</v>
      </c>
      <c r="N66" s="81">
        <f>undergrid!K66</f>
        <v>2</v>
      </c>
      <c r="O66" s="82"/>
      <c r="P66" s="81">
        <f>undergrid!M66</f>
        <v>5.15</v>
      </c>
      <c r="Q66" s="82"/>
      <c r="R66" s="73">
        <f>undergrid!O66</f>
        <v>0</v>
      </c>
      <c r="S66" s="74">
        <f>R66*undergrid!$AQ$5</f>
        <v>0</v>
      </c>
      <c r="T66" s="75">
        <f>R66*(1-Graphs!$AD$1)</f>
        <v>0</v>
      </c>
      <c r="U66" s="73">
        <f>undergrid!Q66</f>
        <v>5.15</v>
      </c>
      <c r="V66" s="75">
        <f>IF(U66&lt;0.001,0,P66*undergrid!$AQ$4)</f>
        <v>1.03E-5</v>
      </c>
      <c r="W66" s="73">
        <f>undergrid!S66</f>
        <v>0</v>
      </c>
      <c r="X66" s="106">
        <f>IF(undergrid!AI66&gt;0,(undergrid!$AQ$7*W66+undergrid!$AQ$8*undergrid!$AQ$9)*undergrid!$AQ$6,0)+undergrid!AG66*undergrid!$AQ$10</f>
        <v>0</v>
      </c>
      <c r="Y66" s="73">
        <f>undergrid!U66</f>
        <v>0</v>
      </c>
      <c r="Z66" s="74">
        <f>Y66*undergrid!$AQ$5</f>
        <v>0</v>
      </c>
      <c r="AA66" s="75">
        <f>Y66*(1-Graphs!$AD$2)</f>
        <v>0</v>
      </c>
      <c r="AB66" s="73">
        <f>undergrid!W66</f>
        <v>9.7329999999999988</v>
      </c>
      <c r="AC66" s="75">
        <f t="shared" si="5"/>
        <v>1.4599499999999999</v>
      </c>
      <c r="AD66" s="73">
        <f>undergrid!Y66</f>
        <v>0</v>
      </c>
      <c r="AE66" s="75">
        <f t="shared" si="6"/>
        <v>0</v>
      </c>
      <c r="AF66" s="109">
        <f>undergrid!AA66</f>
        <v>0</v>
      </c>
      <c r="AG66" s="110">
        <f>undergrid!AE66</f>
        <v>0</v>
      </c>
      <c r="AH66" s="93">
        <f t="shared" si="7"/>
        <v>0</v>
      </c>
      <c r="AI66" s="93">
        <f t="shared" si="8"/>
        <v>0</v>
      </c>
      <c r="AJ66" s="93">
        <f t="shared" si="9"/>
        <v>0</v>
      </c>
      <c r="AK66" s="93">
        <f>IF(AH66&gt;0.00001,undergrid!$AM$4,IF(Costs!AI66&gt;0.0001,((undergrid!$AQ$7*W66+undergrid!$AQ$8*undergrid!$AQ$9)*undergrid!$AQ$6)/W66,IF(Costs!AJ66&gt;0.0001,Costs!L66,0)))</f>
        <v>0</v>
      </c>
      <c r="AL66" s="1">
        <v>65</v>
      </c>
      <c r="AM66" s="121">
        <f t="shared" ref="AM66:AM97" si="17">E66+I66+AE66</f>
        <v>4.6612200000000001</v>
      </c>
      <c r="AN66" s="122">
        <f t="shared" si="10"/>
        <v>-1.4599602999999999</v>
      </c>
      <c r="AO66" s="123">
        <f t="shared" si="11"/>
        <v>3.2012597000000005</v>
      </c>
      <c r="AR66" s="114">
        <f t="shared" si="12"/>
        <v>14.882999999999999</v>
      </c>
      <c r="AS66" s="32">
        <f t="shared" si="13"/>
        <v>14.882999999999999</v>
      </c>
      <c r="AT66" s="33">
        <f t="shared" ref="AT66:AT97" si="18">AS66-AR66</f>
        <v>0</v>
      </c>
    </row>
    <row r="67" spans="1:46" x14ac:dyDescent="0.3">
      <c r="A67" s="4" t="str">
        <f>undergrid!B67</f>
        <v>h066</v>
      </c>
      <c r="B67" s="73">
        <f>undergrid!C67*2</f>
        <v>11.38</v>
      </c>
      <c r="C67" s="74">
        <f>undergrid!$AQ$2*Costs!B67</f>
        <v>5.69</v>
      </c>
      <c r="D67" s="74">
        <f t="shared" ref="D67:D130" si="19">B67-AF67</f>
        <v>11.38</v>
      </c>
      <c r="E67" s="75">
        <f>D67*undergrid!$AQ$2</f>
        <v>5.69</v>
      </c>
      <c r="F67" s="73">
        <f>undergrid!E67</f>
        <v>10.416</v>
      </c>
      <c r="G67" s="74">
        <f>F67*undergrid!$AQ$3</f>
        <v>1.4582400000000002</v>
      </c>
      <c r="H67" s="74">
        <f t="shared" ref="H67:H130" si="20">F67-AG67</f>
        <v>10.416</v>
      </c>
      <c r="I67" s="75">
        <f>H67*undergrid!$AQ$3</f>
        <v>1.4582400000000002</v>
      </c>
      <c r="J67" s="73">
        <f>undergrid!G67</f>
        <v>0.13</v>
      </c>
      <c r="K67" s="75">
        <f t="shared" ref="K67:K130" si="21">AD67*J67</f>
        <v>0</v>
      </c>
      <c r="L67" s="73">
        <f>undergrid!I67</f>
        <v>0.15</v>
      </c>
      <c r="M67" s="75">
        <f t="shared" ref="M67:M130" si="22">L67*AB67</f>
        <v>2.4624000000000001</v>
      </c>
      <c r="N67" s="81">
        <f>undergrid!K67</f>
        <v>2</v>
      </c>
      <c r="O67" s="82"/>
      <c r="P67" s="81">
        <f>undergrid!M67</f>
        <v>5.38</v>
      </c>
      <c r="Q67" s="82"/>
      <c r="R67" s="73">
        <f>undergrid!O67</f>
        <v>0</v>
      </c>
      <c r="S67" s="74">
        <f>R67*undergrid!$AQ$5</f>
        <v>0</v>
      </c>
      <c r="T67" s="75">
        <f>R67*(1-Graphs!$AD$1)</f>
        <v>0</v>
      </c>
      <c r="U67" s="73">
        <f>undergrid!Q67</f>
        <v>5.38</v>
      </c>
      <c r="V67" s="75">
        <f>IF(U67&lt;0.001,0,P67*undergrid!$AQ$4)</f>
        <v>1.0759999999999999E-5</v>
      </c>
      <c r="W67" s="73">
        <f>undergrid!S67</f>
        <v>0</v>
      </c>
      <c r="X67" s="106">
        <f>IF(undergrid!AI67&gt;0,(undergrid!$AQ$7*W67+undergrid!$AQ$8*undergrid!$AQ$9)*undergrid!$AQ$6,0)+undergrid!AG67*undergrid!$AQ$10</f>
        <v>0</v>
      </c>
      <c r="Y67" s="73">
        <f>undergrid!U67</f>
        <v>0</v>
      </c>
      <c r="Z67" s="74">
        <f>Y67*undergrid!$AQ$5</f>
        <v>0</v>
      </c>
      <c r="AA67" s="75">
        <f>Y67*(1-Graphs!$AD$2)</f>
        <v>0</v>
      </c>
      <c r="AB67" s="73">
        <f>undergrid!W67</f>
        <v>16.416</v>
      </c>
      <c r="AC67" s="75">
        <f t="shared" ref="AC67:AC130" si="23">L67*AB67</f>
        <v>2.4624000000000001</v>
      </c>
      <c r="AD67" s="73">
        <f>undergrid!Y67</f>
        <v>0</v>
      </c>
      <c r="AE67" s="75">
        <f t="shared" ref="AE67:AE130" si="24">AD67*J67</f>
        <v>0</v>
      </c>
      <c r="AF67" s="109">
        <f>undergrid!AA67</f>
        <v>0</v>
      </c>
      <c r="AG67" s="110">
        <f>undergrid!AE67</f>
        <v>0</v>
      </c>
      <c r="AH67" s="93">
        <f t="shared" ref="AH67:AH130" si="25">IF(AND(R67&gt;0.001,U67&gt;AD67+D67+H67),U67-AD67-D67-H67,0)</f>
        <v>0</v>
      </c>
      <c r="AI67" s="93">
        <f t="shared" ref="AI67:AI130" si="26">IF(AND(R67&gt;0.001,U67&lt;AD67+D67+H67,W67&gt;AD67+D67+H67-U67),W67-AD67-D67-H67+U67,0)</f>
        <v>0</v>
      </c>
      <c r="AJ67" s="93">
        <f t="shared" ref="AJ67:AJ130" si="27">IF(AND(R67&gt;0.001,U67&lt;AD67+D67+H67,AB67&gt;AD67+D67+H67-U67),AB67-AD67-D67-H67+U67,0)</f>
        <v>0</v>
      </c>
      <c r="AK67" s="93">
        <f>IF(AH67&gt;0.00001,undergrid!$AM$4,IF(Costs!AI67&gt;0.0001,((undergrid!$AQ$7*W67+undergrid!$AQ$8*undergrid!$AQ$9)*undergrid!$AQ$6)/W67,IF(Costs!AJ67&gt;0.0001,Costs!L67,0)))</f>
        <v>0</v>
      </c>
      <c r="AL67" s="1">
        <v>66</v>
      </c>
      <c r="AM67" s="121">
        <f t="shared" si="17"/>
        <v>7.1482400000000004</v>
      </c>
      <c r="AN67" s="122">
        <f t="shared" ref="AN67:AN130" si="28">-(AC67+Z67+X67+S67+V67)</f>
        <v>-2.46241076</v>
      </c>
      <c r="AO67" s="123">
        <f t="shared" ref="AO67:AO130" si="29">AM67+AN67</f>
        <v>4.6858292400000003</v>
      </c>
      <c r="AR67" s="114">
        <f t="shared" ref="AR67:AR130" si="30">D67+H67+R67+AD67</f>
        <v>21.795999999999999</v>
      </c>
      <c r="AS67" s="32">
        <f t="shared" ref="AS67:AS130" si="31">U67+W67+Y67+AB67</f>
        <v>21.795999999999999</v>
      </c>
      <c r="AT67" s="33">
        <f t="shared" si="18"/>
        <v>0</v>
      </c>
    </row>
    <row r="68" spans="1:46" x14ac:dyDescent="0.3">
      <c r="A68" s="4" t="str">
        <f>undergrid!B68</f>
        <v>h067</v>
      </c>
      <c r="B68" s="73">
        <f>undergrid!C68*2</f>
        <v>11.48</v>
      </c>
      <c r="C68" s="74">
        <f>undergrid!$AQ$2*Costs!B68</f>
        <v>5.74</v>
      </c>
      <c r="D68" s="74">
        <f t="shared" si="19"/>
        <v>11.48</v>
      </c>
      <c r="E68" s="75">
        <f>D68*undergrid!$AQ$2</f>
        <v>5.74</v>
      </c>
      <c r="F68" s="73">
        <f>undergrid!E68</f>
        <v>4.6890000000000001</v>
      </c>
      <c r="G68" s="74">
        <f>F68*undergrid!$AQ$3</f>
        <v>0.65646000000000004</v>
      </c>
      <c r="H68" s="74">
        <f t="shared" si="20"/>
        <v>4.6890000000000001</v>
      </c>
      <c r="I68" s="75">
        <f>H68*undergrid!$AQ$3</f>
        <v>0.65646000000000004</v>
      </c>
      <c r="J68" s="73">
        <f>undergrid!G68</f>
        <v>0.13</v>
      </c>
      <c r="K68" s="75">
        <f t="shared" si="21"/>
        <v>0</v>
      </c>
      <c r="L68" s="73">
        <f>undergrid!I68</f>
        <v>0.15</v>
      </c>
      <c r="M68" s="75">
        <f t="shared" si="22"/>
        <v>0</v>
      </c>
      <c r="N68" s="81">
        <f>undergrid!K68</f>
        <v>1</v>
      </c>
      <c r="O68" s="82"/>
      <c r="P68" s="81">
        <f>undergrid!M68</f>
        <v>6.3999999999999996E-10</v>
      </c>
      <c r="Q68" s="82"/>
      <c r="R68" s="73">
        <f>undergrid!O68</f>
        <v>0</v>
      </c>
      <c r="S68" s="74">
        <f>R68*undergrid!$AQ$5</f>
        <v>0</v>
      </c>
      <c r="T68" s="75">
        <f>R68*(1-Graphs!$AD$1)</f>
        <v>0</v>
      </c>
      <c r="U68" s="73">
        <f>undergrid!Q68</f>
        <v>0</v>
      </c>
      <c r="V68" s="75">
        <f>IF(U68&lt;0.001,0,P68*undergrid!$AQ$4)</f>
        <v>0</v>
      </c>
      <c r="W68" s="73">
        <f>undergrid!S68</f>
        <v>0</v>
      </c>
      <c r="X68" s="106">
        <f>IF(undergrid!AI68&gt;0,(undergrid!$AQ$7*W68+undergrid!$AQ$8*undergrid!$AQ$9)*undergrid!$AQ$6,0)+undergrid!AG68*undergrid!$AQ$10</f>
        <v>0</v>
      </c>
      <c r="Y68" s="73">
        <f>undergrid!U68</f>
        <v>17.965555554844446</v>
      </c>
      <c r="Z68" s="74">
        <f>Y68*undergrid!$AQ$5</f>
        <v>7.1862222219377784E-5</v>
      </c>
      <c r="AA68" s="75">
        <f>Y68*(1-Graphs!$AD$2)</f>
        <v>1.7965555554844441</v>
      </c>
      <c r="AB68" s="73">
        <f>undergrid!W68</f>
        <v>0</v>
      </c>
      <c r="AC68" s="75">
        <f t="shared" si="23"/>
        <v>0</v>
      </c>
      <c r="AD68" s="73">
        <f>undergrid!Y68</f>
        <v>0</v>
      </c>
      <c r="AE68" s="75">
        <f t="shared" si="24"/>
        <v>0</v>
      </c>
      <c r="AF68" s="109">
        <f>undergrid!AA68</f>
        <v>0</v>
      </c>
      <c r="AG68" s="110">
        <f>undergrid!AE68</f>
        <v>0</v>
      </c>
      <c r="AH68" s="93">
        <f t="shared" si="25"/>
        <v>0</v>
      </c>
      <c r="AI68" s="93">
        <f t="shared" si="26"/>
        <v>0</v>
      </c>
      <c r="AJ68" s="93">
        <f t="shared" si="27"/>
        <v>0</v>
      </c>
      <c r="AK68" s="93">
        <f>IF(AH68&gt;0.00001,undergrid!$AM$4,IF(Costs!AI68&gt;0.0001,((undergrid!$AQ$7*W68+undergrid!$AQ$8*undergrid!$AQ$9)*undergrid!$AQ$6)/W68,IF(Costs!AJ68&gt;0.0001,Costs!L68,0)))</f>
        <v>0</v>
      </c>
      <c r="AL68" s="1">
        <v>67</v>
      </c>
      <c r="AM68" s="121">
        <f t="shared" si="17"/>
        <v>6.3964600000000003</v>
      </c>
      <c r="AN68" s="122">
        <f t="shared" si="28"/>
        <v>-7.1862222219377784E-5</v>
      </c>
      <c r="AO68" s="123">
        <f t="shared" si="29"/>
        <v>6.3963881377777811</v>
      </c>
      <c r="AR68" s="114">
        <f t="shared" si="30"/>
        <v>16.169</v>
      </c>
      <c r="AS68" s="32">
        <f t="shared" si="31"/>
        <v>17.965555554844446</v>
      </c>
      <c r="AT68" s="33">
        <f t="shared" si="18"/>
        <v>1.7965555548444456</v>
      </c>
    </row>
    <row r="69" spans="1:46" x14ac:dyDescent="0.3">
      <c r="A69" s="4" t="str">
        <f>undergrid!B69</f>
        <v>h068</v>
      </c>
      <c r="B69" s="73">
        <f>undergrid!C69*2</f>
        <v>3.64</v>
      </c>
      <c r="C69" s="74">
        <f>undergrid!$AQ$2*Costs!B69</f>
        <v>1.82</v>
      </c>
      <c r="D69" s="74">
        <f t="shared" si="19"/>
        <v>3.64</v>
      </c>
      <c r="E69" s="75">
        <f>D69*undergrid!$AQ$2</f>
        <v>1.82</v>
      </c>
      <c r="F69" s="73">
        <f>undergrid!E69</f>
        <v>2.4060000000000001</v>
      </c>
      <c r="G69" s="74">
        <f>F69*undergrid!$AQ$3</f>
        <v>0.33684000000000003</v>
      </c>
      <c r="H69" s="74">
        <f t="shared" si="20"/>
        <v>2.4060000000000001</v>
      </c>
      <c r="I69" s="75">
        <f>H69*undergrid!$AQ$3</f>
        <v>0.33684000000000003</v>
      </c>
      <c r="J69" s="73">
        <f>undergrid!G69</f>
        <v>0.13</v>
      </c>
      <c r="K69" s="75">
        <f t="shared" si="21"/>
        <v>0</v>
      </c>
      <c r="L69" s="73">
        <f>undergrid!I69</f>
        <v>0.15</v>
      </c>
      <c r="M69" s="75">
        <f t="shared" si="22"/>
        <v>0</v>
      </c>
      <c r="N69" s="81">
        <f>undergrid!K69</f>
        <v>1</v>
      </c>
      <c r="O69" s="82"/>
      <c r="P69" s="81">
        <f>undergrid!M69</f>
        <v>6.3999999999999996E-10</v>
      </c>
      <c r="Q69" s="82"/>
      <c r="R69" s="73">
        <f>undergrid!O69</f>
        <v>0</v>
      </c>
      <c r="S69" s="74">
        <f>R69*undergrid!$AQ$5</f>
        <v>0</v>
      </c>
      <c r="T69" s="75">
        <f>R69*(1-Graphs!$AD$1)</f>
        <v>0</v>
      </c>
      <c r="U69" s="73">
        <f>undergrid!Q69</f>
        <v>0</v>
      </c>
      <c r="V69" s="75">
        <f>IF(U69&lt;0.001,0,P69*undergrid!$AQ$4)</f>
        <v>0</v>
      </c>
      <c r="W69" s="73">
        <f>undergrid!S69</f>
        <v>0</v>
      </c>
      <c r="X69" s="106">
        <f>IF(undergrid!AI69&gt;0,(undergrid!$AQ$7*W69+undergrid!$AQ$8*undergrid!$AQ$9)*undergrid!$AQ$6,0)+undergrid!AG69*undergrid!$AQ$10</f>
        <v>0</v>
      </c>
      <c r="Y69" s="73">
        <f>undergrid!U69</f>
        <v>6.7177777770666669</v>
      </c>
      <c r="Z69" s="74">
        <f>Y69*undergrid!$AQ$5</f>
        <v>2.6871111108266665E-5</v>
      </c>
      <c r="AA69" s="75">
        <f>Y69*(1-Graphs!$AD$2)</f>
        <v>0.67177777770666658</v>
      </c>
      <c r="AB69" s="73">
        <f>undergrid!W69</f>
        <v>0</v>
      </c>
      <c r="AC69" s="75">
        <f t="shared" si="23"/>
        <v>0</v>
      </c>
      <c r="AD69" s="73">
        <f>undergrid!Y69</f>
        <v>0</v>
      </c>
      <c r="AE69" s="75">
        <f t="shared" si="24"/>
        <v>0</v>
      </c>
      <c r="AF69" s="109">
        <f>undergrid!AA69</f>
        <v>0</v>
      </c>
      <c r="AG69" s="110">
        <f>undergrid!AE69</f>
        <v>0</v>
      </c>
      <c r="AH69" s="93">
        <f t="shared" si="25"/>
        <v>0</v>
      </c>
      <c r="AI69" s="93">
        <f t="shared" si="26"/>
        <v>0</v>
      </c>
      <c r="AJ69" s="93">
        <f t="shared" si="27"/>
        <v>0</v>
      </c>
      <c r="AK69" s="93">
        <f>IF(AH69&gt;0.00001,undergrid!$AM$4,IF(Costs!AI69&gt;0.0001,((undergrid!$AQ$7*W69+undergrid!$AQ$8*undergrid!$AQ$9)*undergrid!$AQ$6)/W69,IF(Costs!AJ69&gt;0.0001,Costs!L69,0)))</f>
        <v>0</v>
      </c>
      <c r="AL69" s="1">
        <v>68</v>
      </c>
      <c r="AM69" s="121">
        <f t="shared" si="17"/>
        <v>2.1568399999999999</v>
      </c>
      <c r="AN69" s="122">
        <f t="shared" si="28"/>
        <v>-2.6871111108266665E-5</v>
      </c>
      <c r="AO69" s="123">
        <f t="shared" si="29"/>
        <v>2.1568131288888917</v>
      </c>
      <c r="AR69" s="114">
        <f t="shared" si="30"/>
        <v>6.0460000000000003</v>
      </c>
      <c r="AS69" s="32">
        <f t="shared" si="31"/>
        <v>6.7177777770666669</v>
      </c>
      <c r="AT69" s="33">
        <f t="shared" si="18"/>
        <v>0.67177777706666664</v>
      </c>
    </row>
    <row r="70" spans="1:46" x14ac:dyDescent="0.3">
      <c r="A70" s="4" t="str">
        <f>undergrid!B70</f>
        <v>h069</v>
      </c>
      <c r="B70" s="73">
        <f>undergrid!C70*2</f>
        <v>19.260000000000002</v>
      </c>
      <c r="C70" s="74">
        <f>undergrid!$AQ$2*Costs!B70</f>
        <v>9.6300000000000008</v>
      </c>
      <c r="D70" s="74">
        <f t="shared" si="19"/>
        <v>19.260000000000002</v>
      </c>
      <c r="E70" s="75">
        <f>D70*undergrid!$AQ$2</f>
        <v>9.6300000000000008</v>
      </c>
      <c r="F70" s="73">
        <f>undergrid!E70</f>
        <v>3.504</v>
      </c>
      <c r="G70" s="74">
        <f>F70*undergrid!$AQ$3</f>
        <v>0.49056000000000005</v>
      </c>
      <c r="H70" s="74">
        <f t="shared" si="20"/>
        <v>3.504</v>
      </c>
      <c r="I70" s="75">
        <f>H70*undergrid!$AQ$3</f>
        <v>0.49056000000000005</v>
      </c>
      <c r="J70" s="73">
        <f>undergrid!G70</f>
        <v>0.13</v>
      </c>
      <c r="K70" s="75">
        <f t="shared" si="21"/>
        <v>0</v>
      </c>
      <c r="L70" s="73">
        <f>undergrid!I70</f>
        <v>0.15</v>
      </c>
      <c r="M70" s="75">
        <f t="shared" si="22"/>
        <v>0</v>
      </c>
      <c r="N70" s="81">
        <f>undergrid!K70</f>
        <v>1</v>
      </c>
      <c r="O70" s="82"/>
      <c r="P70" s="81">
        <f>undergrid!M70</f>
        <v>6.3999999999999996E-10</v>
      </c>
      <c r="Q70" s="82"/>
      <c r="R70" s="73">
        <f>undergrid!O70</f>
        <v>0</v>
      </c>
      <c r="S70" s="74">
        <f>R70*undergrid!$AQ$5</f>
        <v>0</v>
      </c>
      <c r="T70" s="75">
        <f>R70*(1-Graphs!$AD$1)</f>
        <v>0</v>
      </c>
      <c r="U70" s="73">
        <f>undergrid!Q70</f>
        <v>0</v>
      </c>
      <c r="V70" s="75">
        <f>IF(U70&lt;0.001,0,P70*undergrid!$AQ$4)</f>
        <v>0</v>
      </c>
      <c r="W70" s="73">
        <f>undergrid!S70</f>
        <v>0</v>
      </c>
      <c r="X70" s="106">
        <f>IF(undergrid!AI70&gt;0,(undergrid!$AQ$7*W70+undergrid!$AQ$8*undergrid!$AQ$9)*undergrid!$AQ$6,0)+undergrid!AG70*undergrid!$AQ$10</f>
        <v>0</v>
      </c>
      <c r="Y70" s="73">
        <f>undergrid!U70</f>
        <v>25.293333332622225</v>
      </c>
      <c r="Z70" s="74">
        <f>Y70*undergrid!$AQ$5</f>
        <v>1.0117333333048889E-4</v>
      </c>
      <c r="AA70" s="75">
        <f>Y70*(1-Graphs!$AD$2)</f>
        <v>2.5293333332622221</v>
      </c>
      <c r="AB70" s="73">
        <f>undergrid!W70</f>
        <v>0</v>
      </c>
      <c r="AC70" s="75">
        <f t="shared" si="23"/>
        <v>0</v>
      </c>
      <c r="AD70" s="73">
        <f>undergrid!Y70</f>
        <v>0</v>
      </c>
      <c r="AE70" s="75">
        <f t="shared" si="24"/>
        <v>0</v>
      </c>
      <c r="AF70" s="109">
        <f>undergrid!AA70</f>
        <v>0</v>
      </c>
      <c r="AG70" s="110">
        <f>undergrid!AE70</f>
        <v>0</v>
      </c>
      <c r="AH70" s="93">
        <f t="shared" si="25"/>
        <v>0</v>
      </c>
      <c r="AI70" s="93">
        <f t="shared" si="26"/>
        <v>0</v>
      </c>
      <c r="AJ70" s="93">
        <f t="shared" si="27"/>
        <v>0</v>
      </c>
      <c r="AK70" s="93">
        <f>IF(AH70&gt;0.00001,undergrid!$AM$4,IF(Costs!AI70&gt;0.0001,((undergrid!$AQ$7*W70+undergrid!$AQ$8*undergrid!$AQ$9)*undergrid!$AQ$6)/W70,IF(Costs!AJ70&gt;0.0001,Costs!L70,0)))</f>
        <v>0</v>
      </c>
      <c r="AL70" s="1">
        <v>69</v>
      </c>
      <c r="AM70" s="121">
        <f t="shared" si="17"/>
        <v>10.120560000000001</v>
      </c>
      <c r="AN70" s="122">
        <f t="shared" si="28"/>
        <v>-1.0117333333048889E-4</v>
      </c>
      <c r="AO70" s="123">
        <f t="shared" si="29"/>
        <v>10.12045882666667</v>
      </c>
      <c r="AR70" s="114">
        <f t="shared" si="30"/>
        <v>22.764000000000003</v>
      </c>
      <c r="AS70" s="32">
        <f t="shared" si="31"/>
        <v>25.293333332622225</v>
      </c>
      <c r="AT70" s="33">
        <f t="shared" si="18"/>
        <v>2.5293333326222225</v>
      </c>
    </row>
    <row r="71" spans="1:46" x14ac:dyDescent="0.3">
      <c r="A71" s="4" t="str">
        <f>undergrid!B71</f>
        <v>h070</v>
      </c>
      <c r="B71" s="73">
        <f>undergrid!C71*2</f>
        <v>20.58</v>
      </c>
      <c r="C71" s="74">
        <f>undergrid!$AQ$2*Costs!B71</f>
        <v>10.29</v>
      </c>
      <c r="D71" s="74">
        <f t="shared" si="19"/>
        <v>20.58</v>
      </c>
      <c r="E71" s="75">
        <f>D71*undergrid!$AQ$2</f>
        <v>10.29</v>
      </c>
      <c r="F71" s="73">
        <f>undergrid!E71</f>
        <v>2.391</v>
      </c>
      <c r="G71" s="74">
        <f>F71*undergrid!$AQ$3</f>
        <v>0.33474000000000004</v>
      </c>
      <c r="H71" s="74">
        <f t="shared" si="20"/>
        <v>2.391</v>
      </c>
      <c r="I71" s="75">
        <f>H71*undergrid!$AQ$3</f>
        <v>0.33474000000000004</v>
      </c>
      <c r="J71" s="73">
        <f>undergrid!G71</f>
        <v>0.13</v>
      </c>
      <c r="K71" s="75">
        <f t="shared" si="21"/>
        <v>0</v>
      </c>
      <c r="L71" s="73">
        <f>undergrid!I71</f>
        <v>0.15</v>
      </c>
      <c r="M71" s="75">
        <f t="shared" si="22"/>
        <v>3.4456499999039996</v>
      </c>
      <c r="N71" s="81">
        <f>undergrid!K71</f>
        <v>2</v>
      </c>
      <c r="O71" s="82"/>
      <c r="P71" s="81">
        <f>undergrid!M71</f>
        <v>6.3999999999999996E-10</v>
      </c>
      <c r="Q71" s="82"/>
      <c r="R71" s="73">
        <f>undergrid!O71</f>
        <v>0</v>
      </c>
      <c r="S71" s="74">
        <f>R71*undergrid!$AQ$5</f>
        <v>0</v>
      </c>
      <c r="T71" s="75">
        <f>R71*(1-Graphs!$AD$1)</f>
        <v>0</v>
      </c>
      <c r="U71" s="73">
        <f>undergrid!Q71</f>
        <v>0</v>
      </c>
      <c r="V71" s="75">
        <f>IF(U71&lt;0.001,0,P71*undergrid!$AQ$4)</f>
        <v>0</v>
      </c>
      <c r="W71" s="73">
        <f>undergrid!S71</f>
        <v>0</v>
      </c>
      <c r="X71" s="106">
        <f>IF(undergrid!AI71&gt;0,(undergrid!$AQ$7*W71+undergrid!$AQ$8*undergrid!$AQ$9)*undergrid!$AQ$6,0)+undergrid!AG71*undergrid!$AQ$10</f>
        <v>0</v>
      </c>
      <c r="Y71" s="73">
        <f>undergrid!U71</f>
        <v>0</v>
      </c>
      <c r="Z71" s="74">
        <f>Y71*undergrid!$AQ$5</f>
        <v>0</v>
      </c>
      <c r="AA71" s="75">
        <f>Y71*(1-Graphs!$AD$2)</f>
        <v>0</v>
      </c>
      <c r="AB71" s="73">
        <f>undergrid!W71</f>
        <v>22.970999999359996</v>
      </c>
      <c r="AC71" s="75">
        <f t="shared" si="23"/>
        <v>3.4456499999039996</v>
      </c>
      <c r="AD71" s="73">
        <f>undergrid!Y71</f>
        <v>0</v>
      </c>
      <c r="AE71" s="75">
        <f t="shared" si="24"/>
        <v>0</v>
      </c>
      <c r="AF71" s="109">
        <f>undergrid!AA71</f>
        <v>0</v>
      </c>
      <c r="AG71" s="110">
        <f>undergrid!AE71</f>
        <v>0</v>
      </c>
      <c r="AH71" s="93">
        <f t="shared" si="25"/>
        <v>0</v>
      </c>
      <c r="AI71" s="93">
        <f t="shared" si="26"/>
        <v>0</v>
      </c>
      <c r="AJ71" s="93">
        <f t="shared" si="27"/>
        <v>0</v>
      </c>
      <c r="AK71" s="93">
        <f>IF(AH71&gt;0.00001,undergrid!$AM$4,IF(Costs!AI71&gt;0.0001,((undergrid!$AQ$7*W71+undergrid!$AQ$8*undergrid!$AQ$9)*undergrid!$AQ$6)/W71,IF(Costs!AJ71&gt;0.0001,Costs!L71,0)))</f>
        <v>0</v>
      </c>
      <c r="AL71" s="1">
        <v>70</v>
      </c>
      <c r="AM71" s="121">
        <f t="shared" si="17"/>
        <v>10.624739999999999</v>
      </c>
      <c r="AN71" s="122">
        <f t="shared" si="28"/>
        <v>-3.4456499999039996</v>
      </c>
      <c r="AO71" s="123">
        <f t="shared" si="29"/>
        <v>7.1790900000960001</v>
      </c>
      <c r="AR71" s="114">
        <f t="shared" si="30"/>
        <v>22.970999999999997</v>
      </c>
      <c r="AS71" s="32">
        <f t="shared" si="31"/>
        <v>22.970999999359996</v>
      </c>
      <c r="AT71" s="33">
        <f t="shared" si="18"/>
        <v>-6.4000005295383744E-10</v>
      </c>
    </row>
    <row r="72" spans="1:46" x14ac:dyDescent="0.3">
      <c r="A72" s="4" t="str">
        <f>undergrid!B72</f>
        <v>h071</v>
      </c>
      <c r="B72" s="73">
        <f>undergrid!C72*2</f>
        <v>9.82</v>
      </c>
      <c r="C72" s="74">
        <f>undergrid!$AQ$2*Costs!B72</f>
        <v>4.91</v>
      </c>
      <c r="D72" s="74">
        <f t="shared" si="19"/>
        <v>9.82</v>
      </c>
      <c r="E72" s="75">
        <f>D72*undergrid!$AQ$2</f>
        <v>4.91</v>
      </c>
      <c r="F72" s="73">
        <f>undergrid!E72</f>
        <v>3.0419999999999998</v>
      </c>
      <c r="G72" s="74">
        <f>F72*undergrid!$AQ$3</f>
        <v>0.42588000000000004</v>
      </c>
      <c r="H72" s="74">
        <f t="shared" si="20"/>
        <v>3.0419999999999998</v>
      </c>
      <c r="I72" s="75">
        <f>H72*undergrid!$AQ$3</f>
        <v>0.42588000000000004</v>
      </c>
      <c r="J72" s="73">
        <f>undergrid!G72</f>
        <v>0.08</v>
      </c>
      <c r="K72" s="75">
        <f t="shared" si="21"/>
        <v>0</v>
      </c>
      <c r="L72" s="73">
        <f>undergrid!I72</f>
        <v>0.1</v>
      </c>
      <c r="M72" s="75">
        <f t="shared" si="22"/>
        <v>1.286388129835216</v>
      </c>
      <c r="N72" s="81">
        <f>undergrid!K72</f>
        <v>2</v>
      </c>
      <c r="O72" s="82"/>
      <c r="P72" s="81">
        <f>undergrid!M72</f>
        <v>6.3999999999999996E-10</v>
      </c>
      <c r="Q72" s="82"/>
      <c r="R72" s="73">
        <f>undergrid!O72</f>
        <v>1.6799999999967952E-3</v>
      </c>
      <c r="S72" s="74">
        <f>R72*undergrid!$AQ$5</f>
        <v>6.7199999999871803E-9</v>
      </c>
      <c r="T72" s="75">
        <f>R72*(1-Graphs!$AD$1)</f>
        <v>8.3999999999839832E-5</v>
      </c>
      <c r="U72" s="73">
        <f>undergrid!Q72</f>
        <v>0</v>
      </c>
      <c r="V72" s="75">
        <f>IF(U72&lt;0.001,0,P72*undergrid!$AQ$4)</f>
        <v>0</v>
      </c>
      <c r="W72" s="73">
        <f>undergrid!S72</f>
        <v>0</v>
      </c>
      <c r="X72" s="106">
        <f>IF(undergrid!AI72&gt;0,(undergrid!$AQ$7*W72+undergrid!$AQ$8*undergrid!$AQ$9)*undergrid!$AQ$6,0)+undergrid!AG72*undergrid!$AQ$10</f>
        <v>0</v>
      </c>
      <c r="Y72" s="73">
        <f>undergrid!U72</f>
        <v>0</v>
      </c>
      <c r="Z72" s="74">
        <f>Y72*undergrid!$AQ$5</f>
        <v>0</v>
      </c>
      <c r="AA72" s="75">
        <f>Y72*(1-Graphs!$AD$2)</f>
        <v>0</v>
      </c>
      <c r="AB72" s="73">
        <f>undergrid!W72</f>
        <v>12.863881298352158</v>
      </c>
      <c r="AC72" s="75">
        <f t="shared" si="23"/>
        <v>1.286388129835216</v>
      </c>
      <c r="AD72" s="73">
        <f>undergrid!Y72</f>
        <v>0</v>
      </c>
      <c r="AE72" s="75">
        <f t="shared" si="24"/>
        <v>0</v>
      </c>
      <c r="AF72" s="109">
        <f>undergrid!AA72</f>
        <v>0</v>
      </c>
      <c r="AG72" s="110">
        <f>undergrid!AE72</f>
        <v>0</v>
      </c>
      <c r="AH72" s="93">
        <f t="shared" si="25"/>
        <v>0</v>
      </c>
      <c r="AI72" s="93">
        <f t="shared" si="26"/>
        <v>0</v>
      </c>
      <c r="AJ72" s="93">
        <f t="shared" si="27"/>
        <v>1.8812983521581117E-3</v>
      </c>
      <c r="AK72" s="93">
        <f>IF(AH72&gt;0.00001,undergrid!$AM$4,IF(Costs!AI72&gt;0.0001,((undergrid!$AQ$7*W72+undergrid!$AQ$8*undergrid!$AQ$9)*undergrid!$AQ$6)/W72,IF(Costs!AJ72&gt;0.0001,Costs!L72,0)))</f>
        <v>0.1</v>
      </c>
      <c r="AL72" s="1">
        <v>71</v>
      </c>
      <c r="AM72" s="121">
        <f t="shared" si="17"/>
        <v>5.3358800000000004</v>
      </c>
      <c r="AN72" s="122">
        <f t="shared" si="28"/>
        <v>-1.2863881365552159</v>
      </c>
      <c r="AO72" s="123">
        <f t="shared" si="29"/>
        <v>4.0494918634447847</v>
      </c>
      <c r="AR72" s="114">
        <f t="shared" si="30"/>
        <v>12.863679999999997</v>
      </c>
      <c r="AS72" s="32">
        <f t="shared" si="31"/>
        <v>12.863881298352158</v>
      </c>
      <c r="AT72" s="33">
        <f t="shared" si="18"/>
        <v>2.0129835216131653E-4</v>
      </c>
    </row>
    <row r="73" spans="1:46" x14ac:dyDescent="0.3">
      <c r="A73" s="4" t="str">
        <f>undergrid!B73</f>
        <v>h072</v>
      </c>
      <c r="B73" s="73">
        <f>undergrid!C73*2</f>
        <v>6.66</v>
      </c>
      <c r="C73" s="74">
        <f>undergrid!$AQ$2*Costs!B73</f>
        <v>3.33</v>
      </c>
      <c r="D73" s="74">
        <f t="shared" si="19"/>
        <v>6.66</v>
      </c>
      <c r="E73" s="75">
        <f>D73*undergrid!$AQ$2</f>
        <v>3.33</v>
      </c>
      <c r="F73" s="73">
        <f>undergrid!E73</f>
        <v>2.61</v>
      </c>
      <c r="G73" s="74">
        <f>F73*undergrid!$AQ$3</f>
        <v>0.3654</v>
      </c>
      <c r="H73" s="74">
        <f t="shared" si="20"/>
        <v>2.61</v>
      </c>
      <c r="I73" s="75">
        <f>H73*undergrid!$AQ$3</f>
        <v>0.3654</v>
      </c>
      <c r="J73" s="73">
        <f>undergrid!G73</f>
        <v>0.08</v>
      </c>
      <c r="K73" s="75">
        <f t="shared" si="21"/>
        <v>0</v>
      </c>
      <c r="L73" s="73">
        <f>undergrid!I73</f>
        <v>0.1</v>
      </c>
      <c r="M73" s="75">
        <f t="shared" si="22"/>
        <v>0.92718812983521581</v>
      </c>
      <c r="N73" s="81">
        <f>undergrid!K73</f>
        <v>2</v>
      </c>
      <c r="O73" s="82"/>
      <c r="P73" s="81">
        <f>undergrid!M73</f>
        <v>6.3999999999999996E-10</v>
      </c>
      <c r="Q73" s="82"/>
      <c r="R73" s="73">
        <f>undergrid!O73</f>
        <v>1.6799999999967952E-3</v>
      </c>
      <c r="S73" s="74">
        <f>R73*undergrid!$AQ$5</f>
        <v>6.7199999999871803E-9</v>
      </c>
      <c r="T73" s="75">
        <f>R73*(1-Graphs!$AD$1)</f>
        <v>8.3999999999839832E-5</v>
      </c>
      <c r="U73" s="73">
        <f>undergrid!Q73</f>
        <v>0</v>
      </c>
      <c r="V73" s="75">
        <f>IF(U73&lt;0.001,0,P73*undergrid!$AQ$4)</f>
        <v>0</v>
      </c>
      <c r="W73" s="73">
        <f>undergrid!S73</f>
        <v>0</v>
      </c>
      <c r="X73" s="106">
        <f>IF(undergrid!AI73&gt;0,(undergrid!$AQ$7*W73+undergrid!$AQ$8*undergrid!$AQ$9)*undergrid!$AQ$6,0)+undergrid!AG73*undergrid!$AQ$10</f>
        <v>0</v>
      </c>
      <c r="Y73" s="73">
        <f>undergrid!U73</f>
        <v>0</v>
      </c>
      <c r="Z73" s="74">
        <f>Y73*undergrid!$AQ$5</f>
        <v>0</v>
      </c>
      <c r="AA73" s="75">
        <f>Y73*(1-Graphs!$AD$2)</f>
        <v>0</v>
      </c>
      <c r="AB73" s="73">
        <f>undergrid!W73</f>
        <v>9.2718812983521577</v>
      </c>
      <c r="AC73" s="75">
        <f t="shared" si="23"/>
        <v>0.92718812983521581</v>
      </c>
      <c r="AD73" s="73">
        <f>undergrid!Y73</f>
        <v>0</v>
      </c>
      <c r="AE73" s="75">
        <f t="shared" si="24"/>
        <v>0</v>
      </c>
      <c r="AF73" s="109">
        <f>undergrid!AA73</f>
        <v>0</v>
      </c>
      <c r="AG73" s="110">
        <f>undergrid!AE73</f>
        <v>0</v>
      </c>
      <c r="AH73" s="93">
        <f t="shared" si="25"/>
        <v>0</v>
      </c>
      <c r="AI73" s="93">
        <f t="shared" si="26"/>
        <v>0</v>
      </c>
      <c r="AJ73" s="93">
        <f t="shared" si="27"/>
        <v>1.8812983521576676E-3</v>
      </c>
      <c r="AK73" s="93">
        <f>IF(AH73&gt;0.00001,undergrid!$AM$4,IF(Costs!AI73&gt;0.0001,((undergrid!$AQ$7*W73+undergrid!$AQ$8*undergrid!$AQ$9)*undergrid!$AQ$6)/W73,IF(Costs!AJ73&gt;0.0001,Costs!L73,0)))</f>
        <v>0.1</v>
      </c>
      <c r="AL73" s="1">
        <v>72</v>
      </c>
      <c r="AM73" s="121">
        <f t="shared" si="17"/>
        <v>3.6954000000000002</v>
      </c>
      <c r="AN73" s="122">
        <f t="shared" si="28"/>
        <v>-0.92718813655521581</v>
      </c>
      <c r="AO73" s="123">
        <f t="shared" si="29"/>
        <v>2.7682118634447845</v>
      </c>
      <c r="AR73" s="114">
        <f t="shared" si="30"/>
        <v>9.2716799999999964</v>
      </c>
      <c r="AS73" s="32">
        <f t="shared" si="31"/>
        <v>9.2718812983521577</v>
      </c>
      <c r="AT73" s="33">
        <f t="shared" si="18"/>
        <v>2.0129835216131653E-4</v>
      </c>
    </row>
    <row r="74" spans="1:46" x14ac:dyDescent="0.3">
      <c r="A74" s="4" t="str">
        <f>undergrid!B74</f>
        <v>h073</v>
      </c>
      <c r="B74" s="73">
        <f>undergrid!C74*2</f>
        <v>3.78</v>
      </c>
      <c r="C74" s="74">
        <f>undergrid!$AQ$2*Costs!B74</f>
        <v>1.89</v>
      </c>
      <c r="D74" s="74">
        <f t="shared" si="19"/>
        <v>3.78</v>
      </c>
      <c r="E74" s="75">
        <f>D74*undergrid!$AQ$2</f>
        <v>1.89</v>
      </c>
      <c r="F74" s="73">
        <f>undergrid!E74</f>
        <v>1.99</v>
      </c>
      <c r="G74" s="74">
        <f>F74*undergrid!$AQ$3</f>
        <v>0.27860000000000001</v>
      </c>
      <c r="H74" s="74">
        <f t="shared" si="20"/>
        <v>1.99</v>
      </c>
      <c r="I74" s="75">
        <f>H74*undergrid!$AQ$3</f>
        <v>0.27860000000000001</v>
      </c>
      <c r="J74" s="73">
        <f>undergrid!G74</f>
        <v>0.08</v>
      </c>
      <c r="K74" s="75">
        <f t="shared" si="21"/>
        <v>0</v>
      </c>
      <c r="L74" s="73">
        <f>undergrid!I74</f>
        <v>0.1</v>
      </c>
      <c r="M74" s="75">
        <f t="shared" si="22"/>
        <v>0.57718812983521572</v>
      </c>
      <c r="N74" s="81">
        <f>undergrid!K74</f>
        <v>2</v>
      </c>
      <c r="O74" s="82"/>
      <c r="P74" s="81">
        <f>undergrid!M74</f>
        <v>6.3999999999999996E-10</v>
      </c>
      <c r="Q74" s="82"/>
      <c r="R74" s="73">
        <f>undergrid!O74</f>
        <v>1.6799999999967952E-3</v>
      </c>
      <c r="S74" s="74">
        <f>R74*undergrid!$AQ$5</f>
        <v>6.7199999999871803E-9</v>
      </c>
      <c r="T74" s="75">
        <f>R74*(1-Graphs!$AD$1)</f>
        <v>8.3999999999839832E-5</v>
      </c>
      <c r="U74" s="73">
        <f>undergrid!Q74</f>
        <v>0</v>
      </c>
      <c r="V74" s="75">
        <f>IF(U74&lt;0.001,0,P74*undergrid!$AQ$4)</f>
        <v>0</v>
      </c>
      <c r="W74" s="73">
        <f>undergrid!S74</f>
        <v>0</v>
      </c>
      <c r="X74" s="106">
        <f>IF(undergrid!AI74&gt;0,(undergrid!$AQ$7*W74+undergrid!$AQ$8*undergrid!$AQ$9)*undergrid!$AQ$6,0)+undergrid!AG74*undergrid!$AQ$10</f>
        <v>0</v>
      </c>
      <c r="Y74" s="73">
        <f>undergrid!U74</f>
        <v>0</v>
      </c>
      <c r="Z74" s="74">
        <f>Y74*undergrid!$AQ$5</f>
        <v>0</v>
      </c>
      <c r="AA74" s="75">
        <f>Y74*(1-Graphs!$AD$2)</f>
        <v>0</v>
      </c>
      <c r="AB74" s="73">
        <f>undergrid!W74</f>
        <v>5.7718812983521568</v>
      </c>
      <c r="AC74" s="75">
        <f t="shared" si="23"/>
        <v>0.57718812983521572</v>
      </c>
      <c r="AD74" s="73">
        <f>undergrid!Y74</f>
        <v>0</v>
      </c>
      <c r="AE74" s="75">
        <f t="shared" si="24"/>
        <v>0</v>
      </c>
      <c r="AF74" s="109">
        <f>undergrid!AA74</f>
        <v>0</v>
      </c>
      <c r="AG74" s="110">
        <f>undergrid!AE74</f>
        <v>0</v>
      </c>
      <c r="AH74" s="93">
        <f t="shared" si="25"/>
        <v>0</v>
      </c>
      <c r="AI74" s="93">
        <f t="shared" si="26"/>
        <v>0</v>
      </c>
      <c r="AJ74" s="93">
        <f t="shared" si="27"/>
        <v>1.8812983521570015E-3</v>
      </c>
      <c r="AK74" s="93">
        <f>IF(AH74&gt;0.00001,undergrid!$AM$4,IF(Costs!AI74&gt;0.0001,((undergrid!$AQ$7*W74+undergrid!$AQ$8*undergrid!$AQ$9)*undergrid!$AQ$6)/W74,IF(Costs!AJ74&gt;0.0001,Costs!L74,0)))</f>
        <v>0.1</v>
      </c>
      <c r="AL74" s="1">
        <v>73</v>
      </c>
      <c r="AM74" s="121">
        <f t="shared" si="17"/>
        <v>2.1686000000000001</v>
      </c>
      <c r="AN74" s="122">
        <f t="shared" si="28"/>
        <v>-0.57718813655521573</v>
      </c>
      <c r="AO74" s="123">
        <f t="shared" si="29"/>
        <v>1.5914118634447845</v>
      </c>
      <c r="AR74" s="114">
        <f t="shared" si="30"/>
        <v>5.7716799999999964</v>
      </c>
      <c r="AS74" s="32">
        <f t="shared" si="31"/>
        <v>5.7718812983521568</v>
      </c>
      <c r="AT74" s="33">
        <f t="shared" si="18"/>
        <v>2.0129835216042835E-4</v>
      </c>
    </row>
    <row r="75" spans="1:46" x14ac:dyDescent="0.3">
      <c r="A75" s="4" t="str">
        <f>undergrid!B75</f>
        <v>h074</v>
      </c>
      <c r="B75" s="73">
        <f>undergrid!C75*2</f>
        <v>3.02</v>
      </c>
      <c r="C75" s="74">
        <f>undergrid!$AQ$2*Costs!B75</f>
        <v>1.51</v>
      </c>
      <c r="D75" s="74">
        <f t="shared" si="19"/>
        <v>3.02</v>
      </c>
      <c r="E75" s="75">
        <f>D75*undergrid!$AQ$2</f>
        <v>1.51</v>
      </c>
      <c r="F75" s="73">
        <f>undergrid!E75</f>
        <v>2.8069999999999999</v>
      </c>
      <c r="G75" s="74">
        <f>F75*undergrid!$AQ$3</f>
        <v>0.39298000000000005</v>
      </c>
      <c r="H75" s="74">
        <f t="shared" si="20"/>
        <v>2.8069999999999999</v>
      </c>
      <c r="I75" s="75">
        <f>H75*undergrid!$AQ$3</f>
        <v>0.39298000000000005</v>
      </c>
      <c r="J75" s="73">
        <f>undergrid!G75</f>
        <v>0.08</v>
      </c>
      <c r="K75" s="75">
        <f t="shared" si="21"/>
        <v>0</v>
      </c>
      <c r="L75" s="73">
        <f>undergrid!I75</f>
        <v>0.1</v>
      </c>
      <c r="M75" s="75">
        <f t="shared" si="22"/>
        <v>0.58288812983521576</v>
      </c>
      <c r="N75" s="81">
        <f>undergrid!K75</f>
        <v>2</v>
      </c>
      <c r="O75" s="82"/>
      <c r="P75" s="81">
        <f>undergrid!M75</f>
        <v>6.3999999999999996E-10</v>
      </c>
      <c r="Q75" s="82"/>
      <c r="R75" s="73">
        <f>undergrid!O75</f>
        <v>1.6799999999967952E-3</v>
      </c>
      <c r="S75" s="74">
        <f>R75*undergrid!$AQ$5</f>
        <v>6.7199999999871803E-9</v>
      </c>
      <c r="T75" s="75">
        <f>R75*(1-Graphs!$AD$1)</f>
        <v>8.3999999999839832E-5</v>
      </c>
      <c r="U75" s="73">
        <f>undergrid!Q75</f>
        <v>0</v>
      </c>
      <c r="V75" s="75">
        <f>IF(U75&lt;0.001,0,P75*undergrid!$AQ$4)</f>
        <v>0</v>
      </c>
      <c r="W75" s="73">
        <f>undergrid!S75</f>
        <v>0</v>
      </c>
      <c r="X75" s="106">
        <f>IF(undergrid!AI75&gt;0,(undergrid!$AQ$7*W75+undergrid!$AQ$8*undergrid!$AQ$9)*undergrid!$AQ$6,0)+undergrid!AG75*undergrid!$AQ$10</f>
        <v>0</v>
      </c>
      <c r="Y75" s="73">
        <f>undergrid!U75</f>
        <v>0</v>
      </c>
      <c r="Z75" s="74">
        <f>Y75*undergrid!$AQ$5</f>
        <v>0</v>
      </c>
      <c r="AA75" s="75">
        <f>Y75*(1-Graphs!$AD$2)</f>
        <v>0</v>
      </c>
      <c r="AB75" s="73">
        <f>undergrid!W75</f>
        <v>5.8288812983521572</v>
      </c>
      <c r="AC75" s="75">
        <f t="shared" si="23"/>
        <v>0.58288812983521576</v>
      </c>
      <c r="AD75" s="73">
        <f>undergrid!Y75</f>
        <v>0</v>
      </c>
      <c r="AE75" s="75">
        <f t="shared" si="24"/>
        <v>0</v>
      </c>
      <c r="AF75" s="109">
        <f>undergrid!AA75</f>
        <v>0</v>
      </c>
      <c r="AG75" s="110">
        <f>undergrid!AE75</f>
        <v>0</v>
      </c>
      <c r="AH75" s="93">
        <f t="shared" si="25"/>
        <v>0</v>
      </c>
      <c r="AI75" s="93">
        <f t="shared" si="26"/>
        <v>0</v>
      </c>
      <c r="AJ75" s="93">
        <f t="shared" si="27"/>
        <v>1.8812983521572235E-3</v>
      </c>
      <c r="AK75" s="93">
        <f>IF(AH75&gt;0.00001,undergrid!$AM$4,IF(Costs!AI75&gt;0.0001,((undergrid!$AQ$7*W75+undergrid!$AQ$8*undergrid!$AQ$9)*undergrid!$AQ$6)/W75,IF(Costs!AJ75&gt;0.0001,Costs!L75,0)))</f>
        <v>0.1</v>
      </c>
      <c r="AL75" s="1">
        <v>74</v>
      </c>
      <c r="AM75" s="121">
        <f t="shared" si="17"/>
        <v>1.9029800000000001</v>
      </c>
      <c r="AN75" s="122">
        <f t="shared" si="28"/>
        <v>-0.58288813655521576</v>
      </c>
      <c r="AO75" s="123">
        <f t="shared" si="29"/>
        <v>1.3200918634447842</v>
      </c>
      <c r="AR75" s="114">
        <f t="shared" si="30"/>
        <v>5.8286799999999968</v>
      </c>
      <c r="AS75" s="32">
        <f t="shared" si="31"/>
        <v>5.8288812983521572</v>
      </c>
      <c r="AT75" s="33">
        <f t="shared" si="18"/>
        <v>2.0129835216042835E-4</v>
      </c>
    </row>
    <row r="76" spans="1:46" x14ac:dyDescent="0.3">
      <c r="A76" s="4" t="str">
        <f>undergrid!B76</f>
        <v>h075</v>
      </c>
      <c r="B76" s="73">
        <f>undergrid!C76*2</f>
        <v>2.86</v>
      </c>
      <c r="C76" s="74">
        <f>undergrid!$AQ$2*Costs!B76</f>
        <v>1.43</v>
      </c>
      <c r="D76" s="74">
        <f t="shared" si="19"/>
        <v>2.86</v>
      </c>
      <c r="E76" s="75">
        <f>D76*undergrid!$AQ$2</f>
        <v>1.43</v>
      </c>
      <c r="F76" s="73">
        <f>undergrid!E76</f>
        <v>2.6560000000000001</v>
      </c>
      <c r="G76" s="74">
        <f>F76*undergrid!$AQ$3</f>
        <v>0.37184000000000006</v>
      </c>
      <c r="H76" s="74">
        <f t="shared" si="20"/>
        <v>2.6560000000000001</v>
      </c>
      <c r="I76" s="75">
        <f>H76*undergrid!$AQ$3</f>
        <v>0.37184000000000006</v>
      </c>
      <c r="J76" s="73">
        <f>undergrid!G76</f>
        <v>0.08</v>
      </c>
      <c r="K76" s="75">
        <f t="shared" si="21"/>
        <v>0</v>
      </c>
      <c r="L76" s="73">
        <f>undergrid!I76</f>
        <v>0.1</v>
      </c>
      <c r="M76" s="75">
        <f t="shared" si="22"/>
        <v>2.0807993992454636</v>
      </c>
      <c r="N76" s="81">
        <f>undergrid!K76</f>
        <v>2</v>
      </c>
      <c r="O76" s="82"/>
      <c r="P76" s="81">
        <f>undergrid!M76</f>
        <v>6.3999999999999996E-10</v>
      </c>
      <c r="Q76" s="82"/>
      <c r="R76" s="73">
        <f>undergrid!O76</f>
        <v>13.65575063583351</v>
      </c>
      <c r="S76" s="74">
        <f>R76*undergrid!$AQ$5</f>
        <v>5.4623002543334035E-5</v>
      </c>
      <c r="T76" s="75">
        <f>R76*(1-Graphs!$AD$1)</f>
        <v>0.68278753179167606</v>
      </c>
      <c r="U76" s="73">
        <f>undergrid!Q76</f>
        <v>0</v>
      </c>
      <c r="V76" s="75">
        <f>IF(U76&lt;0.001,0,P76*undergrid!$AQ$4)</f>
        <v>0</v>
      </c>
      <c r="W76" s="73">
        <f>undergrid!S76</f>
        <v>0</v>
      </c>
      <c r="X76" s="106">
        <f>IF(undergrid!AI76&gt;0,(undergrid!$AQ$7*W76+undergrid!$AQ$8*undergrid!$AQ$9)*undergrid!$AQ$6,0)+undergrid!AG76*undergrid!$AQ$10</f>
        <v>0</v>
      </c>
      <c r="Y76" s="73">
        <f>undergrid!U76</f>
        <v>0</v>
      </c>
      <c r="Z76" s="74">
        <f>Y76*undergrid!$AQ$5</f>
        <v>0</v>
      </c>
      <c r="AA76" s="75">
        <f>Y76*(1-Graphs!$AD$2)</f>
        <v>0</v>
      </c>
      <c r="AB76" s="73">
        <f>undergrid!W76</f>
        <v>20.807993992454637</v>
      </c>
      <c r="AC76" s="75">
        <f t="shared" si="23"/>
        <v>2.0807993992454636</v>
      </c>
      <c r="AD76" s="73">
        <f>undergrid!Y76</f>
        <v>0</v>
      </c>
      <c r="AE76" s="75">
        <f t="shared" si="24"/>
        <v>0</v>
      </c>
      <c r="AF76" s="109">
        <f>undergrid!AA76</f>
        <v>0</v>
      </c>
      <c r="AG76" s="110">
        <f>undergrid!AE76</f>
        <v>0</v>
      </c>
      <c r="AH76" s="93">
        <f t="shared" si="25"/>
        <v>0</v>
      </c>
      <c r="AI76" s="93">
        <f t="shared" si="26"/>
        <v>0</v>
      </c>
      <c r="AJ76" s="93">
        <f t="shared" si="27"/>
        <v>15.291993992454637</v>
      </c>
      <c r="AK76" s="93">
        <f>IF(AH76&gt;0.00001,undergrid!$AM$4,IF(Costs!AI76&gt;0.0001,((undergrid!$AQ$7*W76+undergrid!$AQ$8*undergrid!$AQ$9)*undergrid!$AQ$6)/W76,IF(Costs!AJ76&gt;0.0001,Costs!L76,0)))</f>
        <v>0.1</v>
      </c>
      <c r="AL76" s="1">
        <v>75</v>
      </c>
      <c r="AM76" s="121">
        <f t="shared" si="17"/>
        <v>1.8018399999999999</v>
      </c>
      <c r="AN76" s="122">
        <f t="shared" si="28"/>
        <v>-2.080854022248007</v>
      </c>
      <c r="AO76" s="123">
        <f t="shared" si="29"/>
        <v>-0.27901402224800709</v>
      </c>
      <c r="AR76" s="114">
        <f t="shared" si="30"/>
        <v>19.171750635833511</v>
      </c>
      <c r="AS76" s="32">
        <f t="shared" si="31"/>
        <v>20.807993992454637</v>
      </c>
      <c r="AT76" s="33">
        <f t="shared" si="18"/>
        <v>1.6362433566211259</v>
      </c>
    </row>
    <row r="77" spans="1:46" x14ac:dyDescent="0.3">
      <c r="A77" s="4" t="str">
        <f>undergrid!B77</f>
        <v>h076</v>
      </c>
      <c r="B77" s="73">
        <f>undergrid!C77*2</f>
        <v>2.04</v>
      </c>
      <c r="C77" s="74">
        <f>undergrid!$AQ$2*Costs!B77</f>
        <v>1.02</v>
      </c>
      <c r="D77" s="74">
        <f t="shared" si="19"/>
        <v>2.04</v>
      </c>
      <c r="E77" s="75">
        <f>D77*undergrid!$AQ$2</f>
        <v>1.02</v>
      </c>
      <c r="F77" s="73">
        <f>undergrid!E77</f>
        <v>1.893</v>
      </c>
      <c r="G77" s="74">
        <f>F77*undergrid!$AQ$3</f>
        <v>0.26502000000000003</v>
      </c>
      <c r="H77" s="74">
        <f t="shared" si="20"/>
        <v>1.893</v>
      </c>
      <c r="I77" s="75">
        <f>H77*undergrid!$AQ$3</f>
        <v>0.26502000000000003</v>
      </c>
      <c r="J77" s="73">
        <f>undergrid!G77</f>
        <v>0.08</v>
      </c>
      <c r="K77" s="75">
        <f t="shared" si="21"/>
        <v>0</v>
      </c>
      <c r="L77" s="73">
        <f>undergrid!I77</f>
        <v>0.1</v>
      </c>
      <c r="M77" s="75">
        <f t="shared" si="22"/>
        <v>2.5</v>
      </c>
      <c r="N77" s="81">
        <f>undergrid!K77</f>
        <v>2</v>
      </c>
      <c r="O77" s="82"/>
      <c r="P77" s="81">
        <f>undergrid!M77</f>
        <v>6.3999999999999996E-10</v>
      </c>
      <c r="Q77" s="82"/>
      <c r="R77" s="73">
        <f>undergrid!O77</f>
        <v>18.812831000571521</v>
      </c>
      <c r="S77" s="74">
        <f>R77*undergrid!$AQ$5</f>
        <v>7.5251324002286075E-5</v>
      </c>
      <c r="T77" s="75">
        <f>R77*(1-Graphs!$AD$1)</f>
        <v>0.94064155002857686</v>
      </c>
      <c r="U77" s="73">
        <f>undergrid!Q77</f>
        <v>0</v>
      </c>
      <c r="V77" s="75">
        <f>IF(U77&lt;0.001,0,P77*undergrid!$AQ$4)</f>
        <v>0</v>
      </c>
      <c r="W77" s="73">
        <f>undergrid!S77</f>
        <v>0</v>
      </c>
      <c r="X77" s="106">
        <f>IF(undergrid!AI77&gt;0,(undergrid!$AQ$7*W77+undergrid!$AQ$8*undergrid!$AQ$9)*undergrid!$AQ$6,0)+undergrid!AG77*undergrid!$AQ$10</f>
        <v>0</v>
      </c>
      <c r="Y77" s="73">
        <f>undergrid!U77</f>
        <v>0</v>
      </c>
      <c r="Z77" s="74">
        <f>Y77*undergrid!$AQ$5</f>
        <v>0</v>
      </c>
      <c r="AA77" s="75">
        <f>Y77*(1-Graphs!$AD$2)</f>
        <v>0</v>
      </c>
      <c r="AB77" s="73">
        <f>undergrid!W77</f>
        <v>25</v>
      </c>
      <c r="AC77" s="75">
        <f t="shared" si="23"/>
        <v>2.5</v>
      </c>
      <c r="AD77" s="73">
        <f>undergrid!Y77</f>
        <v>0</v>
      </c>
      <c r="AE77" s="75">
        <f t="shared" si="24"/>
        <v>0</v>
      </c>
      <c r="AF77" s="109">
        <f>undergrid!AA77</f>
        <v>0</v>
      </c>
      <c r="AG77" s="110">
        <f>undergrid!AE77</f>
        <v>0</v>
      </c>
      <c r="AH77" s="93">
        <f t="shared" si="25"/>
        <v>0</v>
      </c>
      <c r="AI77" s="93">
        <f t="shared" si="26"/>
        <v>0</v>
      </c>
      <c r="AJ77" s="93">
        <f t="shared" si="27"/>
        <v>21.067</v>
      </c>
      <c r="AK77" s="93">
        <f>IF(AH77&gt;0.00001,undergrid!$AM$4,IF(Costs!AI77&gt;0.0001,((undergrid!$AQ$7*W77+undergrid!$AQ$8*undergrid!$AQ$9)*undergrid!$AQ$6)/W77,IF(Costs!AJ77&gt;0.0001,Costs!L77,0)))</f>
        <v>0.1</v>
      </c>
      <c r="AL77" s="1">
        <v>76</v>
      </c>
      <c r="AM77" s="121">
        <f t="shared" si="17"/>
        <v>1.2850200000000001</v>
      </c>
      <c r="AN77" s="122">
        <f t="shared" si="28"/>
        <v>-2.5000752513240023</v>
      </c>
      <c r="AO77" s="123">
        <f t="shared" si="29"/>
        <v>-1.2150552513240023</v>
      </c>
      <c r="AR77" s="114">
        <f t="shared" si="30"/>
        <v>22.745831000571521</v>
      </c>
      <c r="AS77" s="32">
        <f t="shared" si="31"/>
        <v>25</v>
      </c>
      <c r="AT77" s="33">
        <f t="shared" si="18"/>
        <v>2.2541689994284795</v>
      </c>
    </row>
    <row r="78" spans="1:46" x14ac:dyDescent="0.3">
      <c r="A78" s="4" t="str">
        <f>undergrid!B78</f>
        <v>h077</v>
      </c>
      <c r="B78" s="73">
        <f>undergrid!C78*2</f>
        <v>1.82</v>
      </c>
      <c r="C78" s="74">
        <f>undergrid!$AQ$2*Costs!B78</f>
        <v>0.91</v>
      </c>
      <c r="D78" s="74">
        <f t="shared" si="19"/>
        <v>1.82</v>
      </c>
      <c r="E78" s="75">
        <f>D78*undergrid!$AQ$2</f>
        <v>0.91</v>
      </c>
      <c r="F78" s="73">
        <f>undergrid!E78</f>
        <v>1.7010000000000001</v>
      </c>
      <c r="G78" s="74">
        <f>F78*undergrid!$AQ$3</f>
        <v>0.23814000000000002</v>
      </c>
      <c r="H78" s="74">
        <f t="shared" si="20"/>
        <v>1.7010000000000001</v>
      </c>
      <c r="I78" s="75">
        <f>H78*undergrid!$AQ$3</f>
        <v>0.23814000000000002</v>
      </c>
      <c r="J78" s="73">
        <f>undergrid!G78</f>
        <v>0.08</v>
      </c>
      <c r="K78" s="75">
        <f t="shared" si="21"/>
        <v>0</v>
      </c>
      <c r="L78" s="73">
        <f>undergrid!I78</f>
        <v>0.1</v>
      </c>
      <c r="M78" s="75">
        <f t="shared" si="22"/>
        <v>2.5</v>
      </c>
      <c r="N78" s="81">
        <f>undergrid!K78</f>
        <v>2</v>
      </c>
      <c r="O78" s="82"/>
      <c r="P78" s="81">
        <f>undergrid!M78</f>
        <v>6.3999999999999996E-10</v>
      </c>
      <c r="Q78" s="82"/>
      <c r="R78" s="73">
        <f>undergrid!O78</f>
        <v>19.180747000571522</v>
      </c>
      <c r="S78" s="74">
        <f>R78*undergrid!$AQ$5</f>
        <v>7.6722988002286079E-5</v>
      </c>
      <c r="T78" s="75">
        <f>R78*(1-Graphs!$AD$1)</f>
        <v>0.95903735002857693</v>
      </c>
      <c r="U78" s="73">
        <f>undergrid!Q78</f>
        <v>0</v>
      </c>
      <c r="V78" s="75">
        <f>IF(U78&lt;0.001,0,P78*undergrid!$AQ$4)</f>
        <v>0</v>
      </c>
      <c r="W78" s="73">
        <f>undergrid!S78</f>
        <v>0</v>
      </c>
      <c r="X78" s="106">
        <f>IF(undergrid!AI78&gt;0,(undergrid!$AQ$7*W78+undergrid!$AQ$8*undergrid!$AQ$9)*undergrid!$AQ$6,0)+undergrid!AG78*undergrid!$AQ$10</f>
        <v>0</v>
      </c>
      <c r="Y78" s="73">
        <f>undergrid!U78</f>
        <v>0</v>
      </c>
      <c r="Z78" s="74">
        <f>Y78*undergrid!$AQ$5</f>
        <v>0</v>
      </c>
      <c r="AA78" s="75">
        <f>Y78*(1-Graphs!$AD$2)</f>
        <v>0</v>
      </c>
      <c r="AB78" s="73">
        <f>undergrid!W78</f>
        <v>25</v>
      </c>
      <c r="AC78" s="75">
        <f t="shared" si="23"/>
        <v>2.5</v>
      </c>
      <c r="AD78" s="73">
        <f>undergrid!Y78</f>
        <v>0</v>
      </c>
      <c r="AE78" s="75">
        <f t="shared" si="24"/>
        <v>0</v>
      </c>
      <c r="AF78" s="109">
        <f>undergrid!AA78</f>
        <v>0</v>
      </c>
      <c r="AG78" s="110">
        <f>undergrid!AE78</f>
        <v>0</v>
      </c>
      <c r="AH78" s="93">
        <f t="shared" si="25"/>
        <v>0</v>
      </c>
      <c r="AI78" s="93">
        <f t="shared" si="26"/>
        <v>0</v>
      </c>
      <c r="AJ78" s="93">
        <f t="shared" si="27"/>
        <v>21.478999999999999</v>
      </c>
      <c r="AK78" s="93">
        <f>IF(AH78&gt;0.00001,undergrid!$AM$4,IF(Costs!AI78&gt;0.0001,((undergrid!$AQ$7*W78+undergrid!$AQ$8*undergrid!$AQ$9)*undergrid!$AQ$6)/W78,IF(Costs!AJ78&gt;0.0001,Costs!L78,0)))</f>
        <v>0.1</v>
      </c>
      <c r="AL78" s="1">
        <v>77</v>
      </c>
      <c r="AM78" s="121">
        <f t="shared" si="17"/>
        <v>1.1481400000000002</v>
      </c>
      <c r="AN78" s="122">
        <f t="shared" si="28"/>
        <v>-2.5000767229880023</v>
      </c>
      <c r="AO78" s="123">
        <f t="shared" si="29"/>
        <v>-1.3519367229880022</v>
      </c>
      <c r="AR78" s="114">
        <f t="shared" si="30"/>
        <v>22.701747000571523</v>
      </c>
      <c r="AS78" s="32">
        <f t="shared" si="31"/>
        <v>25</v>
      </c>
      <c r="AT78" s="33">
        <f t="shared" si="18"/>
        <v>2.2982529994284775</v>
      </c>
    </row>
    <row r="79" spans="1:46" x14ac:dyDescent="0.3">
      <c r="A79" s="4" t="str">
        <f>undergrid!B79</f>
        <v>h078</v>
      </c>
      <c r="B79" s="73">
        <f>undergrid!C79*2</f>
        <v>2.2999999999999998</v>
      </c>
      <c r="C79" s="74">
        <f>undergrid!$AQ$2*Costs!B79</f>
        <v>1.1499999999999999</v>
      </c>
      <c r="D79" s="74">
        <f t="shared" si="19"/>
        <v>2.2999999999999998</v>
      </c>
      <c r="E79" s="75">
        <f>D79*undergrid!$AQ$2</f>
        <v>1.1499999999999999</v>
      </c>
      <c r="F79" s="73">
        <f>undergrid!E79</f>
        <v>2.1419999999999999</v>
      </c>
      <c r="G79" s="74">
        <f>F79*undergrid!$AQ$3</f>
        <v>0.29988000000000004</v>
      </c>
      <c r="H79" s="74">
        <f t="shared" si="20"/>
        <v>2.1419999999999999</v>
      </c>
      <c r="I79" s="75">
        <f>H79*undergrid!$AQ$3</f>
        <v>0.29988000000000004</v>
      </c>
      <c r="J79" s="73">
        <f>undergrid!G79</f>
        <v>0.08</v>
      </c>
      <c r="K79" s="75">
        <f t="shared" si="21"/>
        <v>0</v>
      </c>
      <c r="L79" s="73">
        <f>undergrid!I79</f>
        <v>0.1</v>
      </c>
      <c r="M79" s="75">
        <f t="shared" si="22"/>
        <v>2.5</v>
      </c>
      <c r="N79" s="81">
        <f>undergrid!K79</f>
        <v>2</v>
      </c>
      <c r="O79" s="82"/>
      <c r="P79" s="81">
        <f>undergrid!M79</f>
        <v>6.3999999999999996E-10</v>
      </c>
      <c r="Q79" s="82"/>
      <c r="R79" s="73">
        <f>undergrid!O79</f>
        <v>18.358294000571519</v>
      </c>
      <c r="S79" s="74">
        <f>R79*undergrid!$AQ$5</f>
        <v>7.3433176002286069E-5</v>
      </c>
      <c r="T79" s="75">
        <f>R79*(1-Graphs!$AD$1)</f>
        <v>0.91791470002857678</v>
      </c>
      <c r="U79" s="73">
        <f>undergrid!Q79</f>
        <v>0</v>
      </c>
      <c r="V79" s="75">
        <f>IF(U79&lt;0.001,0,P79*undergrid!$AQ$4)</f>
        <v>0</v>
      </c>
      <c r="W79" s="73">
        <f>undergrid!S79</f>
        <v>0</v>
      </c>
      <c r="X79" s="106">
        <f>IF(undergrid!AI79&gt;0,(undergrid!$AQ$7*W79+undergrid!$AQ$8*undergrid!$AQ$9)*undergrid!$AQ$6,0)+undergrid!AG79*undergrid!$AQ$10</f>
        <v>0</v>
      </c>
      <c r="Y79" s="73">
        <f>undergrid!U79</f>
        <v>0</v>
      </c>
      <c r="Z79" s="74">
        <f>Y79*undergrid!$AQ$5</f>
        <v>0</v>
      </c>
      <c r="AA79" s="75">
        <f>Y79*(1-Graphs!$AD$2)</f>
        <v>0</v>
      </c>
      <c r="AB79" s="73">
        <f>undergrid!W79</f>
        <v>25</v>
      </c>
      <c r="AC79" s="75">
        <f t="shared" si="23"/>
        <v>2.5</v>
      </c>
      <c r="AD79" s="73">
        <f>undergrid!Y79</f>
        <v>0</v>
      </c>
      <c r="AE79" s="75">
        <f t="shared" si="24"/>
        <v>0</v>
      </c>
      <c r="AF79" s="109">
        <f>undergrid!AA79</f>
        <v>0</v>
      </c>
      <c r="AG79" s="110">
        <f>undergrid!AE79</f>
        <v>0</v>
      </c>
      <c r="AH79" s="93">
        <f t="shared" si="25"/>
        <v>0</v>
      </c>
      <c r="AI79" s="93">
        <f t="shared" si="26"/>
        <v>0</v>
      </c>
      <c r="AJ79" s="93">
        <f t="shared" si="27"/>
        <v>20.558</v>
      </c>
      <c r="AK79" s="93">
        <f>IF(AH79&gt;0.00001,undergrid!$AM$4,IF(Costs!AI79&gt;0.0001,((undergrid!$AQ$7*W79+undergrid!$AQ$8*undergrid!$AQ$9)*undergrid!$AQ$6)/W79,IF(Costs!AJ79&gt;0.0001,Costs!L79,0)))</f>
        <v>0.1</v>
      </c>
      <c r="AL79" s="1">
        <v>78</v>
      </c>
      <c r="AM79" s="121">
        <f t="shared" si="17"/>
        <v>1.4498799999999998</v>
      </c>
      <c r="AN79" s="122">
        <f t="shared" si="28"/>
        <v>-2.5000734331760022</v>
      </c>
      <c r="AO79" s="123">
        <f t="shared" si="29"/>
        <v>-1.0501934331760023</v>
      </c>
      <c r="AR79" s="114">
        <f t="shared" si="30"/>
        <v>22.800294000571519</v>
      </c>
      <c r="AS79" s="32">
        <f t="shared" si="31"/>
        <v>25</v>
      </c>
      <c r="AT79" s="33">
        <f t="shared" si="18"/>
        <v>2.1997059994284811</v>
      </c>
    </row>
    <row r="80" spans="1:46" x14ac:dyDescent="0.3">
      <c r="A80" s="4" t="str">
        <f>undergrid!B80</f>
        <v>h079</v>
      </c>
      <c r="B80" s="73">
        <f>undergrid!C80*2</f>
        <v>2.64</v>
      </c>
      <c r="C80" s="74">
        <f>undergrid!$AQ$2*Costs!B80</f>
        <v>1.32</v>
      </c>
      <c r="D80" s="74">
        <f t="shared" si="19"/>
        <v>2.64</v>
      </c>
      <c r="E80" s="75">
        <f>D80*undergrid!$AQ$2</f>
        <v>1.32</v>
      </c>
      <c r="F80" s="73">
        <f>undergrid!E80</f>
        <v>2.4569999999999999</v>
      </c>
      <c r="G80" s="74">
        <f>F80*undergrid!$AQ$3</f>
        <v>0.34398000000000001</v>
      </c>
      <c r="H80" s="74">
        <f t="shared" si="20"/>
        <v>2.4569999999999999</v>
      </c>
      <c r="I80" s="75">
        <f>H80*undergrid!$AQ$3</f>
        <v>0.34398000000000001</v>
      </c>
      <c r="J80" s="73">
        <f>undergrid!G80</f>
        <v>0.13</v>
      </c>
      <c r="K80" s="75">
        <f t="shared" si="21"/>
        <v>2.8473900000832</v>
      </c>
      <c r="L80" s="73">
        <f>undergrid!I80</f>
        <v>0.15</v>
      </c>
      <c r="M80" s="75">
        <f t="shared" si="22"/>
        <v>0</v>
      </c>
      <c r="N80" s="81">
        <f>undergrid!K80</f>
        <v>2</v>
      </c>
      <c r="O80" s="82"/>
      <c r="P80" s="81">
        <f>undergrid!M80</f>
        <v>6.3999999999999996E-10</v>
      </c>
      <c r="Q80" s="82"/>
      <c r="R80" s="73">
        <f>undergrid!O80</f>
        <v>0</v>
      </c>
      <c r="S80" s="74">
        <f>R80*undergrid!$AQ$5</f>
        <v>0</v>
      </c>
      <c r="T80" s="75">
        <f>R80*(1-Graphs!$AD$1)</f>
        <v>0</v>
      </c>
      <c r="U80" s="73">
        <f>undergrid!Q80</f>
        <v>0</v>
      </c>
      <c r="V80" s="75">
        <f>IF(U80&lt;0.001,0,P80*undergrid!$AQ$4)</f>
        <v>0</v>
      </c>
      <c r="W80" s="73">
        <f>undergrid!S80</f>
        <v>0</v>
      </c>
      <c r="X80" s="106">
        <f>IF(undergrid!AI80&gt;0,(undergrid!$AQ$7*W80+undergrid!$AQ$8*undergrid!$AQ$9)*undergrid!$AQ$6,0)+undergrid!AG80*undergrid!$AQ$10</f>
        <v>0</v>
      </c>
      <c r="Y80" s="73">
        <f>undergrid!U80</f>
        <v>30</v>
      </c>
      <c r="Z80" s="74">
        <f>Y80*undergrid!$AQ$5</f>
        <v>1.1999999999999999E-4</v>
      </c>
      <c r="AA80" s="75">
        <f>Y80*(1-Graphs!$AD$2)</f>
        <v>2.9999999999999991</v>
      </c>
      <c r="AB80" s="73">
        <f>undergrid!W80</f>
        <v>0</v>
      </c>
      <c r="AC80" s="75">
        <f t="shared" si="23"/>
        <v>0</v>
      </c>
      <c r="AD80" s="73">
        <f>undergrid!Y80</f>
        <v>21.903000000639999</v>
      </c>
      <c r="AE80" s="75">
        <f t="shared" si="24"/>
        <v>2.8473900000832</v>
      </c>
      <c r="AF80" s="109">
        <f>undergrid!AA80</f>
        <v>0</v>
      </c>
      <c r="AG80" s="110">
        <f>undergrid!AE80</f>
        <v>0</v>
      </c>
      <c r="AH80" s="93">
        <f t="shared" si="25"/>
        <v>0</v>
      </c>
      <c r="AI80" s="93">
        <f t="shared" si="26"/>
        <v>0</v>
      </c>
      <c r="AJ80" s="93">
        <f t="shared" si="27"/>
        <v>0</v>
      </c>
      <c r="AK80" s="93">
        <f>IF(AH80&gt;0.00001,undergrid!$AM$4,IF(Costs!AI80&gt;0.0001,((undergrid!$AQ$7*W80+undergrid!$AQ$8*undergrid!$AQ$9)*undergrid!$AQ$6)/W80,IF(Costs!AJ80&gt;0.0001,Costs!L80,0)))</f>
        <v>0</v>
      </c>
      <c r="AL80" s="1">
        <v>79</v>
      </c>
      <c r="AM80" s="121">
        <f t="shared" si="17"/>
        <v>4.5113700000832004</v>
      </c>
      <c r="AN80" s="122">
        <f t="shared" si="28"/>
        <v>-1.1999999999999999E-4</v>
      </c>
      <c r="AO80" s="123">
        <f t="shared" si="29"/>
        <v>4.5112500000832005</v>
      </c>
      <c r="AR80" s="114">
        <f t="shared" si="30"/>
        <v>27.00000000064</v>
      </c>
      <c r="AS80" s="32">
        <f t="shared" si="31"/>
        <v>30</v>
      </c>
      <c r="AT80" s="33">
        <f t="shared" si="18"/>
        <v>2.9999999993599999</v>
      </c>
    </row>
    <row r="81" spans="1:46" x14ac:dyDescent="0.3">
      <c r="A81" s="4" t="str">
        <f>undergrid!B81</f>
        <v>h080</v>
      </c>
      <c r="B81" s="73">
        <f>undergrid!C81*2</f>
        <v>1.28</v>
      </c>
      <c r="C81" s="74">
        <f>undergrid!$AQ$2*Costs!B81</f>
        <v>0.64</v>
      </c>
      <c r="D81" s="74">
        <f t="shared" si="19"/>
        <v>1.28</v>
      </c>
      <c r="E81" s="75">
        <f>D81*undergrid!$AQ$2</f>
        <v>0.64</v>
      </c>
      <c r="F81" s="73">
        <f>undergrid!E81</f>
        <v>1.5409999999999999</v>
      </c>
      <c r="G81" s="74">
        <f>F81*undergrid!$AQ$3</f>
        <v>0.21574000000000002</v>
      </c>
      <c r="H81" s="74">
        <f t="shared" si="20"/>
        <v>1.5409999999999999</v>
      </c>
      <c r="I81" s="75">
        <f>H81*undergrid!$AQ$3</f>
        <v>0.21574000000000002</v>
      </c>
      <c r="J81" s="73">
        <f>undergrid!G81</f>
        <v>0.13</v>
      </c>
      <c r="K81" s="75">
        <f t="shared" si="21"/>
        <v>1.3775787460826707</v>
      </c>
      <c r="L81" s="73">
        <f>undergrid!I81</f>
        <v>0.15</v>
      </c>
      <c r="M81" s="75">
        <f t="shared" si="22"/>
        <v>0</v>
      </c>
      <c r="N81" s="81">
        <f>undergrid!K81</f>
        <v>2</v>
      </c>
      <c r="O81" s="82"/>
      <c r="P81" s="81">
        <f>undergrid!M81</f>
        <v>5.74</v>
      </c>
      <c r="Q81" s="82"/>
      <c r="R81" s="73">
        <f>undergrid!O81</f>
        <v>0</v>
      </c>
      <c r="S81" s="74">
        <f>R81*undergrid!$AQ$5</f>
        <v>0</v>
      </c>
      <c r="T81" s="75">
        <f>R81*(1-Graphs!$AD$1)</f>
        <v>0</v>
      </c>
      <c r="U81" s="73">
        <f>undergrid!Q81</f>
        <v>5.74</v>
      </c>
      <c r="V81" s="75">
        <f>IF(U81&lt;0.001,0,P81*undergrid!$AQ$4)</f>
        <v>1.148E-5</v>
      </c>
      <c r="W81" s="73">
        <f>undergrid!S81</f>
        <v>0</v>
      </c>
      <c r="X81" s="106">
        <f>IF(undergrid!AI81&gt;0,(undergrid!$AQ$7*W81+undergrid!$AQ$8*undergrid!$AQ$9)*undergrid!$AQ$6,0)+undergrid!AG81*undergrid!$AQ$10</f>
        <v>0</v>
      </c>
      <c r="Y81" s="73">
        <f>undergrid!U81</f>
        <v>8.53084398361257</v>
      </c>
      <c r="Z81" s="74">
        <f>Y81*undergrid!$AQ$5</f>
        <v>3.4123375934450275E-5</v>
      </c>
      <c r="AA81" s="75">
        <f>Y81*(1-Graphs!$AD$2)</f>
        <v>0.85308439836125682</v>
      </c>
      <c r="AB81" s="73">
        <f>undergrid!W81</f>
        <v>0</v>
      </c>
      <c r="AC81" s="75">
        <f t="shared" si="23"/>
        <v>0</v>
      </c>
      <c r="AD81" s="73">
        <f>undergrid!Y81</f>
        <v>10.596759585251313</v>
      </c>
      <c r="AE81" s="75">
        <f t="shared" si="24"/>
        <v>1.3775787460826707</v>
      </c>
      <c r="AF81" s="109">
        <f>undergrid!AA81</f>
        <v>0</v>
      </c>
      <c r="AG81" s="110">
        <f>undergrid!AE81</f>
        <v>0</v>
      </c>
      <c r="AH81" s="93">
        <f t="shared" si="25"/>
        <v>0</v>
      </c>
      <c r="AI81" s="93">
        <f t="shared" si="26"/>
        <v>0</v>
      </c>
      <c r="AJ81" s="93">
        <f t="shared" si="27"/>
        <v>0</v>
      </c>
      <c r="AK81" s="93">
        <f>IF(AH81&gt;0.00001,undergrid!$AM$4,IF(Costs!AI81&gt;0.0001,((undergrid!$AQ$7*W81+undergrid!$AQ$8*undergrid!$AQ$9)*undergrid!$AQ$6)/W81,IF(Costs!AJ81&gt;0.0001,Costs!L81,0)))</f>
        <v>0</v>
      </c>
      <c r="AL81" s="1">
        <v>80</v>
      </c>
      <c r="AM81" s="121">
        <f t="shared" si="17"/>
        <v>2.2333187460826709</v>
      </c>
      <c r="AN81" s="122">
        <f t="shared" si="28"/>
        <v>-4.5603375934450274E-5</v>
      </c>
      <c r="AO81" s="123">
        <f t="shared" si="29"/>
        <v>2.2332731427067363</v>
      </c>
      <c r="AR81" s="114">
        <f t="shared" si="30"/>
        <v>13.417759585251313</v>
      </c>
      <c r="AS81" s="32">
        <f t="shared" si="31"/>
        <v>14.27084398361257</v>
      </c>
      <c r="AT81" s="33">
        <f t="shared" si="18"/>
        <v>0.85308439836125771</v>
      </c>
    </row>
    <row r="82" spans="1:46" x14ac:dyDescent="0.3">
      <c r="A82" s="4" t="str">
        <f>undergrid!B82</f>
        <v>h081</v>
      </c>
      <c r="B82" s="73">
        <f>undergrid!C82*2</f>
        <v>1.4</v>
      </c>
      <c r="C82" s="74">
        <f>undergrid!$AQ$2*Costs!B82</f>
        <v>0.7</v>
      </c>
      <c r="D82" s="74">
        <f t="shared" si="19"/>
        <v>1.4</v>
      </c>
      <c r="E82" s="75">
        <f>D82*undergrid!$AQ$2</f>
        <v>0.7</v>
      </c>
      <c r="F82" s="73">
        <f>undergrid!E82</f>
        <v>1.702</v>
      </c>
      <c r="G82" s="74">
        <f>F82*undergrid!$AQ$3</f>
        <v>0.23828000000000002</v>
      </c>
      <c r="H82" s="74">
        <f t="shared" si="20"/>
        <v>1.702</v>
      </c>
      <c r="I82" s="75">
        <f>H82*undergrid!$AQ$3</f>
        <v>0.23828000000000002</v>
      </c>
      <c r="J82" s="73">
        <f>undergrid!G82</f>
        <v>0.13</v>
      </c>
      <c r="K82" s="75">
        <f t="shared" si="21"/>
        <v>0.82003999999999999</v>
      </c>
      <c r="L82" s="73">
        <f>undergrid!I82</f>
        <v>0.15</v>
      </c>
      <c r="M82" s="75">
        <f t="shared" si="22"/>
        <v>0</v>
      </c>
      <c r="N82" s="81">
        <f>undergrid!K82</f>
        <v>2</v>
      </c>
      <c r="O82" s="82"/>
      <c r="P82" s="81">
        <f>undergrid!M82</f>
        <v>9.41</v>
      </c>
      <c r="Q82" s="82"/>
      <c r="R82" s="73">
        <f>undergrid!O82</f>
        <v>0</v>
      </c>
      <c r="S82" s="74">
        <f>R82*undergrid!$AQ$5</f>
        <v>0</v>
      </c>
      <c r="T82" s="75">
        <f>R82*(1-Graphs!$AD$1)</f>
        <v>0</v>
      </c>
      <c r="U82" s="73">
        <f>undergrid!Q82</f>
        <v>9.41</v>
      </c>
      <c r="V82" s="75">
        <f>IF(U82&lt;0.001,0,P82*undergrid!$AQ$4)</f>
        <v>1.8819999999999999E-5</v>
      </c>
      <c r="W82" s="73">
        <f>undergrid!S82</f>
        <v>0</v>
      </c>
      <c r="X82" s="106">
        <f>IF(undergrid!AI82&gt;0,(undergrid!$AQ$7*W82+undergrid!$AQ$8*undergrid!$AQ$9)*undergrid!$AQ$6,0)+undergrid!AG82*undergrid!$AQ$10</f>
        <v>0</v>
      </c>
      <c r="Y82" s="73">
        <f>undergrid!U82</f>
        <v>0</v>
      </c>
      <c r="Z82" s="74">
        <f>Y82*undergrid!$AQ$5</f>
        <v>0</v>
      </c>
      <c r="AA82" s="75">
        <f>Y82*(1-Graphs!$AD$2)</f>
        <v>0</v>
      </c>
      <c r="AB82" s="73">
        <f>undergrid!W82</f>
        <v>0</v>
      </c>
      <c r="AC82" s="75">
        <f t="shared" si="23"/>
        <v>0</v>
      </c>
      <c r="AD82" s="73">
        <f>undergrid!Y82</f>
        <v>6.3079999999999998</v>
      </c>
      <c r="AE82" s="75">
        <f t="shared" si="24"/>
        <v>0.82003999999999999</v>
      </c>
      <c r="AF82" s="109">
        <f>undergrid!AA82</f>
        <v>0</v>
      </c>
      <c r="AG82" s="110">
        <f>undergrid!AE82</f>
        <v>0</v>
      </c>
      <c r="AH82" s="93">
        <f t="shared" si="25"/>
        <v>0</v>
      </c>
      <c r="AI82" s="93">
        <f t="shared" si="26"/>
        <v>0</v>
      </c>
      <c r="AJ82" s="93">
        <f t="shared" si="27"/>
        <v>0</v>
      </c>
      <c r="AK82" s="93">
        <f>IF(AH82&gt;0.00001,undergrid!$AM$4,IF(Costs!AI82&gt;0.0001,((undergrid!$AQ$7*W82+undergrid!$AQ$8*undergrid!$AQ$9)*undergrid!$AQ$6)/W82,IF(Costs!AJ82&gt;0.0001,Costs!L82,0)))</f>
        <v>0</v>
      </c>
      <c r="AL82" s="1">
        <v>81</v>
      </c>
      <c r="AM82" s="121">
        <f t="shared" si="17"/>
        <v>1.7583199999999999</v>
      </c>
      <c r="AN82" s="122">
        <f t="shared" si="28"/>
        <v>-1.8819999999999999E-5</v>
      </c>
      <c r="AO82" s="123">
        <f t="shared" si="29"/>
        <v>1.7583011799999999</v>
      </c>
      <c r="AR82" s="114">
        <f t="shared" si="30"/>
        <v>9.41</v>
      </c>
      <c r="AS82" s="32">
        <f t="shared" si="31"/>
        <v>9.41</v>
      </c>
      <c r="AT82" s="33">
        <f t="shared" si="18"/>
        <v>0</v>
      </c>
    </row>
    <row r="83" spans="1:46" x14ac:dyDescent="0.3">
      <c r="A83" s="4" t="str">
        <f>undergrid!B83</f>
        <v>h082</v>
      </c>
      <c r="B83" s="73">
        <f>undergrid!C83*2</f>
        <v>2.44</v>
      </c>
      <c r="C83" s="74">
        <f>undergrid!$AQ$2*Costs!B83</f>
        <v>1.22</v>
      </c>
      <c r="D83" s="74">
        <f t="shared" si="19"/>
        <v>2.44</v>
      </c>
      <c r="E83" s="75">
        <f>D83*undergrid!$AQ$2</f>
        <v>1.22</v>
      </c>
      <c r="F83" s="73">
        <f>undergrid!E83</f>
        <v>5.0739999999999998</v>
      </c>
      <c r="G83" s="74">
        <f>F83*undergrid!$AQ$3</f>
        <v>0.71035999999999999</v>
      </c>
      <c r="H83" s="74">
        <f t="shared" si="20"/>
        <v>5.0739999999999998</v>
      </c>
      <c r="I83" s="75">
        <f>H83*undergrid!$AQ$3</f>
        <v>0.71035999999999999</v>
      </c>
      <c r="J83" s="73">
        <f>undergrid!G83</f>
        <v>0.13</v>
      </c>
      <c r="K83" s="75">
        <f t="shared" si="21"/>
        <v>0</v>
      </c>
      <c r="L83" s="73">
        <f>undergrid!I83</f>
        <v>0.15</v>
      </c>
      <c r="M83" s="75">
        <f t="shared" si="22"/>
        <v>0</v>
      </c>
      <c r="N83" s="81">
        <f>undergrid!K83</f>
        <v>1</v>
      </c>
      <c r="O83" s="82"/>
      <c r="P83" s="81">
        <f>undergrid!M83</f>
        <v>7.42</v>
      </c>
      <c r="Q83" s="82"/>
      <c r="R83" s="73">
        <f>undergrid!O83</f>
        <v>0</v>
      </c>
      <c r="S83" s="74">
        <f>R83*undergrid!$AQ$5</f>
        <v>0</v>
      </c>
      <c r="T83" s="75">
        <f>R83*(1-Graphs!$AD$1)</f>
        <v>0</v>
      </c>
      <c r="U83" s="73">
        <f>undergrid!Q83</f>
        <v>7.42</v>
      </c>
      <c r="V83" s="75">
        <f>IF(U83&lt;0.001,0,P83*undergrid!$AQ$4)</f>
        <v>1.4839999999999999E-5</v>
      </c>
      <c r="W83" s="73">
        <f>undergrid!S83</f>
        <v>0</v>
      </c>
      <c r="X83" s="106">
        <f>IF(undergrid!AI83&gt;0,(undergrid!$AQ$7*W83+undergrid!$AQ$8*undergrid!$AQ$9)*undergrid!$AQ$6,0)+undergrid!AG83*undergrid!$AQ$10</f>
        <v>0</v>
      </c>
      <c r="Y83" s="73">
        <f>undergrid!U83</f>
        <v>0.10444444444444301</v>
      </c>
      <c r="Z83" s="74">
        <f>Y83*undergrid!$AQ$5</f>
        <v>4.1777777777777202E-7</v>
      </c>
      <c r="AA83" s="75">
        <f>Y83*(1-Graphs!$AD$2)</f>
        <v>1.0444444444444298E-2</v>
      </c>
      <c r="AB83" s="73">
        <f>undergrid!W83</f>
        <v>0</v>
      </c>
      <c r="AC83" s="75">
        <f t="shared" si="23"/>
        <v>0</v>
      </c>
      <c r="AD83" s="73">
        <f>undergrid!Y83</f>
        <v>0</v>
      </c>
      <c r="AE83" s="75">
        <f t="shared" si="24"/>
        <v>0</v>
      </c>
      <c r="AF83" s="109">
        <f>undergrid!AA83</f>
        <v>0</v>
      </c>
      <c r="AG83" s="110">
        <f>undergrid!AE83</f>
        <v>0</v>
      </c>
      <c r="AH83" s="93">
        <f t="shared" si="25"/>
        <v>0</v>
      </c>
      <c r="AI83" s="93">
        <f t="shared" si="26"/>
        <v>0</v>
      </c>
      <c r="AJ83" s="93">
        <f t="shared" si="27"/>
        <v>0</v>
      </c>
      <c r="AK83" s="93">
        <f>IF(AH83&gt;0.00001,undergrid!$AM$4,IF(Costs!AI83&gt;0.0001,((undergrid!$AQ$7*W83+undergrid!$AQ$8*undergrid!$AQ$9)*undergrid!$AQ$6)/W83,IF(Costs!AJ83&gt;0.0001,Costs!L83,0)))</f>
        <v>0</v>
      </c>
      <c r="AL83" s="1">
        <v>82</v>
      </c>
      <c r="AM83" s="121">
        <f t="shared" si="17"/>
        <v>1.9303599999999999</v>
      </c>
      <c r="AN83" s="122">
        <f t="shared" si="28"/>
        <v>-1.525777777777777E-5</v>
      </c>
      <c r="AO83" s="123">
        <f t="shared" si="29"/>
        <v>1.930344742222222</v>
      </c>
      <c r="AR83" s="114">
        <f t="shared" si="30"/>
        <v>7.5139999999999993</v>
      </c>
      <c r="AS83" s="32">
        <f t="shared" si="31"/>
        <v>7.5244444444444429</v>
      </c>
      <c r="AT83" s="33">
        <f t="shared" si="18"/>
        <v>1.044444444444359E-2</v>
      </c>
    </row>
    <row r="84" spans="1:46" x14ac:dyDescent="0.3">
      <c r="A84" s="4" t="str">
        <f>undergrid!B84</f>
        <v>h083</v>
      </c>
      <c r="B84" s="73">
        <f>undergrid!C84*2</f>
        <v>9.02</v>
      </c>
      <c r="C84" s="74">
        <f>undergrid!$AQ$2*Costs!B84</f>
        <v>4.51</v>
      </c>
      <c r="D84" s="74">
        <f t="shared" si="19"/>
        <v>9.02</v>
      </c>
      <c r="E84" s="75">
        <f>D84*undergrid!$AQ$2</f>
        <v>4.51</v>
      </c>
      <c r="F84" s="73">
        <f>undergrid!E84</f>
        <v>9.7330000000000005</v>
      </c>
      <c r="G84" s="74">
        <f>F84*undergrid!$AQ$3</f>
        <v>1.3626200000000002</v>
      </c>
      <c r="H84" s="74">
        <f t="shared" si="20"/>
        <v>9.7330000000000005</v>
      </c>
      <c r="I84" s="75">
        <f>H84*undergrid!$AQ$3</f>
        <v>1.3626200000000002</v>
      </c>
      <c r="J84" s="73">
        <f>undergrid!G84</f>
        <v>0.13</v>
      </c>
      <c r="K84" s="75">
        <f t="shared" si="21"/>
        <v>0</v>
      </c>
      <c r="L84" s="73">
        <f>undergrid!I84</f>
        <v>0.15</v>
      </c>
      <c r="M84" s="75">
        <f t="shared" si="22"/>
        <v>0</v>
      </c>
      <c r="N84" s="81">
        <f>undergrid!K84</f>
        <v>1</v>
      </c>
      <c r="O84" s="82"/>
      <c r="P84" s="81">
        <f>undergrid!M84</f>
        <v>22.66</v>
      </c>
      <c r="Q84" s="82"/>
      <c r="R84" s="73">
        <f>undergrid!O84</f>
        <v>3.4889510000000001</v>
      </c>
      <c r="S84" s="74">
        <f>R84*undergrid!$AQ$5</f>
        <v>1.3955804E-5</v>
      </c>
      <c r="T84" s="75">
        <f>R84*(1-Graphs!$AD$1)</f>
        <v>0.17444755000000017</v>
      </c>
      <c r="U84" s="73">
        <f>undergrid!Q84</f>
        <v>22.66</v>
      </c>
      <c r="V84" s="75">
        <f>IF(U84&lt;0.001,0,P84*undergrid!$AQ$4)</f>
        <v>4.532E-5</v>
      </c>
      <c r="W84" s="73">
        <f>undergrid!S84</f>
        <v>0</v>
      </c>
      <c r="X84" s="106">
        <f>IF(undergrid!AI84&gt;0,(undergrid!$AQ$7*W84+undergrid!$AQ$8*undergrid!$AQ$9)*undergrid!$AQ$6,0)+undergrid!AG84*undergrid!$AQ$10</f>
        <v>0</v>
      </c>
      <c r="Y84" s="73">
        <f>undergrid!U84</f>
        <v>0</v>
      </c>
      <c r="Z84" s="74">
        <f>Y84*undergrid!$AQ$5</f>
        <v>0</v>
      </c>
      <c r="AA84" s="75">
        <f>Y84*(1-Graphs!$AD$2)</f>
        <v>0</v>
      </c>
      <c r="AB84" s="73">
        <f>undergrid!W84</f>
        <v>0</v>
      </c>
      <c r="AC84" s="75">
        <f t="shared" si="23"/>
        <v>0</v>
      </c>
      <c r="AD84" s="73">
        <f>undergrid!Y84</f>
        <v>0</v>
      </c>
      <c r="AE84" s="75">
        <f t="shared" si="24"/>
        <v>0</v>
      </c>
      <c r="AF84" s="109">
        <f>undergrid!AA84</f>
        <v>0</v>
      </c>
      <c r="AG84" s="110">
        <f>undergrid!AE84</f>
        <v>0</v>
      </c>
      <c r="AH84" s="93">
        <f t="shared" si="25"/>
        <v>3.907</v>
      </c>
      <c r="AI84" s="93">
        <f t="shared" si="26"/>
        <v>0</v>
      </c>
      <c r="AJ84" s="93">
        <f t="shared" si="27"/>
        <v>0</v>
      </c>
      <c r="AK84" s="93">
        <f>IF(AH84&gt;0.00001,undergrid!$AM$4,IF(Costs!AI84&gt;0.0001,((undergrid!$AQ$7*W84+undergrid!$AQ$8*undergrid!$AQ$9)*undergrid!$AQ$6)/W84,IF(Costs!AJ84&gt;0.0001,Costs!L84,0)))</f>
        <v>6.3317080478592676</v>
      </c>
      <c r="AL84" s="1">
        <v>83</v>
      </c>
      <c r="AM84" s="121">
        <f t="shared" si="17"/>
        <v>5.8726199999999995</v>
      </c>
      <c r="AN84" s="122">
        <f t="shared" si="28"/>
        <v>-5.9275804000000004E-5</v>
      </c>
      <c r="AO84" s="123">
        <f t="shared" si="29"/>
        <v>5.8725607241959992</v>
      </c>
      <c r="AR84" s="114">
        <f t="shared" si="30"/>
        <v>22.241951</v>
      </c>
      <c r="AS84" s="32">
        <f t="shared" si="31"/>
        <v>22.66</v>
      </c>
      <c r="AT84" s="33">
        <f t="shared" si="18"/>
        <v>0.41804899999999989</v>
      </c>
    </row>
    <row r="85" spans="1:46" x14ac:dyDescent="0.3">
      <c r="A85" s="4" t="str">
        <f>undergrid!B85</f>
        <v>h084</v>
      </c>
      <c r="B85" s="73">
        <f>undergrid!C85*2</f>
        <v>6.76</v>
      </c>
      <c r="C85" s="74">
        <f>undergrid!$AQ$2*Costs!B85</f>
        <v>3.38</v>
      </c>
      <c r="D85" s="74">
        <f t="shared" si="19"/>
        <v>6.76</v>
      </c>
      <c r="E85" s="75">
        <f>D85*undergrid!$AQ$2</f>
        <v>3.38</v>
      </c>
      <c r="F85" s="73">
        <f>undergrid!E85</f>
        <v>7.298</v>
      </c>
      <c r="G85" s="74">
        <f>F85*undergrid!$AQ$3</f>
        <v>1.0217200000000002</v>
      </c>
      <c r="H85" s="74">
        <f t="shared" si="20"/>
        <v>7.298</v>
      </c>
      <c r="I85" s="75">
        <f>H85*undergrid!$AQ$3</f>
        <v>1.0217200000000002</v>
      </c>
      <c r="J85" s="73">
        <f>undergrid!G85</f>
        <v>0.13</v>
      </c>
      <c r="K85" s="75">
        <f t="shared" si="21"/>
        <v>0</v>
      </c>
      <c r="L85" s="73">
        <f>undergrid!I85</f>
        <v>0.15</v>
      </c>
      <c r="M85" s="75">
        <f t="shared" si="22"/>
        <v>0</v>
      </c>
      <c r="N85" s="81">
        <f>undergrid!K85</f>
        <v>1</v>
      </c>
      <c r="O85" s="82"/>
      <c r="P85" s="81">
        <f>undergrid!M85</f>
        <v>32.9</v>
      </c>
      <c r="Q85" s="82"/>
      <c r="R85" s="73">
        <f>undergrid!O85</f>
        <v>14.236205999999997</v>
      </c>
      <c r="S85" s="74">
        <f>R85*undergrid!$AQ$5</f>
        <v>5.6944823999999989E-5</v>
      </c>
      <c r="T85" s="75">
        <f>R85*(1-Graphs!$AD$1)</f>
        <v>0.71181030000000045</v>
      </c>
      <c r="U85" s="73">
        <f>undergrid!Q85</f>
        <v>30</v>
      </c>
      <c r="V85" s="75">
        <f>IF(U85&lt;0.001,0,P85*undergrid!$AQ$4)</f>
        <v>6.58E-5</v>
      </c>
      <c r="W85" s="73">
        <f>undergrid!S85</f>
        <v>0</v>
      </c>
      <c r="X85" s="106">
        <f>IF(undergrid!AI85&gt;0,(undergrid!$AQ$7*W85+undergrid!$AQ$8*undergrid!$AQ$9)*undergrid!$AQ$6,0)+undergrid!AG85*undergrid!$AQ$10</f>
        <v>0</v>
      </c>
      <c r="Y85" s="73">
        <f>undergrid!U85</f>
        <v>0</v>
      </c>
      <c r="Z85" s="74">
        <f>Y85*undergrid!$AQ$5</f>
        <v>0</v>
      </c>
      <c r="AA85" s="75">
        <f>Y85*(1-Graphs!$AD$2)</f>
        <v>0</v>
      </c>
      <c r="AB85" s="73">
        <f>undergrid!W85</f>
        <v>0</v>
      </c>
      <c r="AC85" s="75">
        <f t="shared" si="23"/>
        <v>0</v>
      </c>
      <c r="AD85" s="73">
        <f>undergrid!Y85</f>
        <v>0</v>
      </c>
      <c r="AE85" s="75">
        <f t="shared" si="24"/>
        <v>0</v>
      </c>
      <c r="AF85" s="109">
        <f>undergrid!AA85</f>
        <v>0</v>
      </c>
      <c r="AG85" s="110">
        <f>undergrid!AE85</f>
        <v>0</v>
      </c>
      <c r="AH85" s="93">
        <f t="shared" si="25"/>
        <v>15.942000000000002</v>
      </c>
      <c r="AI85" s="93">
        <f t="shared" si="26"/>
        <v>0</v>
      </c>
      <c r="AJ85" s="93">
        <f t="shared" si="27"/>
        <v>0</v>
      </c>
      <c r="AK85" s="93">
        <f>IF(AH85&gt;0.00001,undergrid!$AM$4,IF(Costs!AI85&gt;0.0001,((undergrid!$AQ$7*W85+undergrid!$AQ$8*undergrid!$AQ$9)*undergrid!$AQ$6)/W85,IF(Costs!AJ85&gt;0.0001,Costs!L85,0)))</f>
        <v>6.3317080478592676</v>
      </c>
      <c r="AL85" s="1">
        <v>84</v>
      </c>
      <c r="AM85" s="121">
        <f t="shared" si="17"/>
        <v>4.4017200000000001</v>
      </c>
      <c r="AN85" s="122">
        <f t="shared" si="28"/>
        <v>-1.22744824E-4</v>
      </c>
      <c r="AO85" s="123">
        <f t="shared" si="29"/>
        <v>4.4015972551760001</v>
      </c>
      <c r="AR85" s="114">
        <f t="shared" si="30"/>
        <v>28.294205999999996</v>
      </c>
      <c r="AS85" s="32">
        <f t="shared" si="31"/>
        <v>30</v>
      </c>
      <c r="AT85" s="33">
        <f t="shared" si="18"/>
        <v>1.7057940000000045</v>
      </c>
    </row>
    <row r="86" spans="1:46" x14ac:dyDescent="0.3">
      <c r="A86" s="4" t="str">
        <f>undergrid!B86</f>
        <v>h085</v>
      </c>
      <c r="B86" s="73">
        <f>undergrid!C86*2</f>
        <v>5.5</v>
      </c>
      <c r="C86" s="74">
        <f>undergrid!$AQ$2*Costs!B86</f>
        <v>2.75</v>
      </c>
      <c r="D86" s="74">
        <f t="shared" si="19"/>
        <v>5.5</v>
      </c>
      <c r="E86" s="75">
        <f>D86*undergrid!$AQ$2</f>
        <v>2.75</v>
      </c>
      <c r="F86" s="73">
        <f>undergrid!E86</f>
        <v>1.0529999999999999</v>
      </c>
      <c r="G86" s="74">
        <f>F86*undergrid!$AQ$3</f>
        <v>0.14742</v>
      </c>
      <c r="H86" s="74">
        <f t="shared" si="20"/>
        <v>1.0529999999999999</v>
      </c>
      <c r="I86" s="75">
        <f>H86*undergrid!$AQ$3</f>
        <v>0.14742</v>
      </c>
      <c r="J86" s="73">
        <f>undergrid!G86</f>
        <v>0.13</v>
      </c>
      <c r="K86" s="75">
        <f t="shared" si="21"/>
        <v>0</v>
      </c>
      <c r="L86" s="73">
        <f>undergrid!I86</f>
        <v>0.15</v>
      </c>
      <c r="M86" s="75">
        <f t="shared" si="22"/>
        <v>0</v>
      </c>
      <c r="N86" s="81">
        <f>undergrid!K86</f>
        <v>1</v>
      </c>
      <c r="O86" s="82"/>
      <c r="P86" s="81">
        <f>undergrid!M86</f>
        <v>31.31</v>
      </c>
      <c r="Q86" s="82"/>
      <c r="R86" s="73">
        <f>undergrid!O86</f>
        <v>20.938170999999997</v>
      </c>
      <c r="S86" s="74">
        <f>R86*undergrid!$AQ$5</f>
        <v>8.3752683999999985E-5</v>
      </c>
      <c r="T86" s="75">
        <f>R86*(1-Graphs!$AD$1)</f>
        <v>1.0469085500000008</v>
      </c>
      <c r="U86" s="73">
        <f>undergrid!Q86</f>
        <v>30</v>
      </c>
      <c r="V86" s="75">
        <f>IF(U86&lt;0.001,0,P86*undergrid!$AQ$4)</f>
        <v>6.2619999999999993E-5</v>
      </c>
      <c r="W86" s="73">
        <f>undergrid!S86</f>
        <v>0</v>
      </c>
      <c r="X86" s="106">
        <f>IF(undergrid!AI86&gt;0,(undergrid!$AQ$7*W86+undergrid!$AQ$8*undergrid!$AQ$9)*undergrid!$AQ$6,0)+undergrid!AG86*undergrid!$AQ$10</f>
        <v>0</v>
      </c>
      <c r="Y86" s="73">
        <f>undergrid!U86</f>
        <v>0</v>
      </c>
      <c r="Z86" s="74">
        <f>Y86*undergrid!$AQ$5</f>
        <v>0</v>
      </c>
      <c r="AA86" s="75">
        <f>Y86*(1-Graphs!$AD$2)</f>
        <v>0</v>
      </c>
      <c r="AB86" s="73">
        <f>undergrid!W86</f>
        <v>0</v>
      </c>
      <c r="AC86" s="75">
        <f t="shared" si="23"/>
        <v>0</v>
      </c>
      <c r="AD86" s="73">
        <f>undergrid!Y86</f>
        <v>0</v>
      </c>
      <c r="AE86" s="75">
        <f t="shared" si="24"/>
        <v>0</v>
      </c>
      <c r="AF86" s="109">
        <f>undergrid!AA86</f>
        <v>0</v>
      </c>
      <c r="AG86" s="110">
        <f>undergrid!AE86</f>
        <v>0</v>
      </c>
      <c r="AH86" s="93">
        <f t="shared" si="25"/>
        <v>23.446999999999999</v>
      </c>
      <c r="AI86" s="93">
        <f t="shared" si="26"/>
        <v>0</v>
      </c>
      <c r="AJ86" s="93">
        <f t="shared" si="27"/>
        <v>0</v>
      </c>
      <c r="AK86" s="93">
        <f>IF(AH86&gt;0.00001,undergrid!$AM$4,IF(Costs!AI86&gt;0.0001,((undergrid!$AQ$7*W86+undergrid!$AQ$8*undergrid!$AQ$9)*undergrid!$AQ$6)/W86,IF(Costs!AJ86&gt;0.0001,Costs!L86,0)))</f>
        <v>6.3317080478592676</v>
      </c>
      <c r="AL86" s="1">
        <v>85</v>
      </c>
      <c r="AM86" s="121">
        <f t="shared" si="17"/>
        <v>2.8974199999999999</v>
      </c>
      <c r="AN86" s="122">
        <f t="shared" si="28"/>
        <v>-1.4637268399999998E-4</v>
      </c>
      <c r="AO86" s="123">
        <f t="shared" si="29"/>
        <v>2.8972736273159998</v>
      </c>
      <c r="AR86" s="114">
        <f t="shared" si="30"/>
        <v>27.491170999999998</v>
      </c>
      <c r="AS86" s="32">
        <f t="shared" si="31"/>
        <v>30</v>
      </c>
      <c r="AT86" s="33">
        <f t="shared" si="18"/>
        <v>2.5088290000000022</v>
      </c>
    </row>
    <row r="87" spans="1:46" x14ac:dyDescent="0.3">
      <c r="A87" s="4" t="str">
        <f>undergrid!B87</f>
        <v>h086</v>
      </c>
      <c r="B87" s="73">
        <f>undergrid!C87*2</f>
        <v>10.64</v>
      </c>
      <c r="C87" s="74">
        <f>undergrid!$AQ$2*Costs!B87</f>
        <v>5.32</v>
      </c>
      <c r="D87" s="74">
        <f t="shared" si="19"/>
        <v>10.64</v>
      </c>
      <c r="E87" s="75">
        <f>D87*undergrid!$AQ$2</f>
        <v>5.32</v>
      </c>
      <c r="F87" s="73">
        <f>undergrid!E87</f>
        <v>1.2350000000000001</v>
      </c>
      <c r="G87" s="74">
        <f>F87*undergrid!$AQ$3</f>
        <v>0.17290000000000003</v>
      </c>
      <c r="H87" s="74">
        <f t="shared" si="20"/>
        <v>1.2350000000000001</v>
      </c>
      <c r="I87" s="75">
        <f>H87*undergrid!$AQ$3</f>
        <v>0.17290000000000003</v>
      </c>
      <c r="J87" s="73">
        <f>undergrid!G87</f>
        <v>0.13</v>
      </c>
      <c r="K87" s="75">
        <f t="shared" si="21"/>
        <v>1.1329500000000001</v>
      </c>
      <c r="L87" s="73">
        <f>undergrid!I87</f>
        <v>0.15</v>
      </c>
      <c r="M87" s="75">
        <f t="shared" si="22"/>
        <v>0</v>
      </c>
      <c r="N87" s="81">
        <f>undergrid!K87</f>
        <v>2</v>
      </c>
      <c r="O87" s="82"/>
      <c r="P87" s="81">
        <f>undergrid!M87</f>
        <v>20.59</v>
      </c>
      <c r="Q87" s="82"/>
      <c r="R87" s="73">
        <f>undergrid!O87</f>
        <v>0</v>
      </c>
      <c r="S87" s="74">
        <f>R87*undergrid!$AQ$5</f>
        <v>0</v>
      </c>
      <c r="T87" s="75">
        <f>R87*(1-Graphs!$AD$1)</f>
        <v>0</v>
      </c>
      <c r="U87" s="73">
        <f>undergrid!Q87</f>
        <v>20.59</v>
      </c>
      <c r="V87" s="75">
        <f>IF(U87&lt;0.001,0,P87*undergrid!$AQ$4)</f>
        <v>4.1179999999999995E-5</v>
      </c>
      <c r="W87" s="73">
        <f>undergrid!S87</f>
        <v>0</v>
      </c>
      <c r="X87" s="106">
        <f>IF(undergrid!AI87&gt;0,(undergrid!$AQ$7*W87+undergrid!$AQ$8*undergrid!$AQ$9)*undergrid!$AQ$6,0)+undergrid!AG87*undergrid!$AQ$10</f>
        <v>0</v>
      </c>
      <c r="Y87" s="73">
        <f>undergrid!U87</f>
        <v>0</v>
      </c>
      <c r="Z87" s="74">
        <f>Y87*undergrid!$AQ$5</f>
        <v>0</v>
      </c>
      <c r="AA87" s="75">
        <f>Y87*(1-Graphs!$AD$2)</f>
        <v>0</v>
      </c>
      <c r="AB87" s="73">
        <f>undergrid!W87</f>
        <v>0</v>
      </c>
      <c r="AC87" s="75">
        <f t="shared" si="23"/>
        <v>0</v>
      </c>
      <c r="AD87" s="73">
        <f>undergrid!Y87</f>
        <v>8.7149999999999999</v>
      </c>
      <c r="AE87" s="75">
        <f t="shared" si="24"/>
        <v>1.1329500000000001</v>
      </c>
      <c r="AF87" s="109">
        <f>undergrid!AA87</f>
        <v>0</v>
      </c>
      <c r="AG87" s="110">
        <f>undergrid!AE87</f>
        <v>0</v>
      </c>
      <c r="AH87" s="93">
        <f t="shared" si="25"/>
        <v>0</v>
      </c>
      <c r="AI87" s="93">
        <f t="shared" si="26"/>
        <v>0</v>
      </c>
      <c r="AJ87" s="93">
        <f t="shared" si="27"/>
        <v>0</v>
      </c>
      <c r="AK87" s="93">
        <f>IF(AH87&gt;0.00001,undergrid!$AM$4,IF(Costs!AI87&gt;0.0001,((undergrid!$AQ$7*W87+undergrid!$AQ$8*undergrid!$AQ$9)*undergrid!$AQ$6)/W87,IF(Costs!AJ87&gt;0.0001,Costs!L87,0)))</f>
        <v>0</v>
      </c>
      <c r="AL87" s="1">
        <v>86</v>
      </c>
      <c r="AM87" s="121">
        <f t="shared" si="17"/>
        <v>6.6258500000000007</v>
      </c>
      <c r="AN87" s="122">
        <f t="shared" si="28"/>
        <v>-4.1179999999999995E-5</v>
      </c>
      <c r="AO87" s="123">
        <f t="shared" si="29"/>
        <v>6.6258088200000005</v>
      </c>
      <c r="AR87" s="114">
        <f t="shared" si="30"/>
        <v>20.59</v>
      </c>
      <c r="AS87" s="32">
        <f t="shared" si="31"/>
        <v>20.59</v>
      </c>
      <c r="AT87" s="33">
        <f t="shared" si="18"/>
        <v>0</v>
      </c>
    </row>
    <row r="88" spans="1:46" x14ac:dyDescent="0.3">
      <c r="A88" s="4" t="str">
        <f>undergrid!B88</f>
        <v>h087</v>
      </c>
      <c r="B88" s="73">
        <f>undergrid!C88*2</f>
        <v>11.96</v>
      </c>
      <c r="C88" s="74">
        <f>undergrid!$AQ$2*Costs!B88</f>
        <v>5.98</v>
      </c>
      <c r="D88" s="74">
        <f t="shared" si="19"/>
        <v>11.96</v>
      </c>
      <c r="E88" s="75">
        <f>D88*undergrid!$AQ$2</f>
        <v>5.98</v>
      </c>
      <c r="F88" s="73">
        <f>undergrid!E88</f>
        <v>7.5</v>
      </c>
      <c r="G88" s="74">
        <f>F88*undergrid!$AQ$3</f>
        <v>1.05</v>
      </c>
      <c r="H88" s="74">
        <f t="shared" si="20"/>
        <v>7.5</v>
      </c>
      <c r="I88" s="75">
        <f>H88*undergrid!$AQ$3</f>
        <v>1.05</v>
      </c>
      <c r="J88" s="73">
        <f>undergrid!G88</f>
        <v>0.13</v>
      </c>
      <c r="K88" s="75">
        <f t="shared" si="21"/>
        <v>0</v>
      </c>
      <c r="L88" s="73">
        <f>undergrid!I88</f>
        <v>0.15</v>
      </c>
      <c r="M88" s="75">
        <f t="shared" si="22"/>
        <v>0.64470342548974469</v>
      </c>
      <c r="N88" s="81">
        <f>undergrid!K88</f>
        <v>2</v>
      </c>
      <c r="O88" s="82"/>
      <c r="P88" s="81">
        <f>undergrid!M88</f>
        <v>8.7799999999999994</v>
      </c>
      <c r="Q88" s="82"/>
      <c r="R88" s="73">
        <f>undergrid!O88</f>
        <v>0</v>
      </c>
      <c r="S88" s="74">
        <f>R88*undergrid!$AQ$5</f>
        <v>0</v>
      </c>
      <c r="T88" s="75">
        <f>R88*(1-Graphs!$AD$1)</f>
        <v>0</v>
      </c>
      <c r="U88" s="73">
        <f>undergrid!Q88</f>
        <v>8.7799999999999994</v>
      </c>
      <c r="V88" s="75">
        <f>IF(U88&lt;0.001,0,P88*undergrid!$AQ$4)</f>
        <v>1.7559999999999998E-5</v>
      </c>
      <c r="W88" s="73">
        <f>undergrid!S88</f>
        <v>0</v>
      </c>
      <c r="X88" s="106">
        <f>IF(undergrid!AI88&gt;0,(undergrid!$AQ$7*W88+undergrid!$AQ$8*undergrid!$AQ$9)*undergrid!$AQ$6,0)+undergrid!AG88*undergrid!$AQ$10</f>
        <v>0</v>
      </c>
      <c r="Y88" s="73">
        <f>undergrid!U88</f>
        <v>7.0910857371130049</v>
      </c>
      <c r="Z88" s="74">
        <f>Y88*undergrid!$AQ$5</f>
        <v>2.8364342948452017E-5</v>
      </c>
      <c r="AA88" s="75">
        <f>Y88*(1-Graphs!$AD$2)</f>
        <v>0.70910857371130032</v>
      </c>
      <c r="AB88" s="73">
        <f>undergrid!W88</f>
        <v>4.2980228365982978</v>
      </c>
      <c r="AC88" s="75">
        <f t="shared" si="23"/>
        <v>0.64470342548974469</v>
      </c>
      <c r="AD88" s="73">
        <f>undergrid!Y88</f>
        <v>0</v>
      </c>
      <c r="AE88" s="75">
        <f t="shared" si="24"/>
        <v>0</v>
      </c>
      <c r="AF88" s="109">
        <f>undergrid!AA88</f>
        <v>0</v>
      </c>
      <c r="AG88" s="110">
        <f>undergrid!AE88</f>
        <v>0</v>
      </c>
      <c r="AH88" s="93">
        <f t="shared" si="25"/>
        <v>0</v>
      </c>
      <c r="AI88" s="93">
        <f t="shared" si="26"/>
        <v>0</v>
      </c>
      <c r="AJ88" s="93">
        <f t="shared" si="27"/>
        <v>0</v>
      </c>
      <c r="AK88" s="93">
        <f>IF(AH88&gt;0.00001,undergrid!$AM$4,IF(Costs!AI88&gt;0.0001,((undergrid!$AQ$7*W88+undergrid!$AQ$8*undergrid!$AQ$9)*undergrid!$AQ$6)/W88,IF(Costs!AJ88&gt;0.0001,Costs!L88,0)))</f>
        <v>0</v>
      </c>
      <c r="AL88" s="1">
        <v>87</v>
      </c>
      <c r="AM88" s="121">
        <f t="shared" si="17"/>
        <v>7.03</v>
      </c>
      <c r="AN88" s="122">
        <f t="shared" si="28"/>
        <v>-0.64474934983269316</v>
      </c>
      <c r="AO88" s="123">
        <f t="shared" si="29"/>
        <v>6.3852506501673068</v>
      </c>
      <c r="AR88" s="114">
        <f t="shared" si="30"/>
        <v>19.46</v>
      </c>
      <c r="AS88" s="32">
        <f t="shared" si="31"/>
        <v>20.169108573711302</v>
      </c>
      <c r="AT88" s="33">
        <f t="shared" si="18"/>
        <v>0.7091085737113012</v>
      </c>
    </row>
    <row r="89" spans="1:46" x14ac:dyDescent="0.3">
      <c r="A89" s="4" t="str">
        <f>undergrid!B89</f>
        <v>h088</v>
      </c>
      <c r="B89" s="73">
        <f>undergrid!C89*2</f>
        <v>5.64</v>
      </c>
      <c r="C89" s="74">
        <f>undergrid!$AQ$2*Costs!B89</f>
        <v>2.82</v>
      </c>
      <c r="D89" s="74">
        <f t="shared" si="19"/>
        <v>5.64</v>
      </c>
      <c r="E89" s="75">
        <f>D89*undergrid!$AQ$2</f>
        <v>2.82</v>
      </c>
      <c r="F89" s="73">
        <f>undergrid!E89</f>
        <v>6.0860000000000003</v>
      </c>
      <c r="G89" s="74">
        <f>F89*undergrid!$AQ$3</f>
        <v>0.85204000000000013</v>
      </c>
      <c r="H89" s="74">
        <f t="shared" si="20"/>
        <v>6.0860000000000003</v>
      </c>
      <c r="I89" s="75">
        <f>H89*undergrid!$AQ$3</f>
        <v>0.85204000000000013</v>
      </c>
      <c r="J89" s="73">
        <f>undergrid!G89</f>
        <v>0.13</v>
      </c>
      <c r="K89" s="75">
        <f t="shared" si="21"/>
        <v>4.602000000000013E-2</v>
      </c>
      <c r="L89" s="73">
        <f>undergrid!I89</f>
        <v>0.15</v>
      </c>
      <c r="M89" s="75">
        <f t="shared" si="22"/>
        <v>0</v>
      </c>
      <c r="N89" s="81">
        <f>undergrid!K89</f>
        <v>2</v>
      </c>
      <c r="O89" s="82"/>
      <c r="P89" s="81">
        <f>undergrid!M89</f>
        <v>12.08</v>
      </c>
      <c r="Q89" s="82"/>
      <c r="R89" s="73">
        <f>undergrid!O89</f>
        <v>0</v>
      </c>
      <c r="S89" s="74">
        <f>R89*undergrid!$AQ$5</f>
        <v>0</v>
      </c>
      <c r="T89" s="75">
        <f>R89*(1-Graphs!$AD$1)</f>
        <v>0</v>
      </c>
      <c r="U89" s="73">
        <f>undergrid!Q89</f>
        <v>12.08</v>
      </c>
      <c r="V89" s="75">
        <f>IF(U89&lt;0.001,0,P89*undergrid!$AQ$4)</f>
        <v>2.4159999999999999E-5</v>
      </c>
      <c r="W89" s="73">
        <f>undergrid!S89</f>
        <v>0</v>
      </c>
      <c r="X89" s="106">
        <f>IF(undergrid!AI89&gt;0,(undergrid!$AQ$7*W89+undergrid!$AQ$8*undergrid!$AQ$9)*undergrid!$AQ$6,0)+undergrid!AG89*undergrid!$AQ$10</f>
        <v>0</v>
      </c>
      <c r="Y89" s="73">
        <f>undergrid!U89</f>
        <v>0</v>
      </c>
      <c r="Z89" s="74">
        <f>Y89*undergrid!$AQ$5</f>
        <v>0</v>
      </c>
      <c r="AA89" s="75">
        <f>Y89*(1-Graphs!$AD$2)</f>
        <v>0</v>
      </c>
      <c r="AB89" s="73">
        <f>undergrid!W89</f>
        <v>0</v>
      </c>
      <c r="AC89" s="75">
        <f t="shared" si="23"/>
        <v>0</v>
      </c>
      <c r="AD89" s="73">
        <f>undergrid!Y89</f>
        <v>0.35400000000000098</v>
      </c>
      <c r="AE89" s="75">
        <f t="shared" si="24"/>
        <v>4.602000000000013E-2</v>
      </c>
      <c r="AF89" s="109">
        <f>undergrid!AA89</f>
        <v>0</v>
      </c>
      <c r="AG89" s="110">
        <f>undergrid!AE89</f>
        <v>0</v>
      </c>
      <c r="AH89" s="93">
        <f t="shared" si="25"/>
        <v>0</v>
      </c>
      <c r="AI89" s="93">
        <f t="shared" si="26"/>
        <v>0</v>
      </c>
      <c r="AJ89" s="93">
        <f t="shared" si="27"/>
        <v>0</v>
      </c>
      <c r="AK89" s="93">
        <f>IF(AH89&gt;0.00001,undergrid!$AM$4,IF(Costs!AI89&gt;0.0001,((undergrid!$AQ$7*W89+undergrid!$AQ$8*undergrid!$AQ$9)*undergrid!$AQ$6)/W89,IF(Costs!AJ89&gt;0.0001,Costs!L89,0)))</f>
        <v>0</v>
      </c>
      <c r="AL89" s="1">
        <v>88</v>
      </c>
      <c r="AM89" s="121">
        <f t="shared" si="17"/>
        <v>3.7180599999999999</v>
      </c>
      <c r="AN89" s="122">
        <f t="shared" si="28"/>
        <v>-2.4159999999999999E-5</v>
      </c>
      <c r="AO89" s="123">
        <f t="shared" si="29"/>
        <v>3.7180358399999998</v>
      </c>
      <c r="AR89" s="114">
        <f t="shared" si="30"/>
        <v>12.08</v>
      </c>
      <c r="AS89" s="32">
        <f t="shared" si="31"/>
        <v>12.08</v>
      </c>
      <c r="AT89" s="33">
        <f t="shared" si="18"/>
        <v>0</v>
      </c>
    </row>
    <row r="90" spans="1:46" x14ac:dyDescent="0.3">
      <c r="A90" s="4" t="str">
        <f>undergrid!B90</f>
        <v>h089</v>
      </c>
      <c r="B90" s="73">
        <f>undergrid!C90*2</f>
        <v>4.0599999999999996</v>
      </c>
      <c r="C90" s="74">
        <f>undergrid!$AQ$2*Costs!B90</f>
        <v>2.0299999999999998</v>
      </c>
      <c r="D90" s="74">
        <f t="shared" si="19"/>
        <v>4.0599999999999996</v>
      </c>
      <c r="E90" s="75">
        <f>D90*undergrid!$AQ$2</f>
        <v>2.0299999999999998</v>
      </c>
      <c r="F90" s="73">
        <f>undergrid!E90</f>
        <v>4.3929999999999998</v>
      </c>
      <c r="G90" s="74">
        <f>F90*undergrid!$AQ$3</f>
        <v>0.61502000000000001</v>
      </c>
      <c r="H90" s="74">
        <f t="shared" si="20"/>
        <v>4.3929999999999998</v>
      </c>
      <c r="I90" s="75">
        <f>H90*undergrid!$AQ$3</f>
        <v>0.61502000000000001</v>
      </c>
      <c r="J90" s="73">
        <f>undergrid!G90</f>
        <v>0.13</v>
      </c>
      <c r="K90" s="75">
        <f t="shared" si="21"/>
        <v>0.37011000000000016</v>
      </c>
      <c r="L90" s="73">
        <f>undergrid!I90</f>
        <v>0.15</v>
      </c>
      <c r="M90" s="75">
        <f t="shared" si="22"/>
        <v>0</v>
      </c>
      <c r="N90" s="81">
        <f>undergrid!K90</f>
        <v>2</v>
      </c>
      <c r="O90" s="82"/>
      <c r="P90" s="81">
        <f>undergrid!M90</f>
        <v>11.3</v>
      </c>
      <c r="Q90" s="82"/>
      <c r="R90" s="73">
        <f>undergrid!O90</f>
        <v>0</v>
      </c>
      <c r="S90" s="74">
        <f>R90*undergrid!$AQ$5</f>
        <v>0</v>
      </c>
      <c r="T90" s="75">
        <f>R90*(1-Graphs!$AD$1)</f>
        <v>0</v>
      </c>
      <c r="U90" s="73">
        <f>undergrid!Q90</f>
        <v>11.3</v>
      </c>
      <c r="V90" s="75">
        <f>IF(U90&lt;0.001,0,P90*undergrid!$AQ$4)</f>
        <v>2.26E-5</v>
      </c>
      <c r="W90" s="73">
        <f>undergrid!S90</f>
        <v>0</v>
      </c>
      <c r="X90" s="106">
        <f>IF(undergrid!AI90&gt;0,(undergrid!$AQ$7*W90+undergrid!$AQ$8*undergrid!$AQ$9)*undergrid!$AQ$6,0)+undergrid!AG90*undergrid!$AQ$10</f>
        <v>0</v>
      </c>
      <c r="Y90" s="73">
        <f>undergrid!U90</f>
        <v>0</v>
      </c>
      <c r="Z90" s="74">
        <f>Y90*undergrid!$AQ$5</f>
        <v>0</v>
      </c>
      <c r="AA90" s="75">
        <f>Y90*(1-Graphs!$AD$2)</f>
        <v>0</v>
      </c>
      <c r="AB90" s="73">
        <f>undergrid!W90</f>
        <v>0</v>
      </c>
      <c r="AC90" s="75">
        <f t="shared" si="23"/>
        <v>0</v>
      </c>
      <c r="AD90" s="73">
        <f>undergrid!Y90</f>
        <v>2.8470000000000013</v>
      </c>
      <c r="AE90" s="75">
        <f t="shared" si="24"/>
        <v>0.37011000000000016</v>
      </c>
      <c r="AF90" s="109">
        <f>undergrid!AA90</f>
        <v>0</v>
      </c>
      <c r="AG90" s="110">
        <f>undergrid!AE90</f>
        <v>0</v>
      </c>
      <c r="AH90" s="93">
        <f t="shared" si="25"/>
        <v>0</v>
      </c>
      <c r="AI90" s="93">
        <f t="shared" si="26"/>
        <v>0</v>
      </c>
      <c r="AJ90" s="93">
        <f t="shared" si="27"/>
        <v>0</v>
      </c>
      <c r="AK90" s="93">
        <f>IF(AH90&gt;0.00001,undergrid!$AM$4,IF(Costs!AI90&gt;0.0001,((undergrid!$AQ$7*W90+undergrid!$AQ$8*undergrid!$AQ$9)*undergrid!$AQ$6)/W90,IF(Costs!AJ90&gt;0.0001,Costs!L90,0)))</f>
        <v>0</v>
      </c>
      <c r="AL90" s="1">
        <v>89</v>
      </c>
      <c r="AM90" s="121">
        <f t="shared" si="17"/>
        <v>3.0151300000000001</v>
      </c>
      <c r="AN90" s="122">
        <f t="shared" si="28"/>
        <v>-2.26E-5</v>
      </c>
      <c r="AO90" s="123">
        <f t="shared" si="29"/>
        <v>3.0151074000000002</v>
      </c>
      <c r="AR90" s="114">
        <f t="shared" si="30"/>
        <v>11.3</v>
      </c>
      <c r="AS90" s="32">
        <f t="shared" si="31"/>
        <v>11.3</v>
      </c>
      <c r="AT90" s="33">
        <f t="shared" si="18"/>
        <v>0</v>
      </c>
    </row>
    <row r="91" spans="1:46" x14ac:dyDescent="0.3">
      <c r="A91" s="4" t="str">
        <f>undergrid!B91</f>
        <v>h090</v>
      </c>
      <c r="B91" s="73">
        <f>undergrid!C91*2</f>
        <v>6.58</v>
      </c>
      <c r="C91" s="74">
        <f>undergrid!$AQ$2*Costs!B91</f>
        <v>3.29</v>
      </c>
      <c r="D91" s="74">
        <f t="shared" si="19"/>
        <v>6.58</v>
      </c>
      <c r="E91" s="75">
        <f>D91*undergrid!$AQ$2</f>
        <v>3.29</v>
      </c>
      <c r="F91" s="73">
        <f>undergrid!E91</f>
        <v>6.0250000000000004</v>
      </c>
      <c r="G91" s="74">
        <f>F91*undergrid!$AQ$3</f>
        <v>0.84350000000000014</v>
      </c>
      <c r="H91" s="74">
        <f t="shared" si="20"/>
        <v>6.0250000000000004</v>
      </c>
      <c r="I91" s="75">
        <f>H91*undergrid!$AQ$3</f>
        <v>0.84350000000000014</v>
      </c>
      <c r="J91" s="73">
        <f>undergrid!G91</f>
        <v>0.13</v>
      </c>
      <c r="K91" s="75">
        <f t="shared" si="21"/>
        <v>0</v>
      </c>
      <c r="L91" s="73">
        <f>undergrid!I91</f>
        <v>0.15</v>
      </c>
      <c r="M91" s="75">
        <f t="shared" si="22"/>
        <v>0.70725000000000005</v>
      </c>
      <c r="N91" s="81">
        <f>undergrid!K91</f>
        <v>2</v>
      </c>
      <c r="O91" s="82"/>
      <c r="P91" s="81">
        <f>undergrid!M91</f>
        <v>7.89</v>
      </c>
      <c r="Q91" s="82"/>
      <c r="R91" s="73">
        <f>undergrid!O91</f>
        <v>0</v>
      </c>
      <c r="S91" s="74">
        <f>R91*undergrid!$AQ$5</f>
        <v>0</v>
      </c>
      <c r="T91" s="75">
        <f>R91*(1-Graphs!$AD$1)</f>
        <v>0</v>
      </c>
      <c r="U91" s="73">
        <f>undergrid!Q91</f>
        <v>7.89</v>
      </c>
      <c r="V91" s="75">
        <f>IF(U91&lt;0.001,0,P91*undergrid!$AQ$4)</f>
        <v>1.5779999999999998E-5</v>
      </c>
      <c r="W91" s="73">
        <f>undergrid!S91</f>
        <v>0</v>
      </c>
      <c r="X91" s="106">
        <f>IF(undergrid!AI91&gt;0,(undergrid!$AQ$7*W91+undergrid!$AQ$8*undergrid!$AQ$9)*undergrid!$AQ$6,0)+undergrid!AG91*undergrid!$AQ$10</f>
        <v>0</v>
      </c>
      <c r="Y91" s="73">
        <f>undergrid!U91</f>
        <v>0</v>
      </c>
      <c r="Z91" s="74">
        <f>Y91*undergrid!$AQ$5</f>
        <v>0</v>
      </c>
      <c r="AA91" s="75">
        <f>Y91*(1-Graphs!$AD$2)</f>
        <v>0</v>
      </c>
      <c r="AB91" s="73">
        <f>undergrid!W91</f>
        <v>4.7150000000000007</v>
      </c>
      <c r="AC91" s="75">
        <f t="shared" si="23"/>
        <v>0.70725000000000005</v>
      </c>
      <c r="AD91" s="73">
        <f>undergrid!Y91</f>
        <v>0</v>
      </c>
      <c r="AE91" s="75">
        <f t="shared" si="24"/>
        <v>0</v>
      </c>
      <c r="AF91" s="109">
        <f>undergrid!AA91</f>
        <v>0</v>
      </c>
      <c r="AG91" s="110">
        <f>undergrid!AE91</f>
        <v>0</v>
      </c>
      <c r="AH91" s="93">
        <f t="shared" si="25"/>
        <v>0</v>
      </c>
      <c r="AI91" s="93">
        <f t="shared" si="26"/>
        <v>0</v>
      </c>
      <c r="AJ91" s="93">
        <f t="shared" si="27"/>
        <v>0</v>
      </c>
      <c r="AK91" s="93">
        <f>IF(AH91&gt;0.00001,undergrid!$AM$4,IF(Costs!AI91&gt;0.0001,((undergrid!$AQ$7*W91+undergrid!$AQ$8*undergrid!$AQ$9)*undergrid!$AQ$6)/W91,IF(Costs!AJ91&gt;0.0001,Costs!L91,0)))</f>
        <v>0</v>
      </c>
      <c r="AL91" s="1">
        <v>90</v>
      </c>
      <c r="AM91" s="121">
        <f t="shared" si="17"/>
        <v>4.1334999999999997</v>
      </c>
      <c r="AN91" s="122">
        <f t="shared" si="28"/>
        <v>-0.70726578000000007</v>
      </c>
      <c r="AO91" s="123">
        <f t="shared" si="29"/>
        <v>3.4262342199999996</v>
      </c>
      <c r="AR91" s="114">
        <f t="shared" si="30"/>
        <v>12.605</v>
      </c>
      <c r="AS91" s="32">
        <f t="shared" si="31"/>
        <v>12.605</v>
      </c>
      <c r="AT91" s="33">
        <f t="shared" si="18"/>
        <v>0</v>
      </c>
    </row>
    <row r="92" spans="1:46" x14ac:dyDescent="0.3">
      <c r="A92" s="4" t="str">
        <f>undergrid!B92</f>
        <v>h091</v>
      </c>
      <c r="B92" s="73">
        <f>undergrid!C92*2</f>
        <v>11.72</v>
      </c>
      <c r="C92" s="74">
        <f>undergrid!$AQ$2*Costs!B92</f>
        <v>5.86</v>
      </c>
      <c r="D92" s="74">
        <f t="shared" si="19"/>
        <v>11.72</v>
      </c>
      <c r="E92" s="75">
        <f>D92*undergrid!$AQ$2</f>
        <v>5.86</v>
      </c>
      <c r="F92" s="73">
        <f>undergrid!E92</f>
        <v>4.7830000000000004</v>
      </c>
      <c r="G92" s="74">
        <f>F92*undergrid!$AQ$3</f>
        <v>0.6696200000000001</v>
      </c>
      <c r="H92" s="74">
        <f t="shared" si="20"/>
        <v>4.7830000000000004</v>
      </c>
      <c r="I92" s="75">
        <f>H92*undergrid!$AQ$3</f>
        <v>0.6696200000000001</v>
      </c>
      <c r="J92" s="73">
        <f>undergrid!G92</f>
        <v>0.13</v>
      </c>
      <c r="K92" s="75">
        <f t="shared" si="21"/>
        <v>0</v>
      </c>
      <c r="L92" s="73">
        <f>undergrid!I92</f>
        <v>0.15</v>
      </c>
      <c r="M92" s="75">
        <f t="shared" si="22"/>
        <v>2.4754499999039998</v>
      </c>
      <c r="N92" s="81">
        <f>undergrid!K92</f>
        <v>2</v>
      </c>
      <c r="O92" s="82"/>
      <c r="P92" s="81">
        <f>undergrid!M92</f>
        <v>6.3999999999999996E-10</v>
      </c>
      <c r="Q92" s="82"/>
      <c r="R92" s="73">
        <f>undergrid!O92</f>
        <v>0</v>
      </c>
      <c r="S92" s="74">
        <f>R92*undergrid!$AQ$5</f>
        <v>0</v>
      </c>
      <c r="T92" s="75">
        <f>R92*(1-Graphs!$AD$1)</f>
        <v>0</v>
      </c>
      <c r="U92" s="73">
        <f>undergrid!Q92</f>
        <v>0</v>
      </c>
      <c r="V92" s="75">
        <f>IF(U92&lt;0.001,0,P92*undergrid!$AQ$4)</f>
        <v>0</v>
      </c>
      <c r="W92" s="73">
        <f>undergrid!S92</f>
        <v>0</v>
      </c>
      <c r="X92" s="106">
        <f>IF(undergrid!AI92&gt;0,(undergrid!$AQ$7*W92+undergrid!$AQ$8*undergrid!$AQ$9)*undergrid!$AQ$6,0)+undergrid!AG92*undergrid!$AQ$10</f>
        <v>0</v>
      </c>
      <c r="Y92" s="73">
        <f>undergrid!U92</f>
        <v>0</v>
      </c>
      <c r="Z92" s="74">
        <f>Y92*undergrid!$AQ$5</f>
        <v>0</v>
      </c>
      <c r="AA92" s="75">
        <f>Y92*(1-Graphs!$AD$2)</f>
        <v>0</v>
      </c>
      <c r="AB92" s="73">
        <f>undergrid!W92</f>
        <v>16.50299999936</v>
      </c>
      <c r="AC92" s="75">
        <f t="shared" si="23"/>
        <v>2.4754499999039998</v>
      </c>
      <c r="AD92" s="73">
        <f>undergrid!Y92</f>
        <v>0</v>
      </c>
      <c r="AE92" s="75">
        <f t="shared" si="24"/>
        <v>0</v>
      </c>
      <c r="AF92" s="109">
        <f>undergrid!AA92</f>
        <v>0</v>
      </c>
      <c r="AG92" s="110">
        <f>undergrid!AE92</f>
        <v>0</v>
      </c>
      <c r="AH92" s="93">
        <f t="shared" si="25"/>
        <v>0</v>
      </c>
      <c r="AI92" s="93">
        <f t="shared" si="26"/>
        <v>0</v>
      </c>
      <c r="AJ92" s="93">
        <f t="shared" si="27"/>
        <v>0</v>
      </c>
      <c r="AK92" s="93">
        <f>IF(AH92&gt;0.00001,undergrid!$AM$4,IF(Costs!AI92&gt;0.0001,((undergrid!$AQ$7*W92+undergrid!$AQ$8*undergrid!$AQ$9)*undergrid!$AQ$6)/W92,IF(Costs!AJ92&gt;0.0001,Costs!L92,0)))</f>
        <v>0</v>
      </c>
      <c r="AL92" s="1">
        <v>91</v>
      </c>
      <c r="AM92" s="121">
        <f t="shared" si="17"/>
        <v>6.5296200000000004</v>
      </c>
      <c r="AN92" s="122">
        <f t="shared" si="28"/>
        <v>-2.4754499999039998</v>
      </c>
      <c r="AO92" s="123">
        <f t="shared" si="29"/>
        <v>4.0541700000960006</v>
      </c>
      <c r="AR92" s="114">
        <f t="shared" si="30"/>
        <v>16.503</v>
      </c>
      <c r="AS92" s="32">
        <f t="shared" si="31"/>
        <v>16.50299999936</v>
      </c>
      <c r="AT92" s="33">
        <f t="shared" si="18"/>
        <v>-6.4000005295383744E-10</v>
      </c>
    </row>
    <row r="93" spans="1:46" x14ac:dyDescent="0.3">
      <c r="A93" s="4" t="str">
        <f>undergrid!B93</f>
        <v>h092</v>
      </c>
      <c r="B93" s="73">
        <f>undergrid!C93*2</f>
        <v>4.82</v>
      </c>
      <c r="C93" s="74">
        <f>undergrid!$AQ$2*Costs!B93</f>
        <v>2.41</v>
      </c>
      <c r="D93" s="74">
        <f t="shared" si="19"/>
        <v>4.82</v>
      </c>
      <c r="E93" s="75">
        <f>D93*undergrid!$AQ$2</f>
        <v>2.41</v>
      </c>
      <c r="F93" s="73">
        <f>undergrid!E93</f>
        <v>3.1890000000000001</v>
      </c>
      <c r="G93" s="74">
        <f>F93*undergrid!$AQ$3</f>
        <v>0.44646000000000002</v>
      </c>
      <c r="H93" s="74">
        <f t="shared" si="20"/>
        <v>3.1890000000000001</v>
      </c>
      <c r="I93" s="75">
        <f>H93*undergrid!$AQ$3</f>
        <v>0.44646000000000002</v>
      </c>
      <c r="J93" s="73">
        <f>undergrid!G93</f>
        <v>0.13</v>
      </c>
      <c r="K93" s="75">
        <f t="shared" si="21"/>
        <v>0</v>
      </c>
      <c r="L93" s="73">
        <f>undergrid!I93</f>
        <v>0.15</v>
      </c>
      <c r="M93" s="75">
        <f t="shared" si="22"/>
        <v>0</v>
      </c>
      <c r="N93" s="81">
        <f>undergrid!K93</f>
        <v>1</v>
      </c>
      <c r="O93" s="82"/>
      <c r="P93" s="81">
        <f>undergrid!M93</f>
        <v>6.3999999999999996E-10</v>
      </c>
      <c r="Q93" s="82"/>
      <c r="R93" s="73">
        <f>undergrid!O93</f>
        <v>0</v>
      </c>
      <c r="S93" s="74">
        <f>R93*undergrid!$AQ$5</f>
        <v>0</v>
      </c>
      <c r="T93" s="75">
        <f>R93*(1-Graphs!$AD$1)</f>
        <v>0</v>
      </c>
      <c r="U93" s="73">
        <f>undergrid!Q93</f>
        <v>0</v>
      </c>
      <c r="V93" s="75">
        <f>IF(U93&lt;0.001,0,P93*undergrid!$AQ$4)</f>
        <v>0</v>
      </c>
      <c r="W93" s="73">
        <f>undergrid!S93</f>
        <v>0</v>
      </c>
      <c r="X93" s="106">
        <f>IF(undergrid!AI93&gt;0,(undergrid!$AQ$7*W93+undergrid!$AQ$8*undergrid!$AQ$9)*undergrid!$AQ$6,0)+undergrid!AG93*undergrid!$AQ$10</f>
        <v>0</v>
      </c>
      <c r="Y93" s="73">
        <f>undergrid!U93</f>
        <v>8.8988888881777779</v>
      </c>
      <c r="Z93" s="74">
        <f>Y93*undergrid!$AQ$5</f>
        <v>3.5595555552711108E-5</v>
      </c>
      <c r="AA93" s="75">
        <f>Y93*(1-Graphs!$AD$2)</f>
        <v>0.88988888881777761</v>
      </c>
      <c r="AB93" s="73">
        <f>undergrid!W93</f>
        <v>0</v>
      </c>
      <c r="AC93" s="75">
        <f t="shared" si="23"/>
        <v>0</v>
      </c>
      <c r="AD93" s="73">
        <f>undergrid!Y93</f>
        <v>0</v>
      </c>
      <c r="AE93" s="75">
        <f t="shared" si="24"/>
        <v>0</v>
      </c>
      <c r="AF93" s="109">
        <f>undergrid!AA93</f>
        <v>0</v>
      </c>
      <c r="AG93" s="110">
        <f>undergrid!AE93</f>
        <v>0</v>
      </c>
      <c r="AH93" s="93">
        <f t="shared" si="25"/>
        <v>0</v>
      </c>
      <c r="AI93" s="93">
        <f t="shared" si="26"/>
        <v>0</v>
      </c>
      <c r="AJ93" s="93">
        <f t="shared" si="27"/>
        <v>0</v>
      </c>
      <c r="AK93" s="93">
        <f>IF(AH93&gt;0.00001,undergrid!$AM$4,IF(Costs!AI93&gt;0.0001,((undergrid!$AQ$7*W93+undergrid!$AQ$8*undergrid!$AQ$9)*undergrid!$AQ$6)/W93,IF(Costs!AJ93&gt;0.0001,Costs!L93,0)))</f>
        <v>0</v>
      </c>
      <c r="AL93" s="1">
        <v>92</v>
      </c>
      <c r="AM93" s="121">
        <f t="shared" si="17"/>
        <v>2.8564600000000002</v>
      </c>
      <c r="AN93" s="122">
        <f t="shared" si="28"/>
        <v>-3.5595555552711108E-5</v>
      </c>
      <c r="AO93" s="123">
        <f t="shared" si="29"/>
        <v>2.8564244044444473</v>
      </c>
      <c r="AR93" s="114">
        <f t="shared" si="30"/>
        <v>8.0090000000000003</v>
      </c>
      <c r="AS93" s="32">
        <f t="shared" si="31"/>
        <v>8.8988888881777779</v>
      </c>
      <c r="AT93" s="33">
        <f t="shared" si="18"/>
        <v>0.88988888817777756</v>
      </c>
    </row>
    <row r="94" spans="1:46" x14ac:dyDescent="0.3">
      <c r="A94" s="4" t="str">
        <f>undergrid!B94</f>
        <v>h093</v>
      </c>
      <c r="B94" s="73">
        <f>undergrid!C94*2</f>
        <v>14.8</v>
      </c>
      <c r="C94" s="74">
        <f>undergrid!$AQ$2*Costs!B94</f>
        <v>7.4</v>
      </c>
      <c r="D94" s="74">
        <f t="shared" si="19"/>
        <v>14.8</v>
      </c>
      <c r="E94" s="75">
        <f>D94*undergrid!$AQ$2</f>
        <v>7.4</v>
      </c>
      <c r="F94" s="73">
        <f>undergrid!E94</f>
        <v>2.6920000000000002</v>
      </c>
      <c r="G94" s="74">
        <f>F94*undergrid!$AQ$3</f>
        <v>0.37688000000000005</v>
      </c>
      <c r="H94" s="74">
        <f t="shared" si="20"/>
        <v>2.6920000000000002</v>
      </c>
      <c r="I94" s="75">
        <f>H94*undergrid!$AQ$3</f>
        <v>0.37688000000000005</v>
      </c>
      <c r="J94" s="73">
        <f>undergrid!G94</f>
        <v>0.13</v>
      </c>
      <c r="K94" s="75">
        <f t="shared" si="21"/>
        <v>0</v>
      </c>
      <c r="L94" s="73">
        <f>undergrid!I94</f>
        <v>0.15</v>
      </c>
      <c r="M94" s="75">
        <f t="shared" si="22"/>
        <v>0</v>
      </c>
      <c r="N94" s="81">
        <f>undergrid!K94</f>
        <v>1</v>
      </c>
      <c r="O94" s="82"/>
      <c r="P94" s="81">
        <f>undergrid!M94</f>
        <v>6.3999999999999996E-10</v>
      </c>
      <c r="Q94" s="82"/>
      <c r="R94" s="73">
        <f>undergrid!O94</f>
        <v>0</v>
      </c>
      <c r="S94" s="74">
        <f>R94*undergrid!$AQ$5</f>
        <v>0</v>
      </c>
      <c r="T94" s="75">
        <f>R94*(1-Graphs!$AD$1)</f>
        <v>0</v>
      </c>
      <c r="U94" s="73">
        <f>undergrid!Q94</f>
        <v>0</v>
      </c>
      <c r="V94" s="75">
        <f>IF(U94&lt;0.001,0,P94*undergrid!$AQ$4)</f>
        <v>0</v>
      </c>
      <c r="W94" s="73">
        <f>undergrid!S94</f>
        <v>0</v>
      </c>
      <c r="X94" s="106">
        <f>IF(undergrid!AI94&gt;0,(undergrid!$AQ$7*W94+undergrid!$AQ$8*undergrid!$AQ$9)*undergrid!$AQ$6,0)+undergrid!AG94*undergrid!$AQ$10</f>
        <v>0</v>
      </c>
      <c r="Y94" s="73">
        <f>undergrid!U94</f>
        <v>19.435555554844445</v>
      </c>
      <c r="Z94" s="74">
        <f>Y94*undergrid!$AQ$5</f>
        <v>7.7742222219377775E-5</v>
      </c>
      <c r="AA94" s="75">
        <f>Y94*(1-Graphs!$AD$2)</f>
        <v>1.9435555554844441</v>
      </c>
      <c r="AB94" s="73">
        <f>undergrid!W94</f>
        <v>0</v>
      </c>
      <c r="AC94" s="75">
        <f t="shared" si="23"/>
        <v>0</v>
      </c>
      <c r="AD94" s="73">
        <f>undergrid!Y94</f>
        <v>0</v>
      </c>
      <c r="AE94" s="75">
        <f t="shared" si="24"/>
        <v>0</v>
      </c>
      <c r="AF94" s="109">
        <f>undergrid!AA94</f>
        <v>0</v>
      </c>
      <c r="AG94" s="110">
        <f>undergrid!AE94</f>
        <v>0</v>
      </c>
      <c r="AH94" s="93">
        <f t="shared" si="25"/>
        <v>0</v>
      </c>
      <c r="AI94" s="93">
        <f t="shared" si="26"/>
        <v>0</v>
      </c>
      <c r="AJ94" s="93">
        <f t="shared" si="27"/>
        <v>0</v>
      </c>
      <c r="AK94" s="93">
        <f>IF(AH94&gt;0.00001,undergrid!$AM$4,IF(Costs!AI94&gt;0.0001,((undergrid!$AQ$7*W94+undergrid!$AQ$8*undergrid!$AQ$9)*undergrid!$AQ$6)/W94,IF(Costs!AJ94&gt;0.0001,Costs!L94,0)))</f>
        <v>0</v>
      </c>
      <c r="AL94" s="1">
        <v>93</v>
      </c>
      <c r="AM94" s="121">
        <f t="shared" si="17"/>
        <v>7.7768800000000002</v>
      </c>
      <c r="AN94" s="122">
        <f t="shared" si="28"/>
        <v>-7.7742222219377775E-5</v>
      </c>
      <c r="AO94" s="123">
        <f t="shared" si="29"/>
        <v>7.7768022577777804</v>
      </c>
      <c r="AR94" s="114">
        <f t="shared" si="30"/>
        <v>17.492000000000001</v>
      </c>
      <c r="AS94" s="32">
        <f t="shared" si="31"/>
        <v>19.435555554844445</v>
      </c>
      <c r="AT94" s="33">
        <f t="shared" si="18"/>
        <v>1.9435555548444441</v>
      </c>
    </row>
    <row r="95" spans="1:46" x14ac:dyDescent="0.3">
      <c r="A95" s="4" t="str">
        <f>undergrid!B95</f>
        <v>h094</v>
      </c>
      <c r="B95" s="73">
        <f>undergrid!C95*2</f>
        <v>18.940000000000001</v>
      </c>
      <c r="C95" s="74">
        <f>undergrid!$AQ$2*Costs!B95</f>
        <v>9.4700000000000006</v>
      </c>
      <c r="D95" s="74">
        <f t="shared" si="19"/>
        <v>18.940000000000001</v>
      </c>
      <c r="E95" s="75">
        <f>D95*undergrid!$AQ$2</f>
        <v>9.4700000000000006</v>
      </c>
      <c r="F95" s="73">
        <f>undergrid!E95</f>
        <v>2.2010000000000001</v>
      </c>
      <c r="G95" s="74">
        <f>F95*undergrid!$AQ$3</f>
        <v>0.30814000000000002</v>
      </c>
      <c r="H95" s="74">
        <f t="shared" si="20"/>
        <v>2.2010000000000001</v>
      </c>
      <c r="I95" s="75">
        <f>H95*undergrid!$AQ$3</f>
        <v>0.30814000000000002</v>
      </c>
      <c r="J95" s="73">
        <f>undergrid!G95</f>
        <v>0.13</v>
      </c>
      <c r="K95" s="75">
        <f t="shared" si="21"/>
        <v>0</v>
      </c>
      <c r="L95" s="73">
        <f>undergrid!I95</f>
        <v>0.15</v>
      </c>
      <c r="M95" s="75">
        <f t="shared" si="22"/>
        <v>0</v>
      </c>
      <c r="N95" s="81">
        <f>undergrid!K95</f>
        <v>1</v>
      </c>
      <c r="O95" s="82"/>
      <c r="P95" s="81">
        <f>undergrid!M95</f>
        <v>6.3999999999999996E-10</v>
      </c>
      <c r="Q95" s="82"/>
      <c r="R95" s="73">
        <f>undergrid!O95</f>
        <v>0</v>
      </c>
      <c r="S95" s="74">
        <f>R95*undergrid!$AQ$5</f>
        <v>0</v>
      </c>
      <c r="T95" s="75">
        <f>R95*(1-Graphs!$AD$1)</f>
        <v>0</v>
      </c>
      <c r="U95" s="73">
        <f>undergrid!Q95</f>
        <v>0</v>
      </c>
      <c r="V95" s="75">
        <f>IF(U95&lt;0.001,0,P95*undergrid!$AQ$4)</f>
        <v>0</v>
      </c>
      <c r="W95" s="73">
        <f>undergrid!S95</f>
        <v>0</v>
      </c>
      <c r="X95" s="106">
        <f>IF(undergrid!AI95&gt;0,(undergrid!$AQ$7*W95+undergrid!$AQ$8*undergrid!$AQ$9)*undergrid!$AQ$6,0)+undergrid!AG95*undergrid!$AQ$10</f>
        <v>0</v>
      </c>
      <c r="Y95" s="73">
        <f>undergrid!U95</f>
        <v>23.489999999288891</v>
      </c>
      <c r="Z95" s="74">
        <f>Y95*undergrid!$AQ$5</f>
        <v>9.3959999997155557E-5</v>
      </c>
      <c r="AA95" s="75">
        <f>Y95*(1-Graphs!$AD$2)</f>
        <v>2.3489999999288886</v>
      </c>
      <c r="AB95" s="73">
        <f>undergrid!W95</f>
        <v>0</v>
      </c>
      <c r="AC95" s="75">
        <f t="shared" si="23"/>
        <v>0</v>
      </c>
      <c r="AD95" s="73">
        <f>undergrid!Y95</f>
        <v>0</v>
      </c>
      <c r="AE95" s="75">
        <f t="shared" si="24"/>
        <v>0</v>
      </c>
      <c r="AF95" s="109">
        <f>undergrid!AA95</f>
        <v>0</v>
      </c>
      <c r="AG95" s="110">
        <f>undergrid!AE95</f>
        <v>0</v>
      </c>
      <c r="AH95" s="93">
        <f t="shared" si="25"/>
        <v>0</v>
      </c>
      <c r="AI95" s="93">
        <f t="shared" si="26"/>
        <v>0</v>
      </c>
      <c r="AJ95" s="93">
        <f t="shared" si="27"/>
        <v>0</v>
      </c>
      <c r="AK95" s="93">
        <f>IF(AH95&gt;0.00001,undergrid!$AM$4,IF(Costs!AI95&gt;0.0001,((undergrid!$AQ$7*W95+undergrid!$AQ$8*undergrid!$AQ$9)*undergrid!$AQ$6)/W95,IF(Costs!AJ95&gt;0.0001,Costs!L95,0)))</f>
        <v>0</v>
      </c>
      <c r="AL95" s="1">
        <v>94</v>
      </c>
      <c r="AM95" s="121">
        <f t="shared" si="17"/>
        <v>9.7781400000000005</v>
      </c>
      <c r="AN95" s="122">
        <f t="shared" si="28"/>
        <v>-9.3959999997155557E-5</v>
      </c>
      <c r="AO95" s="123">
        <f t="shared" si="29"/>
        <v>9.7780460400000031</v>
      </c>
      <c r="AR95" s="114">
        <f t="shared" si="30"/>
        <v>21.141000000000002</v>
      </c>
      <c r="AS95" s="32">
        <f t="shared" si="31"/>
        <v>23.489999999288891</v>
      </c>
      <c r="AT95" s="33">
        <f t="shared" si="18"/>
        <v>2.348999999288889</v>
      </c>
    </row>
    <row r="96" spans="1:46" x14ac:dyDescent="0.3">
      <c r="A96" s="4" t="str">
        <f>undergrid!B96</f>
        <v>h095</v>
      </c>
      <c r="B96" s="73">
        <f>undergrid!C96*2</f>
        <v>7.58</v>
      </c>
      <c r="C96" s="74">
        <f>undergrid!$AQ$2*Costs!B96</f>
        <v>3.79</v>
      </c>
      <c r="D96" s="74">
        <f t="shared" si="19"/>
        <v>7.58</v>
      </c>
      <c r="E96" s="75">
        <f>D96*undergrid!$AQ$2</f>
        <v>3.79</v>
      </c>
      <c r="F96" s="73">
        <f>undergrid!E96</f>
        <v>2.3490000000000002</v>
      </c>
      <c r="G96" s="74">
        <f>F96*undergrid!$AQ$3</f>
        <v>0.32886000000000004</v>
      </c>
      <c r="H96" s="74">
        <f t="shared" si="20"/>
        <v>2.3490000000000002</v>
      </c>
      <c r="I96" s="75">
        <f>H96*undergrid!$AQ$3</f>
        <v>0.32886000000000004</v>
      </c>
      <c r="J96" s="73">
        <f>undergrid!G96</f>
        <v>0.08</v>
      </c>
      <c r="K96" s="75">
        <f t="shared" si="21"/>
        <v>0</v>
      </c>
      <c r="L96" s="73">
        <f>undergrid!I96</f>
        <v>0.1</v>
      </c>
      <c r="M96" s="75">
        <f t="shared" si="22"/>
        <v>0</v>
      </c>
      <c r="N96" s="81">
        <f>undergrid!K96</f>
        <v>1</v>
      </c>
      <c r="O96" s="82"/>
      <c r="P96" s="81">
        <f>undergrid!M96</f>
        <v>6.3999999999999996E-10</v>
      </c>
      <c r="Q96" s="82"/>
      <c r="R96" s="73">
        <f>undergrid!O96</f>
        <v>0</v>
      </c>
      <c r="S96" s="74">
        <f>R96*undergrid!$AQ$5</f>
        <v>0</v>
      </c>
      <c r="T96" s="75">
        <f>R96*(1-Graphs!$AD$1)</f>
        <v>0</v>
      </c>
      <c r="U96" s="73">
        <f>undergrid!Q96</f>
        <v>0</v>
      </c>
      <c r="V96" s="75">
        <f>IF(U96&lt;0.001,0,P96*undergrid!$AQ$4)</f>
        <v>0</v>
      </c>
      <c r="W96" s="73">
        <f>undergrid!S96</f>
        <v>0</v>
      </c>
      <c r="X96" s="106">
        <f>IF(undergrid!AI96&gt;0,(undergrid!$AQ$7*W96+undergrid!$AQ$8*undergrid!$AQ$9)*undergrid!$AQ$6,0)+undergrid!AG96*undergrid!$AQ$10</f>
        <v>0</v>
      </c>
      <c r="Y96" s="73">
        <f>undergrid!U96</f>
        <v>11.032222221511113</v>
      </c>
      <c r="Z96" s="74">
        <f>Y96*undergrid!$AQ$5</f>
        <v>4.412888888604445E-5</v>
      </c>
      <c r="AA96" s="75">
        <f>Y96*(1-Graphs!$AD$2)</f>
        <v>1.103222222151111</v>
      </c>
      <c r="AB96" s="73">
        <f>undergrid!W96</f>
        <v>0</v>
      </c>
      <c r="AC96" s="75">
        <f t="shared" si="23"/>
        <v>0</v>
      </c>
      <c r="AD96" s="73">
        <f>undergrid!Y96</f>
        <v>0</v>
      </c>
      <c r="AE96" s="75">
        <f t="shared" si="24"/>
        <v>0</v>
      </c>
      <c r="AF96" s="109">
        <f>undergrid!AA96</f>
        <v>0</v>
      </c>
      <c r="AG96" s="110">
        <f>undergrid!AE96</f>
        <v>0</v>
      </c>
      <c r="AH96" s="93">
        <f t="shared" si="25"/>
        <v>0</v>
      </c>
      <c r="AI96" s="93">
        <f t="shared" si="26"/>
        <v>0</v>
      </c>
      <c r="AJ96" s="93">
        <f t="shared" si="27"/>
        <v>0</v>
      </c>
      <c r="AK96" s="93">
        <f>IF(AH96&gt;0.00001,undergrid!$AM$4,IF(Costs!AI96&gt;0.0001,((undergrid!$AQ$7*W96+undergrid!$AQ$8*undergrid!$AQ$9)*undergrid!$AQ$6)/W96,IF(Costs!AJ96&gt;0.0001,Costs!L96,0)))</f>
        <v>0</v>
      </c>
      <c r="AL96" s="1">
        <v>95</v>
      </c>
      <c r="AM96" s="121">
        <f t="shared" si="17"/>
        <v>4.1188599999999997</v>
      </c>
      <c r="AN96" s="122">
        <f t="shared" si="28"/>
        <v>-4.412888888604445E-5</v>
      </c>
      <c r="AO96" s="123">
        <f t="shared" si="29"/>
        <v>4.1188158711111136</v>
      </c>
      <c r="AR96" s="114">
        <f t="shared" si="30"/>
        <v>9.9290000000000003</v>
      </c>
      <c r="AS96" s="32">
        <f t="shared" si="31"/>
        <v>11.032222221511113</v>
      </c>
      <c r="AT96" s="33">
        <f t="shared" si="18"/>
        <v>1.1032222215111123</v>
      </c>
    </row>
    <row r="97" spans="1:46" x14ac:dyDescent="0.3">
      <c r="A97" s="4" t="str">
        <f>undergrid!B97</f>
        <v>h096</v>
      </c>
      <c r="B97" s="73">
        <f>undergrid!C97*2</f>
        <v>6</v>
      </c>
      <c r="C97" s="74">
        <f>undergrid!$AQ$2*Costs!B97</f>
        <v>3</v>
      </c>
      <c r="D97" s="74">
        <f t="shared" si="19"/>
        <v>6</v>
      </c>
      <c r="E97" s="75">
        <f>D97*undergrid!$AQ$2</f>
        <v>3</v>
      </c>
      <c r="F97" s="73">
        <f>undergrid!E97</f>
        <v>2.3519999999999999</v>
      </c>
      <c r="G97" s="74">
        <f>F97*undergrid!$AQ$3</f>
        <v>0.32928000000000002</v>
      </c>
      <c r="H97" s="74">
        <f t="shared" si="20"/>
        <v>2.3519999999999999</v>
      </c>
      <c r="I97" s="75">
        <f>H97*undergrid!$AQ$3</f>
        <v>0.32928000000000002</v>
      </c>
      <c r="J97" s="73">
        <f>undergrid!G97</f>
        <v>0.08</v>
      </c>
      <c r="K97" s="75">
        <f t="shared" si="21"/>
        <v>0</v>
      </c>
      <c r="L97" s="73">
        <f>undergrid!I97</f>
        <v>0.1</v>
      </c>
      <c r="M97" s="75">
        <f t="shared" si="22"/>
        <v>0.83538812983521593</v>
      </c>
      <c r="N97" s="81">
        <f>undergrid!K97</f>
        <v>2</v>
      </c>
      <c r="O97" s="82"/>
      <c r="P97" s="81">
        <f>undergrid!M97</f>
        <v>6.3999999999999996E-10</v>
      </c>
      <c r="Q97" s="82"/>
      <c r="R97" s="73">
        <f>undergrid!O97</f>
        <v>1.6799999999967952E-3</v>
      </c>
      <c r="S97" s="74">
        <f>R97*undergrid!$AQ$5</f>
        <v>6.7199999999871803E-9</v>
      </c>
      <c r="T97" s="75">
        <f>R97*(1-Graphs!$AD$1)</f>
        <v>8.3999999999839832E-5</v>
      </c>
      <c r="U97" s="73">
        <f>undergrid!Q97</f>
        <v>0</v>
      </c>
      <c r="V97" s="75">
        <f>IF(U97&lt;0.001,0,P97*undergrid!$AQ$4)</f>
        <v>0</v>
      </c>
      <c r="W97" s="73">
        <f>undergrid!S97</f>
        <v>0</v>
      </c>
      <c r="X97" s="106">
        <f>IF(undergrid!AI97&gt;0,(undergrid!$AQ$7*W97+undergrid!$AQ$8*undergrid!$AQ$9)*undergrid!$AQ$6,0)+undergrid!AG97*undergrid!$AQ$10</f>
        <v>0</v>
      </c>
      <c r="Y97" s="73">
        <f>undergrid!U97</f>
        <v>0</v>
      </c>
      <c r="Z97" s="74">
        <f>Y97*undergrid!$AQ$5</f>
        <v>0</v>
      </c>
      <c r="AA97" s="75">
        <f>Y97*(1-Graphs!$AD$2)</f>
        <v>0</v>
      </c>
      <c r="AB97" s="73">
        <f>undergrid!W97</f>
        <v>8.3538812983521584</v>
      </c>
      <c r="AC97" s="75">
        <f t="shared" si="23"/>
        <v>0.83538812983521593</v>
      </c>
      <c r="AD97" s="73">
        <f>undergrid!Y97</f>
        <v>0</v>
      </c>
      <c r="AE97" s="75">
        <f t="shared" si="24"/>
        <v>0</v>
      </c>
      <c r="AF97" s="109">
        <f>undergrid!AA97</f>
        <v>0</v>
      </c>
      <c r="AG97" s="110">
        <f>undergrid!AE97</f>
        <v>0</v>
      </c>
      <c r="AH97" s="93">
        <f t="shared" si="25"/>
        <v>0</v>
      </c>
      <c r="AI97" s="93">
        <f t="shared" si="26"/>
        <v>0</v>
      </c>
      <c r="AJ97" s="93">
        <f t="shared" si="27"/>
        <v>1.8812983521585558E-3</v>
      </c>
      <c r="AK97" s="93">
        <f>IF(AH97&gt;0.00001,undergrid!$AM$4,IF(Costs!AI97&gt;0.0001,((undergrid!$AQ$7*W97+undergrid!$AQ$8*undergrid!$AQ$9)*undergrid!$AQ$6)/W97,IF(Costs!AJ97&gt;0.0001,Costs!L97,0)))</f>
        <v>0.1</v>
      </c>
      <c r="AL97" s="1">
        <v>96</v>
      </c>
      <c r="AM97" s="121">
        <f t="shared" si="17"/>
        <v>3.3292799999999998</v>
      </c>
      <c r="AN97" s="122">
        <f t="shared" si="28"/>
        <v>-0.83538813655521593</v>
      </c>
      <c r="AO97" s="123">
        <f t="shared" si="29"/>
        <v>2.4938918634447838</v>
      </c>
      <c r="AR97" s="114">
        <f t="shared" si="30"/>
        <v>8.3536799999999971</v>
      </c>
      <c r="AS97" s="32">
        <f t="shared" si="31"/>
        <v>8.3538812983521584</v>
      </c>
      <c r="AT97" s="33">
        <f t="shared" si="18"/>
        <v>2.0129835216131653E-4</v>
      </c>
    </row>
    <row r="98" spans="1:46" x14ac:dyDescent="0.3">
      <c r="A98" s="4" t="str">
        <f>undergrid!B98</f>
        <v>h097</v>
      </c>
      <c r="B98" s="73">
        <f>undergrid!C98*2</f>
        <v>3.1</v>
      </c>
      <c r="C98" s="74">
        <f>undergrid!$AQ$2*Costs!B98</f>
        <v>1.55</v>
      </c>
      <c r="D98" s="74">
        <f t="shared" si="19"/>
        <v>3.1</v>
      </c>
      <c r="E98" s="75">
        <f>D98*undergrid!$AQ$2</f>
        <v>1.55</v>
      </c>
      <c r="F98" s="73">
        <f>undergrid!E98</f>
        <v>1.637</v>
      </c>
      <c r="G98" s="74">
        <f>F98*undergrid!$AQ$3</f>
        <v>0.22918000000000002</v>
      </c>
      <c r="H98" s="74">
        <f t="shared" si="20"/>
        <v>1.637</v>
      </c>
      <c r="I98" s="75">
        <f>H98*undergrid!$AQ$3</f>
        <v>0.22918000000000002</v>
      </c>
      <c r="J98" s="73">
        <f>undergrid!G98</f>
        <v>0.08</v>
      </c>
      <c r="K98" s="75">
        <f t="shared" si="21"/>
        <v>0</v>
      </c>
      <c r="L98" s="73">
        <f>undergrid!I98</f>
        <v>0.1</v>
      </c>
      <c r="M98" s="75">
        <f t="shared" si="22"/>
        <v>0.47388812983521578</v>
      </c>
      <c r="N98" s="81">
        <f>undergrid!K98</f>
        <v>2</v>
      </c>
      <c r="O98" s="82"/>
      <c r="P98" s="81">
        <f>undergrid!M98</f>
        <v>6.3999999999999996E-10</v>
      </c>
      <c r="Q98" s="82"/>
      <c r="R98" s="73">
        <f>undergrid!O98</f>
        <v>1.6799999999967952E-3</v>
      </c>
      <c r="S98" s="74">
        <f>R98*undergrid!$AQ$5</f>
        <v>6.7199999999871803E-9</v>
      </c>
      <c r="T98" s="75">
        <f>R98*(1-Graphs!$AD$1)</f>
        <v>8.3999999999839832E-5</v>
      </c>
      <c r="U98" s="73">
        <f>undergrid!Q98</f>
        <v>0</v>
      </c>
      <c r="V98" s="75">
        <f>IF(U98&lt;0.001,0,P98*undergrid!$AQ$4)</f>
        <v>0</v>
      </c>
      <c r="W98" s="73">
        <f>undergrid!S98</f>
        <v>0</v>
      </c>
      <c r="X98" s="106">
        <f>IF(undergrid!AI98&gt;0,(undergrid!$AQ$7*W98+undergrid!$AQ$8*undergrid!$AQ$9)*undergrid!$AQ$6,0)+undergrid!AG98*undergrid!$AQ$10</f>
        <v>0</v>
      </c>
      <c r="Y98" s="73">
        <f>undergrid!U98</f>
        <v>0</v>
      </c>
      <c r="Z98" s="74">
        <f>Y98*undergrid!$AQ$5</f>
        <v>0</v>
      </c>
      <c r="AA98" s="75">
        <f>Y98*(1-Graphs!$AD$2)</f>
        <v>0</v>
      </c>
      <c r="AB98" s="73">
        <f>undergrid!W98</f>
        <v>4.7388812983521573</v>
      </c>
      <c r="AC98" s="75">
        <f t="shared" si="23"/>
        <v>0.47388812983521578</v>
      </c>
      <c r="AD98" s="73">
        <f>undergrid!Y98</f>
        <v>0</v>
      </c>
      <c r="AE98" s="75">
        <f t="shared" si="24"/>
        <v>0</v>
      </c>
      <c r="AF98" s="109">
        <f>undergrid!AA98</f>
        <v>0</v>
      </c>
      <c r="AG98" s="110">
        <f>undergrid!AE98</f>
        <v>0</v>
      </c>
      <c r="AH98" s="93">
        <f t="shared" si="25"/>
        <v>0</v>
      </c>
      <c r="AI98" s="93">
        <f t="shared" si="26"/>
        <v>0</v>
      </c>
      <c r="AJ98" s="93">
        <f t="shared" si="27"/>
        <v>1.8812983521572235E-3</v>
      </c>
      <c r="AK98" s="93">
        <f>IF(AH98&gt;0.00001,undergrid!$AM$4,IF(Costs!AI98&gt;0.0001,((undergrid!$AQ$7*W98+undergrid!$AQ$8*undergrid!$AQ$9)*undergrid!$AQ$6)/W98,IF(Costs!AJ98&gt;0.0001,Costs!L98,0)))</f>
        <v>0.1</v>
      </c>
      <c r="AL98" s="1">
        <v>97</v>
      </c>
      <c r="AM98" s="121">
        <f t="shared" ref="AM98:AM129" si="32">E98+I98+AE98</f>
        <v>1.77918</v>
      </c>
      <c r="AN98" s="122">
        <f t="shared" si="28"/>
        <v>-0.47388813655521578</v>
      </c>
      <c r="AO98" s="123">
        <f t="shared" si="29"/>
        <v>1.3052918634447841</v>
      </c>
      <c r="AR98" s="114">
        <f t="shared" si="30"/>
        <v>4.7386799999999969</v>
      </c>
      <c r="AS98" s="32">
        <f t="shared" si="31"/>
        <v>4.7388812983521573</v>
      </c>
      <c r="AT98" s="33">
        <f t="shared" ref="AT98:AT129" si="33">AS98-AR98</f>
        <v>2.0129835216042835E-4</v>
      </c>
    </row>
    <row r="99" spans="1:46" x14ac:dyDescent="0.3">
      <c r="A99" s="4" t="str">
        <f>undergrid!B99</f>
        <v>h098</v>
      </c>
      <c r="B99" s="73">
        <f>undergrid!C99*2</f>
        <v>2.2200000000000002</v>
      </c>
      <c r="C99" s="74">
        <f>undergrid!$AQ$2*Costs!B99</f>
        <v>1.1100000000000001</v>
      </c>
      <c r="D99" s="74">
        <f t="shared" si="19"/>
        <v>2.2200000000000002</v>
      </c>
      <c r="E99" s="75">
        <f>D99*undergrid!$AQ$2</f>
        <v>1.1100000000000001</v>
      </c>
      <c r="F99" s="73">
        <f>undergrid!E99</f>
        <v>2.0640000000000001</v>
      </c>
      <c r="G99" s="74">
        <f>F99*undergrid!$AQ$3</f>
        <v>0.28896000000000005</v>
      </c>
      <c r="H99" s="74">
        <f t="shared" si="20"/>
        <v>2.0640000000000001</v>
      </c>
      <c r="I99" s="75">
        <f>H99*undergrid!$AQ$3</f>
        <v>0.28896000000000005</v>
      </c>
      <c r="J99" s="73">
        <f>undergrid!G99</f>
        <v>0.08</v>
      </c>
      <c r="K99" s="75">
        <f t="shared" si="21"/>
        <v>0</v>
      </c>
      <c r="L99" s="73">
        <f>undergrid!I99</f>
        <v>0.1</v>
      </c>
      <c r="M99" s="75">
        <f t="shared" si="22"/>
        <v>0.42858812983521583</v>
      </c>
      <c r="N99" s="81">
        <f>undergrid!K99</f>
        <v>2</v>
      </c>
      <c r="O99" s="82"/>
      <c r="P99" s="81">
        <f>undergrid!M99</f>
        <v>6.3999999999999996E-10</v>
      </c>
      <c r="Q99" s="82"/>
      <c r="R99" s="73">
        <f>undergrid!O99</f>
        <v>1.6799999999967952E-3</v>
      </c>
      <c r="S99" s="74">
        <f>R99*undergrid!$AQ$5</f>
        <v>6.7199999999871803E-9</v>
      </c>
      <c r="T99" s="75">
        <f>R99*(1-Graphs!$AD$1)</f>
        <v>8.3999999999839832E-5</v>
      </c>
      <c r="U99" s="73">
        <f>undergrid!Q99</f>
        <v>0</v>
      </c>
      <c r="V99" s="75">
        <f>IF(U99&lt;0.001,0,P99*undergrid!$AQ$4)</f>
        <v>0</v>
      </c>
      <c r="W99" s="73">
        <f>undergrid!S99</f>
        <v>0</v>
      </c>
      <c r="X99" s="106">
        <f>IF(undergrid!AI99&gt;0,(undergrid!$AQ$7*W99+undergrid!$AQ$8*undergrid!$AQ$9)*undergrid!$AQ$6,0)+undergrid!AG99*undergrid!$AQ$10</f>
        <v>0</v>
      </c>
      <c r="Y99" s="73">
        <f>undergrid!U99</f>
        <v>0</v>
      </c>
      <c r="Z99" s="74">
        <f>Y99*undergrid!$AQ$5</f>
        <v>0</v>
      </c>
      <c r="AA99" s="75">
        <f>Y99*(1-Graphs!$AD$2)</f>
        <v>0</v>
      </c>
      <c r="AB99" s="73">
        <f>undergrid!W99</f>
        <v>4.2858812983521579</v>
      </c>
      <c r="AC99" s="75">
        <f t="shared" si="23"/>
        <v>0.42858812983521583</v>
      </c>
      <c r="AD99" s="73">
        <f>undergrid!Y99</f>
        <v>0</v>
      </c>
      <c r="AE99" s="75">
        <f t="shared" si="24"/>
        <v>0</v>
      </c>
      <c r="AF99" s="109">
        <f>undergrid!AA99</f>
        <v>0</v>
      </c>
      <c r="AG99" s="110">
        <f>undergrid!AE99</f>
        <v>0</v>
      </c>
      <c r="AH99" s="93">
        <f t="shared" si="25"/>
        <v>0</v>
      </c>
      <c r="AI99" s="93">
        <f t="shared" si="26"/>
        <v>0</v>
      </c>
      <c r="AJ99" s="93">
        <f t="shared" si="27"/>
        <v>1.8812983521576676E-3</v>
      </c>
      <c r="AK99" s="93">
        <f>IF(AH99&gt;0.00001,undergrid!$AM$4,IF(Costs!AI99&gt;0.0001,((undergrid!$AQ$7*W99+undergrid!$AQ$8*undergrid!$AQ$9)*undergrid!$AQ$6)/W99,IF(Costs!AJ99&gt;0.0001,Costs!L99,0)))</f>
        <v>0.1</v>
      </c>
      <c r="AL99" s="1">
        <v>98</v>
      </c>
      <c r="AM99" s="121">
        <f t="shared" si="32"/>
        <v>1.3989600000000002</v>
      </c>
      <c r="AN99" s="122">
        <f t="shared" si="28"/>
        <v>-0.42858813655521583</v>
      </c>
      <c r="AO99" s="123">
        <f t="shared" si="29"/>
        <v>0.97037186344478443</v>
      </c>
      <c r="AR99" s="114">
        <f t="shared" si="30"/>
        <v>4.2856799999999975</v>
      </c>
      <c r="AS99" s="32">
        <f t="shared" si="31"/>
        <v>4.2858812983521579</v>
      </c>
      <c r="AT99" s="33">
        <f t="shared" si="33"/>
        <v>2.0129835216042835E-4</v>
      </c>
    </row>
    <row r="100" spans="1:46" x14ac:dyDescent="0.3">
      <c r="A100" s="4" t="str">
        <f>undergrid!B100</f>
        <v>h099</v>
      </c>
      <c r="B100" s="73">
        <f>undergrid!C100*2</f>
        <v>2.04</v>
      </c>
      <c r="C100" s="74">
        <f>undergrid!$AQ$2*Costs!B100</f>
        <v>1.02</v>
      </c>
      <c r="D100" s="74">
        <f t="shared" si="19"/>
        <v>2.04</v>
      </c>
      <c r="E100" s="75">
        <f>D100*undergrid!$AQ$2</f>
        <v>1.02</v>
      </c>
      <c r="F100" s="73">
        <f>undergrid!E100</f>
        <v>1.8959999999999999</v>
      </c>
      <c r="G100" s="74">
        <f>F100*undergrid!$AQ$3</f>
        <v>0.26544000000000001</v>
      </c>
      <c r="H100" s="74">
        <f t="shared" si="20"/>
        <v>1.8959999999999999</v>
      </c>
      <c r="I100" s="75">
        <f>H100*undergrid!$AQ$3</f>
        <v>0.26544000000000001</v>
      </c>
      <c r="J100" s="73">
        <f>undergrid!G100</f>
        <v>0.08</v>
      </c>
      <c r="K100" s="75">
        <f t="shared" si="21"/>
        <v>0</v>
      </c>
      <c r="L100" s="73">
        <f>undergrid!I100</f>
        <v>0.1</v>
      </c>
      <c r="M100" s="75">
        <f t="shared" si="22"/>
        <v>2.2512250546889319</v>
      </c>
      <c r="N100" s="81">
        <f>undergrid!K100</f>
        <v>2</v>
      </c>
      <c r="O100" s="82"/>
      <c r="P100" s="81">
        <f>undergrid!M100</f>
        <v>6.3999999999999996E-10</v>
      </c>
      <c r="Q100" s="82"/>
      <c r="R100" s="73">
        <f>undergrid!O100</f>
        <v>16.588591738943681</v>
      </c>
      <c r="S100" s="74">
        <f>R100*undergrid!$AQ$5</f>
        <v>6.6354366955774722E-5</v>
      </c>
      <c r="T100" s="75">
        <f>R100*(1-Graphs!$AD$1)</f>
        <v>0.82942958694718472</v>
      </c>
      <c r="U100" s="73">
        <f>undergrid!Q100</f>
        <v>0</v>
      </c>
      <c r="V100" s="75">
        <f>IF(U100&lt;0.001,0,P100*undergrid!$AQ$4)</f>
        <v>0</v>
      </c>
      <c r="W100" s="73">
        <f>undergrid!S100</f>
        <v>0</v>
      </c>
      <c r="X100" s="106">
        <f>IF(undergrid!AI100&gt;0,(undergrid!$AQ$7*W100+undergrid!$AQ$8*undergrid!$AQ$9)*undergrid!$AQ$6,0)+undergrid!AG100*undergrid!$AQ$10</f>
        <v>0</v>
      </c>
      <c r="Y100" s="73">
        <f>undergrid!U100</f>
        <v>0</v>
      </c>
      <c r="Z100" s="74">
        <f>Y100*undergrid!$AQ$5</f>
        <v>0</v>
      </c>
      <c r="AA100" s="75">
        <f>Y100*(1-Graphs!$AD$2)</f>
        <v>0</v>
      </c>
      <c r="AB100" s="73">
        <f>undergrid!W100</f>
        <v>22.512250546889319</v>
      </c>
      <c r="AC100" s="75">
        <f t="shared" si="23"/>
        <v>2.2512250546889319</v>
      </c>
      <c r="AD100" s="73">
        <f>undergrid!Y100</f>
        <v>0</v>
      </c>
      <c r="AE100" s="75">
        <f t="shared" si="24"/>
        <v>0</v>
      </c>
      <c r="AF100" s="109">
        <f>undergrid!AA100</f>
        <v>0</v>
      </c>
      <c r="AG100" s="110">
        <f>undergrid!AE100</f>
        <v>0</v>
      </c>
      <c r="AH100" s="93">
        <f t="shared" si="25"/>
        <v>0</v>
      </c>
      <c r="AI100" s="93">
        <f t="shared" si="26"/>
        <v>0</v>
      </c>
      <c r="AJ100" s="93">
        <f t="shared" si="27"/>
        <v>18.57625054688932</v>
      </c>
      <c r="AK100" s="93">
        <f>IF(AH100&gt;0.00001,undergrid!$AM$4,IF(Costs!AI100&gt;0.0001,((undergrid!$AQ$7*W100+undergrid!$AQ$8*undergrid!$AQ$9)*undergrid!$AQ$6)/W100,IF(Costs!AJ100&gt;0.0001,Costs!L100,0)))</f>
        <v>0.1</v>
      </c>
      <c r="AL100" s="1">
        <v>99</v>
      </c>
      <c r="AM100" s="121">
        <f t="shared" si="32"/>
        <v>1.2854399999999999</v>
      </c>
      <c r="AN100" s="122">
        <f t="shared" si="28"/>
        <v>-2.2512914090558875</v>
      </c>
      <c r="AO100" s="123">
        <f t="shared" si="29"/>
        <v>-0.96585140905588762</v>
      </c>
      <c r="AR100" s="114">
        <f t="shared" si="30"/>
        <v>20.52459173894368</v>
      </c>
      <c r="AS100" s="32">
        <f t="shared" si="31"/>
        <v>22.512250546889319</v>
      </c>
      <c r="AT100" s="33">
        <f t="shared" si="33"/>
        <v>1.987658807945639</v>
      </c>
    </row>
    <row r="101" spans="1:46" x14ac:dyDescent="0.3">
      <c r="A101" s="4" t="str">
        <f>undergrid!B101</f>
        <v>h100</v>
      </c>
      <c r="B101" s="73">
        <f>undergrid!C101*2</f>
        <v>3.06</v>
      </c>
      <c r="C101" s="74">
        <f>undergrid!$AQ$2*Costs!B101</f>
        <v>1.53</v>
      </c>
      <c r="D101" s="74">
        <f t="shared" si="19"/>
        <v>3.06</v>
      </c>
      <c r="E101" s="75">
        <f>D101*undergrid!$AQ$2</f>
        <v>1.53</v>
      </c>
      <c r="F101" s="73">
        <f>undergrid!E101</f>
        <v>2.86</v>
      </c>
      <c r="G101" s="74">
        <f>F101*undergrid!$AQ$3</f>
        <v>0.40040000000000003</v>
      </c>
      <c r="H101" s="74">
        <f t="shared" si="20"/>
        <v>2.86</v>
      </c>
      <c r="I101" s="75">
        <f>H101*undergrid!$AQ$3</f>
        <v>0.40040000000000003</v>
      </c>
      <c r="J101" s="73">
        <f>undergrid!G101</f>
        <v>0.08</v>
      </c>
      <c r="K101" s="75">
        <f t="shared" si="21"/>
        <v>0</v>
      </c>
      <c r="L101" s="73">
        <f>undergrid!I101</f>
        <v>0.1</v>
      </c>
      <c r="M101" s="75">
        <f t="shared" si="22"/>
        <v>2.5</v>
      </c>
      <c r="N101" s="81">
        <f>undergrid!K101</f>
        <v>2</v>
      </c>
      <c r="O101" s="82"/>
      <c r="P101" s="81">
        <f>undergrid!M101</f>
        <v>6.3999999999999996E-10</v>
      </c>
      <c r="Q101" s="82"/>
      <c r="R101" s="73">
        <f>undergrid!O101</f>
        <v>17.038440000571519</v>
      </c>
      <c r="S101" s="74">
        <f>R101*undergrid!$AQ$5</f>
        <v>6.8153760002286076E-5</v>
      </c>
      <c r="T101" s="75">
        <f>R101*(1-Graphs!$AD$1)</f>
        <v>0.85192200002857676</v>
      </c>
      <c r="U101" s="73">
        <f>undergrid!Q101</f>
        <v>0</v>
      </c>
      <c r="V101" s="75">
        <f>IF(U101&lt;0.001,0,P101*undergrid!$AQ$4)</f>
        <v>0</v>
      </c>
      <c r="W101" s="73">
        <f>undergrid!S101</f>
        <v>0</v>
      </c>
      <c r="X101" s="106">
        <f>IF(undergrid!AI101&gt;0,(undergrid!$AQ$7*W101+undergrid!$AQ$8*undergrid!$AQ$9)*undergrid!$AQ$6,0)+undergrid!AG101*undergrid!$AQ$10</f>
        <v>0</v>
      </c>
      <c r="Y101" s="73">
        <f>undergrid!U101</f>
        <v>0</v>
      </c>
      <c r="Z101" s="74">
        <f>Y101*undergrid!$AQ$5</f>
        <v>0</v>
      </c>
      <c r="AA101" s="75">
        <f>Y101*(1-Graphs!$AD$2)</f>
        <v>0</v>
      </c>
      <c r="AB101" s="73">
        <f>undergrid!W101</f>
        <v>25</v>
      </c>
      <c r="AC101" s="75">
        <f t="shared" si="23"/>
        <v>2.5</v>
      </c>
      <c r="AD101" s="73">
        <f>undergrid!Y101</f>
        <v>0</v>
      </c>
      <c r="AE101" s="75">
        <f t="shared" si="24"/>
        <v>0</v>
      </c>
      <c r="AF101" s="109">
        <f>undergrid!AA101</f>
        <v>0</v>
      </c>
      <c r="AG101" s="110">
        <f>undergrid!AE101</f>
        <v>0</v>
      </c>
      <c r="AH101" s="93">
        <f t="shared" si="25"/>
        <v>0</v>
      </c>
      <c r="AI101" s="93">
        <f t="shared" si="26"/>
        <v>0</v>
      </c>
      <c r="AJ101" s="93">
        <f t="shared" si="27"/>
        <v>19.080000000000002</v>
      </c>
      <c r="AK101" s="93">
        <f>IF(AH101&gt;0.00001,undergrid!$AM$4,IF(Costs!AI101&gt;0.0001,((undergrid!$AQ$7*W101+undergrid!$AQ$8*undergrid!$AQ$9)*undergrid!$AQ$6)/W101,IF(Costs!AJ101&gt;0.0001,Costs!L101,0)))</f>
        <v>0.1</v>
      </c>
      <c r="AL101" s="1">
        <v>100</v>
      </c>
      <c r="AM101" s="121">
        <f t="shared" si="32"/>
        <v>1.9304000000000001</v>
      </c>
      <c r="AN101" s="122">
        <f t="shared" si="28"/>
        <v>-2.5000681537600022</v>
      </c>
      <c r="AO101" s="123">
        <f t="shared" si="29"/>
        <v>-0.56966815376000213</v>
      </c>
      <c r="AR101" s="114">
        <f t="shared" si="30"/>
        <v>22.958440000571521</v>
      </c>
      <c r="AS101" s="32">
        <f t="shared" si="31"/>
        <v>25</v>
      </c>
      <c r="AT101" s="33">
        <f t="shared" si="33"/>
        <v>2.041559999428479</v>
      </c>
    </row>
    <row r="102" spans="1:46" x14ac:dyDescent="0.3">
      <c r="A102" s="4" t="str">
        <f>undergrid!B102</f>
        <v>h101</v>
      </c>
      <c r="B102" s="73">
        <f>undergrid!C102*2</f>
        <v>1.9</v>
      </c>
      <c r="C102" s="74">
        <f>undergrid!$AQ$2*Costs!B102</f>
        <v>0.95</v>
      </c>
      <c r="D102" s="74">
        <f t="shared" si="19"/>
        <v>1.9</v>
      </c>
      <c r="E102" s="75">
        <f>D102*undergrid!$AQ$2</f>
        <v>0.95</v>
      </c>
      <c r="F102" s="73">
        <f>undergrid!E102</f>
        <v>1.7729999999999999</v>
      </c>
      <c r="G102" s="74">
        <f>F102*undergrid!$AQ$3</f>
        <v>0.24822000000000002</v>
      </c>
      <c r="H102" s="74">
        <f t="shared" si="20"/>
        <v>1.7729999999999999</v>
      </c>
      <c r="I102" s="75">
        <f>H102*undergrid!$AQ$3</f>
        <v>0.24822000000000002</v>
      </c>
      <c r="J102" s="73">
        <f>undergrid!G102</f>
        <v>0.08</v>
      </c>
      <c r="K102" s="75">
        <f t="shared" si="21"/>
        <v>0</v>
      </c>
      <c r="L102" s="73">
        <f>undergrid!I102</f>
        <v>0.1</v>
      </c>
      <c r="M102" s="75">
        <f t="shared" si="22"/>
        <v>2.5</v>
      </c>
      <c r="N102" s="81">
        <f>undergrid!K102</f>
        <v>2</v>
      </c>
      <c r="O102" s="82"/>
      <c r="P102" s="81">
        <f>undergrid!M102</f>
        <v>6.3999999999999996E-10</v>
      </c>
      <c r="Q102" s="82"/>
      <c r="R102" s="73">
        <f>undergrid!O102</f>
        <v>19.04501100057152</v>
      </c>
      <c r="S102" s="74">
        <f>R102*undergrid!$AQ$5</f>
        <v>7.6180044002286074E-5</v>
      </c>
      <c r="T102" s="75">
        <f>R102*(1-Graphs!$AD$1)</f>
        <v>0.95225055002857684</v>
      </c>
      <c r="U102" s="73">
        <f>undergrid!Q102</f>
        <v>0</v>
      </c>
      <c r="V102" s="75">
        <f>IF(U102&lt;0.001,0,P102*undergrid!$AQ$4)</f>
        <v>0</v>
      </c>
      <c r="W102" s="73">
        <f>undergrid!S102</f>
        <v>0</v>
      </c>
      <c r="X102" s="106">
        <f>IF(undergrid!AI102&gt;0,(undergrid!$AQ$7*W102+undergrid!$AQ$8*undergrid!$AQ$9)*undergrid!$AQ$6,0)+undergrid!AG102*undergrid!$AQ$10</f>
        <v>0</v>
      </c>
      <c r="Y102" s="73">
        <f>undergrid!U102</f>
        <v>0</v>
      </c>
      <c r="Z102" s="74">
        <f>Y102*undergrid!$AQ$5</f>
        <v>0</v>
      </c>
      <c r="AA102" s="75">
        <f>Y102*(1-Graphs!$AD$2)</f>
        <v>0</v>
      </c>
      <c r="AB102" s="73">
        <f>undergrid!W102</f>
        <v>25</v>
      </c>
      <c r="AC102" s="75">
        <f t="shared" si="23"/>
        <v>2.5</v>
      </c>
      <c r="AD102" s="73">
        <f>undergrid!Y102</f>
        <v>0</v>
      </c>
      <c r="AE102" s="75">
        <f t="shared" si="24"/>
        <v>0</v>
      </c>
      <c r="AF102" s="109">
        <f>undergrid!AA102</f>
        <v>0</v>
      </c>
      <c r="AG102" s="110">
        <f>undergrid!AE102</f>
        <v>0</v>
      </c>
      <c r="AH102" s="93">
        <f t="shared" si="25"/>
        <v>0</v>
      </c>
      <c r="AI102" s="93">
        <f t="shared" si="26"/>
        <v>0</v>
      </c>
      <c r="AJ102" s="93">
        <f t="shared" si="27"/>
        <v>21.327000000000002</v>
      </c>
      <c r="AK102" s="93">
        <f>IF(AH102&gt;0.00001,undergrid!$AM$4,IF(Costs!AI102&gt;0.0001,((undergrid!$AQ$7*W102+undergrid!$AQ$8*undergrid!$AQ$9)*undergrid!$AQ$6)/W102,IF(Costs!AJ102&gt;0.0001,Costs!L102,0)))</f>
        <v>0.1</v>
      </c>
      <c r="AL102" s="1">
        <v>101</v>
      </c>
      <c r="AM102" s="121">
        <f t="shared" si="32"/>
        <v>1.1982200000000001</v>
      </c>
      <c r="AN102" s="122">
        <f t="shared" si="28"/>
        <v>-2.5000761800440023</v>
      </c>
      <c r="AO102" s="123">
        <f t="shared" si="29"/>
        <v>-1.3018561800440023</v>
      </c>
      <c r="AR102" s="114">
        <f t="shared" si="30"/>
        <v>22.718011000571522</v>
      </c>
      <c r="AS102" s="32">
        <f t="shared" si="31"/>
        <v>25</v>
      </c>
      <c r="AT102" s="33">
        <f t="shared" si="33"/>
        <v>2.2819889994284779</v>
      </c>
    </row>
    <row r="103" spans="1:46" x14ac:dyDescent="0.3">
      <c r="A103" s="4" t="str">
        <f>undergrid!B103</f>
        <v>h102</v>
      </c>
      <c r="B103" s="73">
        <f>undergrid!C103*2</f>
        <v>2.9</v>
      </c>
      <c r="C103" s="74">
        <f>undergrid!$AQ$2*Costs!B103</f>
        <v>1.45</v>
      </c>
      <c r="D103" s="74">
        <f t="shared" si="19"/>
        <v>2.9</v>
      </c>
      <c r="E103" s="75">
        <f>D103*undergrid!$AQ$2</f>
        <v>1.45</v>
      </c>
      <c r="F103" s="73">
        <f>undergrid!E103</f>
        <v>2.6869999999999998</v>
      </c>
      <c r="G103" s="74">
        <f>F103*undergrid!$AQ$3</f>
        <v>0.37618000000000001</v>
      </c>
      <c r="H103" s="74">
        <f t="shared" si="20"/>
        <v>2.6869999999999998</v>
      </c>
      <c r="I103" s="75">
        <f>H103*undergrid!$AQ$3</f>
        <v>0.37618000000000001</v>
      </c>
      <c r="J103" s="73">
        <f>undergrid!G103</f>
        <v>0.08</v>
      </c>
      <c r="K103" s="75">
        <f t="shared" si="21"/>
        <v>0</v>
      </c>
      <c r="L103" s="73">
        <f>undergrid!I103</f>
        <v>0.1</v>
      </c>
      <c r="M103" s="75">
        <f t="shared" si="22"/>
        <v>2.5</v>
      </c>
      <c r="N103" s="81">
        <f>undergrid!K103</f>
        <v>2</v>
      </c>
      <c r="O103" s="82"/>
      <c r="P103" s="81">
        <f>undergrid!M103</f>
        <v>6.3999999999999996E-10</v>
      </c>
      <c r="Q103" s="82"/>
      <c r="R103" s="73">
        <f>undergrid!O103</f>
        <v>17.335809000571519</v>
      </c>
      <c r="S103" s="74">
        <f>R103*undergrid!$AQ$5</f>
        <v>6.9343236002286076E-5</v>
      </c>
      <c r="T103" s="75">
        <f>R103*(1-Graphs!$AD$1)</f>
        <v>0.86679045002857669</v>
      </c>
      <c r="U103" s="73">
        <f>undergrid!Q103</f>
        <v>0</v>
      </c>
      <c r="V103" s="75">
        <f>IF(U103&lt;0.001,0,P103*undergrid!$AQ$4)</f>
        <v>0</v>
      </c>
      <c r="W103" s="73">
        <f>undergrid!S103</f>
        <v>0</v>
      </c>
      <c r="X103" s="106">
        <f>IF(undergrid!AI103&gt;0,(undergrid!$AQ$7*W103+undergrid!$AQ$8*undergrid!$AQ$9)*undergrid!$AQ$6,0)+undergrid!AG103*undergrid!$AQ$10</f>
        <v>0</v>
      </c>
      <c r="Y103" s="73">
        <f>undergrid!U103</f>
        <v>0</v>
      </c>
      <c r="Z103" s="74">
        <f>Y103*undergrid!$AQ$5</f>
        <v>0</v>
      </c>
      <c r="AA103" s="75">
        <f>Y103*(1-Graphs!$AD$2)</f>
        <v>0</v>
      </c>
      <c r="AB103" s="73">
        <f>undergrid!W103</f>
        <v>25</v>
      </c>
      <c r="AC103" s="75">
        <f t="shared" si="23"/>
        <v>2.5</v>
      </c>
      <c r="AD103" s="73">
        <f>undergrid!Y103</f>
        <v>0</v>
      </c>
      <c r="AE103" s="75">
        <f t="shared" si="24"/>
        <v>0</v>
      </c>
      <c r="AF103" s="109">
        <f>undergrid!AA103</f>
        <v>0</v>
      </c>
      <c r="AG103" s="110">
        <f>undergrid!AE103</f>
        <v>0</v>
      </c>
      <c r="AH103" s="93">
        <f t="shared" si="25"/>
        <v>0</v>
      </c>
      <c r="AI103" s="93">
        <f t="shared" si="26"/>
        <v>0</v>
      </c>
      <c r="AJ103" s="93">
        <f t="shared" si="27"/>
        <v>19.413</v>
      </c>
      <c r="AK103" s="93">
        <f>IF(AH103&gt;0.00001,undergrid!$AM$4,IF(Costs!AI103&gt;0.0001,((undergrid!$AQ$7*W103+undergrid!$AQ$8*undergrid!$AQ$9)*undergrid!$AQ$6)/W103,IF(Costs!AJ103&gt;0.0001,Costs!L103,0)))</f>
        <v>0.1</v>
      </c>
      <c r="AL103" s="1">
        <v>102</v>
      </c>
      <c r="AM103" s="121">
        <f t="shared" si="32"/>
        <v>1.8261799999999999</v>
      </c>
      <c r="AN103" s="122">
        <f t="shared" si="28"/>
        <v>-2.5000693432360022</v>
      </c>
      <c r="AO103" s="123">
        <f t="shared" si="29"/>
        <v>-0.67388934323600225</v>
      </c>
      <c r="AR103" s="114">
        <f t="shared" si="30"/>
        <v>22.922809000571519</v>
      </c>
      <c r="AS103" s="32">
        <f t="shared" si="31"/>
        <v>25</v>
      </c>
      <c r="AT103" s="33">
        <f t="shared" si="33"/>
        <v>2.0771909994284812</v>
      </c>
    </row>
    <row r="104" spans="1:46" x14ac:dyDescent="0.3">
      <c r="A104" s="4" t="str">
        <f>undergrid!B104</f>
        <v>h103</v>
      </c>
      <c r="B104" s="73">
        <f>undergrid!C104*2</f>
        <v>1.92</v>
      </c>
      <c r="C104" s="74">
        <f>undergrid!$AQ$2*Costs!B104</f>
        <v>0.96</v>
      </c>
      <c r="D104" s="74">
        <f t="shared" si="19"/>
        <v>1.92</v>
      </c>
      <c r="E104" s="75">
        <f>D104*undergrid!$AQ$2</f>
        <v>0.96</v>
      </c>
      <c r="F104" s="73">
        <f>undergrid!E104</f>
        <v>1.7849999999999999</v>
      </c>
      <c r="G104" s="74">
        <f>F104*undergrid!$AQ$3</f>
        <v>0.24990000000000001</v>
      </c>
      <c r="H104" s="74">
        <f t="shared" si="20"/>
        <v>1.7849999999999999</v>
      </c>
      <c r="I104" s="75">
        <f>H104*undergrid!$AQ$3</f>
        <v>0.24990000000000001</v>
      </c>
      <c r="J104" s="73">
        <f>undergrid!G104</f>
        <v>0.13</v>
      </c>
      <c r="K104" s="75">
        <f t="shared" si="21"/>
        <v>0</v>
      </c>
      <c r="L104" s="73">
        <f>undergrid!I104</f>
        <v>0.15</v>
      </c>
      <c r="M104" s="75">
        <f t="shared" si="22"/>
        <v>0</v>
      </c>
      <c r="N104" s="81">
        <f>undergrid!K104</f>
        <v>2</v>
      </c>
      <c r="O104" s="82"/>
      <c r="P104" s="81">
        <f>undergrid!M104</f>
        <v>6.3999999999999996E-10</v>
      </c>
      <c r="Q104" s="82"/>
      <c r="R104" s="73">
        <f>undergrid!O104</f>
        <v>0</v>
      </c>
      <c r="S104" s="74">
        <f>R104*undergrid!$AQ$5</f>
        <v>0</v>
      </c>
      <c r="T104" s="75">
        <f>R104*(1-Graphs!$AD$1)</f>
        <v>0</v>
      </c>
      <c r="U104" s="73">
        <f>undergrid!Q104</f>
        <v>0</v>
      </c>
      <c r="V104" s="75">
        <f>IF(U104&lt;0.001,0,P104*undergrid!$AQ$4)</f>
        <v>0</v>
      </c>
      <c r="W104" s="73">
        <f>undergrid!S104</f>
        <v>0</v>
      </c>
      <c r="X104" s="106">
        <f>IF(undergrid!AI104&gt;0,(undergrid!$AQ$7*W104+undergrid!$AQ$8*undergrid!$AQ$9)*undergrid!$AQ$6,0)+undergrid!AG104*undergrid!$AQ$10</f>
        <v>0</v>
      </c>
      <c r="Y104" s="73">
        <f>undergrid!U104</f>
        <v>4.116666665955556</v>
      </c>
      <c r="Z104" s="74">
        <f>Y104*undergrid!$AQ$5</f>
        <v>1.6466666663822224E-5</v>
      </c>
      <c r="AA104" s="75">
        <f>Y104*(1-Graphs!$AD$2)</f>
        <v>0.41166666659555551</v>
      </c>
      <c r="AB104" s="73">
        <f>undergrid!W104</f>
        <v>0</v>
      </c>
      <c r="AC104" s="75">
        <f t="shared" si="23"/>
        <v>0</v>
      </c>
      <c r="AD104" s="73">
        <f>undergrid!Y104</f>
        <v>0</v>
      </c>
      <c r="AE104" s="75">
        <f t="shared" si="24"/>
        <v>0</v>
      </c>
      <c r="AF104" s="109">
        <f>undergrid!AA104</f>
        <v>0</v>
      </c>
      <c r="AG104" s="110">
        <f>undergrid!AE104</f>
        <v>0</v>
      </c>
      <c r="AH104" s="93">
        <f t="shared" si="25"/>
        <v>0</v>
      </c>
      <c r="AI104" s="93">
        <f t="shared" si="26"/>
        <v>0</v>
      </c>
      <c r="AJ104" s="93">
        <f t="shared" si="27"/>
        <v>0</v>
      </c>
      <c r="AK104" s="93">
        <f>IF(AH104&gt;0.00001,undergrid!$AM$4,IF(Costs!AI104&gt;0.0001,((undergrid!$AQ$7*W104+undergrid!$AQ$8*undergrid!$AQ$9)*undergrid!$AQ$6)/W104,IF(Costs!AJ104&gt;0.0001,Costs!L104,0)))</f>
        <v>0</v>
      </c>
      <c r="AL104" s="1">
        <v>103</v>
      </c>
      <c r="AM104" s="121">
        <f t="shared" si="32"/>
        <v>1.2099</v>
      </c>
      <c r="AN104" s="122">
        <f t="shared" si="28"/>
        <v>-1.6466666663822224E-5</v>
      </c>
      <c r="AO104" s="123">
        <f t="shared" si="29"/>
        <v>1.2098835333333362</v>
      </c>
      <c r="AR104" s="114">
        <f t="shared" si="30"/>
        <v>3.7050000000000001</v>
      </c>
      <c r="AS104" s="32">
        <f t="shared" si="31"/>
        <v>4.116666665955556</v>
      </c>
      <c r="AT104" s="33">
        <f t="shared" si="33"/>
        <v>0.4116666659555559</v>
      </c>
    </row>
    <row r="105" spans="1:46" x14ac:dyDescent="0.3">
      <c r="A105" s="4" t="str">
        <f>undergrid!B105</f>
        <v>h104</v>
      </c>
      <c r="B105" s="73">
        <f>undergrid!C105*2</f>
        <v>1.06</v>
      </c>
      <c r="C105" s="74">
        <f>undergrid!$AQ$2*Costs!B105</f>
        <v>0.53</v>
      </c>
      <c r="D105" s="74">
        <f t="shared" si="19"/>
        <v>1.06</v>
      </c>
      <c r="E105" s="75">
        <f>D105*undergrid!$AQ$2</f>
        <v>0.53</v>
      </c>
      <c r="F105" s="73">
        <f>undergrid!E105</f>
        <v>1.276</v>
      </c>
      <c r="G105" s="74">
        <f>F105*undergrid!$AQ$3</f>
        <v>0.17864000000000002</v>
      </c>
      <c r="H105" s="74">
        <f t="shared" si="20"/>
        <v>1.276</v>
      </c>
      <c r="I105" s="75">
        <f>H105*undergrid!$AQ$3</f>
        <v>0.17864000000000002</v>
      </c>
      <c r="J105" s="73">
        <f>undergrid!G105</f>
        <v>0.13</v>
      </c>
      <c r="K105" s="75">
        <f t="shared" si="21"/>
        <v>0</v>
      </c>
      <c r="L105" s="73">
        <f>undergrid!I105</f>
        <v>0.15</v>
      </c>
      <c r="M105" s="75">
        <f t="shared" si="22"/>
        <v>0</v>
      </c>
      <c r="N105" s="81">
        <f>undergrid!K105</f>
        <v>2</v>
      </c>
      <c r="O105" s="82"/>
      <c r="P105" s="81">
        <f>undergrid!M105</f>
        <v>7.5E-10</v>
      </c>
      <c r="Q105" s="82"/>
      <c r="R105" s="73">
        <f>undergrid!O105</f>
        <v>0</v>
      </c>
      <c r="S105" s="74">
        <f>R105*undergrid!$AQ$5</f>
        <v>0</v>
      </c>
      <c r="T105" s="75">
        <f>R105*(1-Graphs!$AD$1)</f>
        <v>0</v>
      </c>
      <c r="U105" s="73">
        <f>undergrid!Q105</f>
        <v>0</v>
      </c>
      <c r="V105" s="75">
        <f>IF(U105&lt;0.001,0,P105*undergrid!$AQ$4)</f>
        <v>0</v>
      </c>
      <c r="W105" s="73">
        <f>undergrid!S105</f>
        <v>0</v>
      </c>
      <c r="X105" s="106">
        <f>IF(undergrid!AI105&gt;0,(undergrid!$AQ$7*W105+undergrid!$AQ$8*undergrid!$AQ$9)*undergrid!$AQ$6,0)+undergrid!AG105*undergrid!$AQ$10</f>
        <v>0</v>
      </c>
      <c r="Y105" s="73">
        <f>undergrid!U105</f>
        <v>2.5955555547222224</v>
      </c>
      <c r="Z105" s="74">
        <f>Y105*undergrid!$AQ$5</f>
        <v>1.0382222218888889E-5</v>
      </c>
      <c r="AA105" s="75">
        <f>Y105*(1-Graphs!$AD$2)</f>
        <v>0.2595555554722222</v>
      </c>
      <c r="AB105" s="73">
        <f>undergrid!W105</f>
        <v>0</v>
      </c>
      <c r="AC105" s="75">
        <f t="shared" si="23"/>
        <v>0</v>
      </c>
      <c r="AD105" s="73">
        <f>undergrid!Y105</f>
        <v>0</v>
      </c>
      <c r="AE105" s="75">
        <f t="shared" si="24"/>
        <v>0</v>
      </c>
      <c r="AF105" s="109">
        <f>undergrid!AA105</f>
        <v>0</v>
      </c>
      <c r="AG105" s="110">
        <f>undergrid!AE105</f>
        <v>0</v>
      </c>
      <c r="AH105" s="93">
        <f t="shared" si="25"/>
        <v>0</v>
      </c>
      <c r="AI105" s="93">
        <f t="shared" si="26"/>
        <v>0</v>
      </c>
      <c r="AJ105" s="93">
        <f t="shared" si="27"/>
        <v>0</v>
      </c>
      <c r="AK105" s="93">
        <f>IF(AH105&gt;0.00001,undergrid!$AM$4,IF(Costs!AI105&gt;0.0001,((undergrid!$AQ$7*W105+undergrid!$AQ$8*undergrid!$AQ$9)*undergrid!$AQ$6)/W105,IF(Costs!AJ105&gt;0.0001,Costs!L105,0)))</f>
        <v>0</v>
      </c>
      <c r="AL105" s="1">
        <v>104</v>
      </c>
      <c r="AM105" s="121">
        <f t="shared" si="32"/>
        <v>0.70864000000000005</v>
      </c>
      <c r="AN105" s="122">
        <f t="shared" si="28"/>
        <v>-1.0382222218888889E-5</v>
      </c>
      <c r="AO105" s="123">
        <f t="shared" si="29"/>
        <v>0.70862961777778111</v>
      </c>
      <c r="AR105" s="114">
        <f t="shared" si="30"/>
        <v>2.3360000000000003</v>
      </c>
      <c r="AS105" s="32">
        <f t="shared" si="31"/>
        <v>2.5955555547222224</v>
      </c>
      <c r="AT105" s="33">
        <f t="shared" si="33"/>
        <v>0.25955555472222214</v>
      </c>
    </row>
    <row r="106" spans="1:46" x14ac:dyDescent="0.3">
      <c r="A106" s="4" t="str">
        <f>undergrid!B106</f>
        <v>h105</v>
      </c>
      <c r="B106" s="73">
        <f>undergrid!C106*2</f>
        <v>1.64</v>
      </c>
      <c r="C106" s="74">
        <f>undergrid!$AQ$2*Costs!B106</f>
        <v>0.82</v>
      </c>
      <c r="D106" s="74">
        <f t="shared" si="19"/>
        <v>1.64</v>
      </c>
      <c r="E106" s="75">
        <f>D106*undergrid!$AQ$2</f>
        <v>0.82</v>
      </c>
      <c r="F106" s="73">
        <f>undergrid!E106</f>
        <v>1.994</v>
      </c>
      <c r="G106" s="74">
        <f>F106*undergrid!$AQ$3</f>
        <v>0.27916000000000002</v>
      </c>
      <c r="H106" s="74">
        <f t="shared" si="20"/>
        <v>1.994</v>
      </c>
      <c r="I106" s="75">
        <f>H106*undergrid!$AQ$3</f>
        <v>0.27916000000000002</v>
      </c>
      <c r="J106" s="73">
        <f>undergrid!G106</f>
        <v>0.13</v>
      </c>
      <c r="K106" s="75">
        <f t="shared" si="21"/>
        <v>0</v>
      </c>
      <c r="L106" s="73">
        <f>undergrid!I106</f>
        <v>0.15</v>
      </c>
      <c r="M106" s="75">
        <f t="shared" si="22"/>
        <v>0</v>
      </c>
      <c r="N106" s="81">
        <f>undergrid!K106</f>
        <v>1</v>
      </c>
      <c r="O106" s="82"/>
      <c r="P106" s="81">
        <f>undergrid!M106</f>
        <v>10.220000000000001</v>
      </c>
      <c r="Q106" s="82"/>
      <c r="R106" s="73">
        <f>undergrid!O106</f>
        <v>5.8812980000000001</v>
      </c>
      <c r="S106" s="74">
        <f>R106*undergrid!$AQ$5</f>
        <v>2.3525192000000001E-5</v>
      </c>
      <c r="T106" s="75">
        <f>R106*(1-Graphs!$AD$1)</f>
        <v>0.2940649000000003</v>
      </c>
      <c r="U106" s="73">
        <f>undergrid!Q106</f>
        <v>10.220000000000001</v>
      </c>
      <c r="V106" s="75">
        <f>IF(U106&lt;0.001,0,P106*undergrid!$AQ$4)</f>
        <v>2.0440000000000001E-5</v>
      </c>
      <c r="W106" s="73">
        <f>undergrid!S106</f>
        <v>0</v>
      </c>
      <c r="X106" s="106">
        <f>IF(undergrid!AI106&gt;0,(undergrid!$AQ$7*W106+undergrid!$AQ$8*undergrid!$AQ$9)*undergrid!$AQ$6,0)+undergrid!AG106*undergrid!$AQ$10</f>
        <v>0</v>
      </c>
      <c r="Y106" s="73">
        <f>undergrid!U106</f>
        <v>0</v>
      </c>
      <c r="Z106" s="74">
        <f>Y106*undergrid!$AQ$5</f>
        <v>0</v>
      </c>
      <c r="AA106" s="75">
        <f>Y106*(1-Graphs!$AD$2)</f>
        <v>0</v>
      </c>
      <c r="AB106" s="73">
        <f>undergrid!W106</f>
        <v>0</v>
      </c>
      <c r="AC106" s="75">
        <f t="shared" si="23"/>
        <v>0</v>
      </c>
      <c r="AD106" s="73">
        <f>undergrid!Y106</f>
        <v>0</v>
      </c>
      <c r="AE106" s="75">
        <f t="shared" si="24"/>
        <v>0</v>
      </c>
      <c r="AF106" s="109">
        <f>undergrid!AA106</f>
        <v>0</v>
      </c>
      <c r="AG106" s="110">
        <f>undergrid!AE106</f>
        <v>0</v>
      </c>
      <c r="AH106" s="93">
        <f t="shared" si="25"/>
        <v>6.5860000000000003</v>
      </c>
      <c r="AI106" s="93">
        <f t="shared" si="26"/>
        <v>0</v>
      </c>
      <c r="AJ106" s="93">
        <f t="shared" si="27"/>
        <v>0</v>
      </c>
      <c r="AK106" s="93">
        <f>IF(AH106&gt;0.00001,undergrid!$AM$4,IF(Costs!AI106&gt;0.0001,((undergrid!$AQ$7*W106+undergrid!$AQ$8*undergrid!$AQ$9)*undergrid!$AQ$6)/W106,IF(Costs!AJ106&gt;0.0001,Costs!L106,0)))</f>
        <v>6.3317080478592676</v>
      </c>
      <c r="AL106" s="1">
        <v>105</v>
      </c>
      <c r="AM106" s="121">
        <f t="shared" si="32"/>
        <v>1.0991599999999999</v>
      </c>
      <c r="AN106" s="122">
        <f t="shared" si="28"/>
        <v>-4.3965192000000002E-5</v>
      </c>
      <c r="AO106" s="123">
        <f t="shared" si="29"/>
        <v>1.099116034808</v>
      </c>
      <c r="AR106" s="114">
        <f t="shared" si="30"/>
        <v>9.5152979999999996</v>
      </c>
      <c r="AS106" s="32">
        <f t="shared" si="31"/>
        <v>10.220000000000001</v>
      </c>
      <c r="AT106" s="33">
        <f t="shared" si="33"/>
        <v>0.70470200000000105</v>
      </c>
    </row>
    <row r="107" spans="1:46" x14ac:dyDescent="0.3">
      <c r="A107" s="4" t="str">
        <f>undergrid!B107</f>
        <v>h106</v>
      </c>
      <c r="B107" s="73">
        <f>undergrid!C107*2</f>
        <v>3.04</v>
      </c>
      <c r="C107" s="74">
        <f>undergrid!$AQ$2*Costs!B107</f>
        <v>1.52</v>
      </c>
      <c r="D107" s="74">
        <f t="shared" si="19"/>
        <v>3.04</v>
      </c>
      <c r="E107" s="75">
        <f>D107*undergrid!$AQ$2</f>
        <v>1.52</v>
      </c>
      <c r="F107" s="73">
        <f>undergrid!E107</f>
        <v>6.3280000000000003</v>
      </c>
      <c r="G107" s="74">
        <f>F107*undergrid!$AQ$3</f>
        <v>0.88592000000000015</v>
      </c>
      <c r="H107" s="74">
        <f t="shared" si="20"/>
        <v>6.3280000000000003</v>
      </c>
      <c r="I107" s="75">
        <f>H107*undergrid!$AQ$3</f>
        <v>0.88592000000000015</v>
      </c>
      <c r="J107" s="73">
        <f>undergrid!G107</f>
        <v>0.13</v>
      </c>
      <c r="K107" s="75">
        <f t="shared" si="21"/>
        <v>0</v>
      </c>
      <c r="L107" s="73">
        <f>undergrid!I107</f>
        <v>0.15</v>
      </c>
      <c r="M107" s="75">
        <f t="shared" si="22"/>
        <v>0</v>
      </c>
      <c r="N107" s="81">
        <f>undergrid!K107</f>
        <v>1</v>
      </c>
      <c r="O107" s="82"/>
      <c r="P107" s="81">
        <f>undergrid!M107</f>
        <v>5.77</v>
      </c>
      <c r="Q107" s="82"/>
      <c r="R107" s="73">
        <f>undergrid!O107</f>
        <v>0</v>
      </c>
      <c r="S107" s="74">
        <f>R107*undergrid!$AQ$5</f>
        <v>0</v>
      </c>
      <c r="T107" s="75">
        <f>R107*(1-Graphs!$AD$1)</f>
        <v>0</v>
      </c>
      <c r="U107" s="73">
        <f>undergrid!Q107</f>
        <v>5.77</v>
      </c>
      <c r="V107" s="75">
        <f>IF(U107&lt;0.001,0,P107*undergrid!$AQ$4)</f>
        <v>1.1539999999999998E-5</v>
      </c>
      <c r="W107" s="73">
        <f>undergrid!S107</f>
        <v>0</v>
      </c>
      <c r="X107" s="106">
        <f>IF(undergrid!AI107&gt;0,(undergrid!$AQ$7*W107+undergrid!$AQ$8*undergrid!$AQ$9)*undergrid!$AQ$6,0)+undergrid!AG107*undergrid!$AQ$10</f>
        <v>0</v>
      </c>
      <c r="Y107" s="73">
        <f>undergrid!U107</f>
        <v>3.9977777777777783</v>
      </c>
      <c r="Z107" s="74">
        <f>Y107*undergrid!$AQ$5</f>
        <v>1.5991111111111112E-5</v>
      </c>
      <c r="AA107" s="75">
        <f>Y107*(1-Graphs!$AD$2)</f>
        <v>0.39977777777777773</v>
      </c>
      <c r="AB107" s="73">
        <f>undergrid!W107</f>
        <v>0</v>
      </c>
      <c r="AC107" s="75">
        <f t="shared" si="23"/>
        <v>0</v>
      </c>
      <c r="AD107" s="73">
        <f>undergrid!Y107</f>
        <v>0</v>
      </c>
      <c r="AE107" s="75">
        <f t="shared" si="24"/>
        <v>0</v>
      </c>
      <c r="AF107" s="109">
        <f>undergrid!AA107</f>
        <v>0</v>
      </c>
      <c r="AG107" s="110">
        <f>undergrid!AE107</f>
        <v>0</v>
      </c>
      <c r="AH107" s="93">
        <f t="shared" si="25"/>
        <v>0</v>
      </c>
      <c r="AI107" s="93">
        <f t="shared" si="26"/>
        <v>0</v>
      </c>
      <c r="AJ107" s="93">
        <f t="shared" si="27"/>
        <v>0</v>
      </c>
      <c r="AK107" s="93">
        <f>IF(AH107&gt;0.00001,undergrid!$AM$4,IF(Costs!AI107&gt;0.0001,((undergrid!$AQ$7*W107+undergrid!$AQ$8*undergrid!$AQ$9)*undergrid!$AQ$6)/W107,IF(Costs!AJ107&gt;0.0001,Costs!L107,0)))</f>
        <v>0</v>
      </c>
      <c r="AL107" s="1">
        <v>106</v>
      </c>
      <c r="AM107" s="121">
        <f t="shared" si="32"/>
        <v>2.4059200000000001</v>
      </c>
      <c r="AN107" s="122">
        <f t="shared" si="28"/>
        <v>-2.753111111111111E-5</v>
      </c>
      <c r="AO107" s="123">
        <f t="shared" si="29"/>
        <v>2.4058924688888887</v>
      </c>
      <c r="AR107" s="114">
        <f t="shared" si="30"/>
        <v>9.3680000000000003</v>
      </c>
      <c r="AS107" s="32">
        <f t="shared" si="31"/>
        <v>9.767777777777777</v>
      </c>
      <c r="AT107" s="33">
        <f t="shared" si="33"/>
        <v>0.39977777777777668</v>
      </c>
    </row>
    <row r="108" spans="1:46" x14ac:dyDescent="0.3">
      <c r="A108" s="4" t="str">
        <f>undergrid!B108</f>
        <v>h107</v>
      </c>
      <c r="B108" s="73">
        <f>undergrid!C108*2</f>
        <v>5.5</v>
      </c>
      <c r="C108" s="74">
        <f>undergrid!$AQ$2*Costs!B108</f>
        <v>2.75</v>
      </c>
      <c r="D108" s="74">
        <f t="shared" si="19"/>
        <v>5.5</v>
      </c>
      <c r="E108" s="75">
        <f>D108*undergrid!$AQ$2</f>
        <v>2.75</v>
      </c>
      <c r="F108" s="73">
        <f>undergrid!E108</f>
        <v>5.9459999999999997</v>
      </c>
      <c r="G108" s="74">
        <f>F108*undergrid!$AQ$3</f>
        <v>0.83244000000000007</v>
      </c>
      <c r="H108" s="74">
        <f t="shared" si="20"/>
        <v>5.9459999999999997</v>
      </c>
      <c r="I108" s="75">
        <f>H108*undergrid!$AQ$3</f>
        <v>0.83244000000000007</v>
      </c>
      <c r="J108" s="73">
        <f>undergrid!G108</f>
        <v>0.13</v>
      </c>
      <c r="K108" s="75">
        <f t="shared" si="21"/>
        <v>0</v>
      </c>
      <c r="L108" s="73">
        <f>undergrid!I108</f>
        <v>0.15</v>
      </c>
      <c r="M108" s="75">
        <f t="shared" si="22"/>
        <v>0</v>
      </c>
      <c r="N108" s="81">
        <f>undergrid!K108</f>
        <v>1</v>
      </c>
      <c r="O108" s="82"/>
      <c r="P108" s="81">
        <f>undergrid!M108</f>
        <v>4.68</v>
      </c>
      <c r="Q108" s="82"/>
      <c r="R108" s="73">
        <f>undergrid!O108</f>
        <v>0</v>
      </c>
      <c r="S108" s="74">
        <f>R108*undergrid!$AQ$5</f>
        <v>0</v>
      </c>
      <c r="T108" s="75">
        <f>R108*(1-Graphs!$AD$1)</f>
        <v>0</v>
      </c>
      <c r="U108" s="73">
        <f>undergrid!Q108</f>
        <v>4.68</v>
      </c>
      <c r="V108" s="75">
        <f>IF(U108&lt;0.001,0,P108*undergrid!$AQ$4)</f>
        <v>9.3599999999999985E-6</v>
      </c>
      <c r="W108" s="73">
        <f>undergrid!S108</f>
        <v>0</v>
      </c>
      <c r="X108" s="106">
        <f>IF(undergrid!AI108&gt;0,(undergrid!$AQ$7*W108+undergrid!$AQ$8*undergrid!$AQ$9)*undergrid!$AQ$6,0)+undergrid!AG108*undergrid!$AQ$10</f>
        <v>0</v>
      </c>
      <c r="Y108" s="73">
        <f>undergrid!U108</f>
        <v>7.5177777777777779</v>
      </c>
      <c r="Z108" s="74">
        <f>Y108*undergrid!$AQ$5</f>
        <v>3.007111111111111E-5</v>
      </c>
      <c r="AA108" s="75">
        <f>Y108*(1-Graphs!$AD$2)</f>
        <v>0.75177777777777766</v>
      </c>
      <c r="AB108" s="73">
        <f>undergrid!W108</f>
        <v>0</v>
      </c>
      <c r="AC108" s="75">
        <f t="shared" si="23"/>
        <v>0</v>
      </c>
      <c r="AD108" s="73">
        <f>undergrid!Y108</f>
        <v>0</v>
      </c>
      <c r="AE108" s="75">
        <f t="shared" si="24"/>
        <v>0</v>
      </c>
      <c r="AF108" s="109">
        <f>undergrid!AA108</f>
        <v>0</v>
      </c>
      <c r="AG108" s="110">
        <f>undergrid!AE108</f>
        <v>0</v>
      </c>
      <c r="AH108" s="93">
        <f t="shared" si="25"/>
        <v>0</v>
      </c>
      <c r="AI108" s="93">
        <f t="shared" si="26"/>
        <v>0</v>
      </c>
      <c r="AJ108" s="93">
        <f t="shared" si="27"/>
        <v>0</v>
      </c>
      <c r="AK108" s="93">
        <f>IF(AH108&gt;0.00001,undergrid!$AM$4,IF(Costs!AI108&gt;0.0001,((undergrid!$AQ$7*W108+undergrid!$AQ$8*undergrid!$AQ$9)*undergrid!$AQ$6)/W108,IF(Costs!AJ108&gt;0.0001,Costs!L108,0)))</f>
        <v>0</v>
      </c>
      <c r="AL108" s="1">
        <v>107</v>
      </c>
      <c r="AM108" s="121">
        <f t="shared" si="32"/>
        <v>3.5824400000000001</v>
      </c>
      <c r="AN108" s="122">
        <f t="shared" si="28"/>
        <v>-3.9431111111111112E-5</v>
      </c>
      <c r="AO108" s="123">
        <f t="shared" si="29"/>
        <v>3.5824005688888891</v>
      </c>
      <c r="AR108" s="114">
        <f t="shared" si="30"/>
        <v>11.446</v>
      </c>
      <c r="AS108" s="32">
        <f t="shared" si="31"/>
        <v>12.197777777777777</v>
      </c>
      <c r="AT108" s="33">
        <f t="shared" si="33"/>
        <v>0.75177777777777699</v>
      </c>
    </row>
    <row r="109" spans="1:46" x14ac:dyDescent="0.3">
      <c r="A109" s="4" t="str">
        <f>undergrid!B109</f>
        <v>h108</v>
      </c>
      <c r="B109" s="73">
        <f>undergrid!C109*2</f>
        <v>4.88</v>
      </c>
      <c r="C109" s="74">
        <f>undergrid!$AQ$2*Costs!B109</f>
        <v>2.44</v>
      </c>
      <c r="D109" s="74">
        <f t="shared" si="19"/>
        <v>4.88</v>
      </c>
      <c r="E109" s="75">
        <f>D109*undergrid!$AQ$2</f>
        <v>2.44</v>
      </c>
      <c r="F109" s="73">
        <f>undergrid!E109</f>
        <v>5.2679999999999998</v>
      </c>
      <c r="G109" s="74">
        <f>F109*undergrid!$AQ$3</f>
        <v>0.73752000000000006</v>
      </c>
      <c r="H109" s="74">
        <f t="shared" si="20"/>
        <v>5.2679999999999998</v>
      </c>
      <c r="I109" s="75">
        <f>H109*undergrid!$AQ$3</f>
        <v>0.73752000000000006</v>
      </c>
      <c r="J109" s="73">
        <f>undergrid!G109</f>
        <v>0.13</v>
      </c>
      <c r="K109" s="75">
        <f t="shared" si="21"/>
        <v>0</v>
      </c>
      <c r="L109" s="73">
        <f>undergrid!I109</f>
        <v>0.15</v>
      </c>
      <c r="M109" s="75">
        <f t="shared" si="22"/>
        <v>0</v>
      </c>
      <c r="N109" s="81">
        <f>undergrid!K109</f>
        <v>1</v>
      </c>
      <c r="O109" s="82"/>
      <c r="P109" s="81">
        <f>undergrid!M109</f>
        <v>5.47</v>
      </c>
      <c r="Q109" s="82"/>
      <c r="R109" s="73">
        <f>undergrid!O109</f>
        <v>0</v>
      </c>
      <c r="S109" s="74">
        <f>R109*undergrid!$AQ$5</f>
        <v>0</v>
      </c>
      <c r="T109" s="75">
        <f>R109*(1-Graphs!$AD$1)</f>
        <v>0</v>
      </c>
      <c r="U109" s="73">
        <f>undergrid!Q109</f>
        <v>5.47</v>
      </c>
      <c r="V109" s="75">
        <f>IF(U109&lt;0.001,0,P109*undergrid!$AQ$4)</f>
        <v>1.0939999999999999E-5</v>
      </c>
      <c r="W109" s="73">
        <f>undergrid!S109</f>
        <v>0</v>
      </c>
      <c r="X109" s="106">
        <f>IF(undergrid!AI109&gt;0,(undergrid!$AQ$7*W109+undergrid!$AQ$8*undergrid!$AQ$9)*undergrid!$AQ$6,0)+undergrid!AG109*undergrid!$AQ$10</f>
        <v>0</v>
      </c>
      <c r="Y109" s="73">
        <f>undergrid!U109</f>
        <v>5.1977777777777785</v>
      </c>
      <c r="Z109" s="74">
        <f>Y109*undergrid!$AQ$5</f>
        <v>2.0791111111111114E-5</v>
      </c>
      <c r="AA109" s="75">
        <f>Y109*(1-Graphs!$AD$2)</f>
        <v>0.51977777777777778</v>
      </c>
      <c r="AB109" s="73">
        <f>undergrid!W109</f>
        <v>0</v>
      </c>
      <c r="AC109" s="75">
        <f t="shared" si="23"/>
        <v>0</v>
      </c>
      <c r="AD109" s="73">
        <f>undergrid!Y109</f>
        <v>0</v>
      </c>
      <c r="AE109" s="75">
        <f t="shared" si="24"/>
        <v>0</v>
      </c>
      <c r="AF109" s="109">
        <f>undergrid!AA109</f>
        <v>0</v>
      </c>
      <c r="AG109" s="110">
        <f>undergrid!AE109</f>
        <v>0</v>
      </c>
      <c r="AH109" s="93">
        <f t="shared" si="25"/>
        <v>0</v>
      </c>
      <c r="AI109" s="93">
        <f t="shared" si="26"/>
        <v>0</v>
      </c>
      <c r="AJ109" s="93">
        <f t="shared" si="27"/>
        <v>0</v>
      </c>
      <c r="AK109" s="93">
        <f>IF(AH109&gt;0.00001,undergrid!$AM$4,IF(Costs!AI109&gt;0.0001,((undergrid!$AQ$7*W109+undergrid!$AQ$8*undergrid!$AQ$9)*undergrid!$AQ$6)/W109,IF(Costs!AJ109&gt;0.0001,Costs!L109,0)))</f>
        <v>0</v>
      </c>
      <c r="AL109" s="1">
        <v>108</v>
      </c>
      <c r="AM109" s="121">
        <f t="shared" si="32"/>
        <v>3.1775199999999999</v>
      </c>
      <c r="AN109" s="122">
        <f t="shared" si="28"/>
        <v>-3.1731111111111114E-5</v>
      </c>
      <c r="AO109" s="123">
        <f t="shared" si="29"/>
        <v>3.1774882688888888</v>
      </c>
      <c r="AR109" s="114">
        <f t="shared" si="30"/>
        <v>10.148</v>
      </c>
      <c r="AS109" s="32">
        <f t="shared" si="31"/>
        <v>10.667777777777779</v>
      </c>
      <c r="AT109" s="33">
        <f t="shared" si="33"/>
        <v>0.51977777777777945</v>
      </c>
    </row>
    <row r="110" spans="1:46" x14ac:dyDescent="0.3">
      <c r="A110" s="4" t="str">
        <f>undergrid!B110</f>
        <v>h109</v>
      </c>
      <c r="B110" s="73">
        <f>undergrid!C110*2</f>
        <v>3.66</v>
      </c>
      <c r="C110" s="74">
        <f>undergrid!$AQ$2*Costs!B110</f>
        <v>1.83</v>
      </c>
      <c r="D110" s="74">
        <f t="shared" si="19"/>
        <v>3.66</v>
      </c>
      <c r="E110" s="75">
        <f>D110*undergrid!$AQ$2</f>
        <v>1.83</v>
      </c>
      <c r="F110" s="73">
        <f>undergrid!E110</f>
        <v>0.7</v>
      </c>
      <c r="G110" s="74">
        <f>F110*undergrid!$AQ$3</f>
        <v>9.8000000000000004E-2</v>
      </c>
      <c r="H110" s="74">
        <f t="shared" si="20"/>
        <v>0.7</v>
      </c>
      <c r="I110" s="75">
        <f>H110*undergrid!$AQ$3</f>
        <v>9.8000000000000004E-2</v>
      </c>
      <c r="J110" s="73">
        <f>undergrid!G110</f>
        <v>0.13</v>
      </c>
      <c r="K110" s="75">
        <f t="shared" si="21"/>
        <v>0</v>
      </c>
      <c r="L110" s="73">
        <f>undergrid!I110</f>
        <v>0.15</v>
      </c>
      <c r="M110" s="75">
        <f t="shared" si="22"/>
        <v>0</v>
      </c>
      <c r="N110" s="81">
        <f>undergrid!K110</f>
        <v>1</v>
      </c>
      <c r="O110" s="82"/>
      <c r="P110" s="81">
        <f>undergrid!M110</f>
        <v>6.01</v>
      </c>
      <c r="Q110" s="82"/>
      <c r="R110" s="73">
        <f>undergrid!O110</f>
        <v>1.4734499999999993</v>
      </c>
      <c r="S110" s="74">
        <f>R110*undergrid!$AQ$5</f>
        <v>5.8937999999999968E-6</v>
      </c>
      <c r="T110" s="75">
        <f>R110*(1-Graphs!$AD$1)</f>
        <v>7.367250000000003E-2</v>
      </c>
      <c r="U110" s="73">
        <f>undergrid!Q110</f>
        <v>6.01</v>
      </c>
      <c r="V110" s="75">
        <f>IF(U110&lt;0.001,0,P110*undergrid!$AQ$4)</f>
        <v>1.2019999999999998E-5</v>
      </c>
      <c r="W110" s="73">
        <f>undergrid!S110</f>
        <v>0</v>
      </c>
      <c r="X110" s="106">
        <f>IF(undergrid!AI110&gt;0,(undergrid!$AQ$7*W110+undergrid!$AQ$8*undergrid!$AQ$9)*undergrid!$AQ$6,0)+undergrid!AG110*undergrid!$AQ$10</f>
        <v>0</v>
      </c>
      <c r="Y110" s="73">
        <f>undergrid!U110</f>
        <v>0</v>
      </c>
      <c r="Z110" s="74">
        <f>Y110*undergrid!$AQ$5</f>
        <v>0</v>
      </c>
      <c r="AA110" s="75">
        <f>Y110*(1-Graphs!$AD$2)</f>
        <v>0</v>
      </c>
      <c r="AB110" s="73">
        <f>undergrid!W110</f>
        <v>0</v>
      </c>
      <c r="AC110" s="75">
        <f t="shared" si="23"/>
        <v>0</v>
      </c>
      <c r="AD110" s="73">
        <f>undergrid!Y110</f>
        <v>0</v>
      </c>
      <c r="AE110" s="75">
        <f t="shared" si="24"/>
        <v>0</v>
      </c>
      <c r="AF110" s="109">
        <f>undergrid!AA110</f>
        <v>0</v>
      </c>
      <c r="AG110" s="110">
        <f>undergrid!AE110</f>
        <v>0</v>
      </c>
      <c r="AH110" s="93">
        <f t="shared" si="25"/>
        <v>1.6499999999999997</v>
      </c>
      <c r="AI110" s="93">
        <f t="shared" si="26"/>
        <v>0</v>
      </c>
      <c r="AJ110" s="93">
        <f t="shared" si="27"/>
        <v>0</v>
      </c>
      <c r="AK110" s="93">
        <f>IF(AH110&gt;0.00001,undergrid!$AM$4,IF(Costs!AI110&gt;0.0001,((undergrid!$AQ$7*W110+undergrid!$AQ$8*undergrid!$AQ$9)*undergrid!$AQ$6)/W110,IF(Costs!AJ110&gt;0.0001,Costs!L110,0)))</f>
        <v>6.3317080478592676</v>
      </c>
      <c r="AL110" s="1">
        <v>109</v>
      </c>
      <c r="AM110" s="121">
        <f t="shared" si="32"/>
        <v>1.9280000000000002</v>
      </c>
      <c r="AN110" s="122">
        <f t="shared" si="28"/>
        <v>-1.7913799999999994E-5</v>
      </c>
      <c r="AO110" s="123">
        <f t="shared" si="29"/>
        <v>1.9279820862000001</v>
      </c>
      <c r="AR110" s="114">
        <f t="shared" si="30"/>
        <v>5.8334499999999991</v>
      </c>
      <c r="AS110" s="32">
        <f t="shared" si="31"/>
        <v>6.01</v>
      </c>
      <c r="AT110" s="33">
        <f t="shared" si="33"/>
        <v>0.17655000000000065</v>
      </c>
    </row>
    <row r="111" spans="1:46" x14ac:dyDescent="0.3">
      <c r="A111" s="4" t="str">
        <f>undergrid!B111</f>
        <v>h110</v>
      </c>
      <c r="B111" s="73">
        <f>undergrid!C111*2</f>
        <v>12.3</v>
      </c>
      <c r="C111" s="74">
        <f>undergrid!$AQ$2*Costs!B111</f>
        <v>6.15</v>
      </c>
      <c r="D111" s="74">
        <f t="shared" si="19"/>
        <v>12.3</v>
      </c>
      <c r="E111" s="75">
        <f>D111*undergrid!$AQ$2</f>
        <v>6.15</v>
      </c>
      <c r="F111" s="73">
        <f>undergrid!E111</f>
        <v>1.429</v>
      </c>
      <c r="G111" s="74">
        <f>F111*undergrid!$AQ$3</f>
        <v>0.20006000000000002</v>
      </c>
      <c r="H111" s="74">
        <f t="shared" si="20"/>
        <v>1.429</v>
      </c>
      <c r="I111" s="75">
        <f>H111*undergrid!$AQ$3</f>
        <v>0.20006000000000002</v>
      </c>
      <c r="J111" s="73">
        <f>undergrid!G111</f>
        <v>0.13</v>
      </c>
      <c r="K111" s="75">
        <f t="shared" si="21"/>
        <v>0</v>
      </c>
      <c r="L111" s="73">
        <f>undergrid!I111</f>
        <v>0.15</v>
      </c>
      <c r="M111" s="75">
        <f t="shared" si="22"/>
        <v>0</v>
      </c>
      <c r="N111" s="81">
        <f>undergrid!K111</f>
        <v>1</v>
      </c>
      <c r="O111" s="82"/>
      <c r="P111" s="81">
        <f>undergrid!M111</f>
        <v>15.97</v>
      </c>
      <c r="Q111" s="82"/>
      <c r="R111" s="73">
        <f>undergrid!O111</f>
        <v>2.0012129999999981</v>
      </c>
      <c r="S111" s="74">
        <f>R111*undergrid!$AQ$5</f>
        <v>8.0048519999999921E-6</v>
      </c>
      <c r="T111" s="75">
        <f>R111*(1-Graphs!$AD$1)</f>
        <v>0.10006065</v>
      </c>
      <c r="U111" s="73">
        <f>undergrid!Q111</f>
        <v>15.97</v>
      </c>
      <c r="V111" s="75">
        <f>IF(U111&lt;0.001,0,P111*undergrid!$AQ$4)</f>
        <v>3.1940000000000003E-5</v>
      </c>
      <c r="W111" s="73">
        <f>undergrid!S111</f>
        <v>0</v>
      </c>
      <c r="X111" s="106">
        <f>IF(undergrid!AI111&gt;0,(undergrid!$AQ$7*W111+undergrid!$AQ$8*undergrid!$AQ$9)*undergrid!$AQ$6,0)+undergrid!AG111*undergrid!$AQ$10</f>
        <v>0</v>
      </c>
      <c r="Y111" s="73">
        <f>undergrid!U111</f>
        <v>0</v>
      </c>
      <c r="Z111" s="74">
        <f>Y111*undergrid!$AQ$5</f>
        <v>0</v>
      </c>
      <c r="AA111" s="75">
        <f>Y111*(1-Graphs!$AD$2)</f>
        <v>0</v>
      </c>
      <c r="AB111" s="73">
        <f>undergrid!W111</f>
        <v>0</v>
      </c>
      <c r="AC111" s="75">
        <f t="shared" si="23"/>
        <v>0</v>
      </c>
      <c r="AD111" s="73">
        <f>undergrid!Y111</f>
        <v>0</v>
      </c>
      <c r="AE111" s="75">
        <f t="shared" si="24"/>
        <v>0</v>
      </c>
      <c r="AF111" s="109">
        <f>undergrid!AA111</f>
        <v>0</v>
      </c>
      <c r="AG111" s="110">
        <f>undergrid!AE111</f>
        <v>0</v>
      </c>
      <c r="AH111" s="93">
        <f t="shared" si="25"/>
        <v>2.2409999999999997</v>
      </c>
      <c r="AI111" s="93">
        <f t="shared" si="26"/>
        <v>0</v>
      </c>
      <c r="AJ111" s="93">
        <f t="shared" si="27"/>
        <v>0</v>
      </c>
      <c r="AK111" s="93">
        <f>IF(AH111&gt;0.00001,undergrid!$AM$4,IF(Costs!AI111&gt;0.0001,((undergrid!$AQ$7*W111+undergrid!$AQ$8*undergrid!$AQ$9)*undergrid!$AQ$6)/W111,IF(Costs!AJ111&gt;0.0001,Costs!L111,0)))</f>
        <v>6.3317080478592676</v>
      </c>
      <c r="AL111" s="1">
        <v>110</v>
      </c>
      <c r="AM111" s="121">
        <f t="shared" si="32"/>
        <v>6.35006</v>
      </c>
      <c r="AN111" s="122">
        <f t="shared" si="28"/>
        <v>-3.9944851999999993E-5</v>
      </c>
      <c r="AO111" s="123">
        <f t="shared" si="29"/>
        <v>6.3500200551479997</v>
      </c>
      <c r="AR111" s="114">
        <f t="shared" si="30"/>
        <v>15.730212999999999</v>
      </c>
      <c r="AS111" s="32">
        <f t="shared" si="31"/>
        <v>15.97</v>
      </c>
      <c r="AT111" s="33">
        <f t="shared" si="33"/>
        <v>0.23978700000000153</v>
      </c>
    </row>
    <row r="112" spans="1:46" x14ac:dyDescent="0.3">
      <c r="A112" s="4" t="str">
        <f>undergrid!B112</f>
        <v>h111</v>
      </c>
      <c r="B112" s="73">
        <f>undergrid!C112*2</f>
        <v>7.88</v>
      </c>
      <c r="C112" s="74">
        <f>undergrid!$AQ$2*Costs!B112</f>
        <v>3.94</v>
      </c>
      <c r="D112" s="74">
        <f t="shared" si="19"/>
        <v>7.88</v>
      </c>
      <c r="E112" s="75">
        <f>D112*undergrid!$AQ$2</f>
        <v>3.94</v>
      </c>
      <c r="F112" s="73">
        <f>undergrid!E112</f>
        <v>4.95</v>
      </c>
      <c r="G112" s="74">
        <f>F112*undergrid!$AQ$3</f>
        <v>0.69300000000000006</v>
      </c>
      <c r="H112" s="74">
        <f t="shared" si="20"/>
        <v>4.95</v>
      </c>
      <c r="I112" s="75">
        <f>H112*undergrid!$AQ$3</f>
        <v>0.69300000000000006</v>
      </c>
      <c r="J112" s="73">
        <f>undergrid!G112</f>
        <v>0.13</v>
      </c>
      <c r="K112" s="75">
        <f t="shared" si="21"/>
        <v>0</v>
      </c>
      <c r="L112" s="73">
        <f>undergrid!I112</f>
        <v>0.15</v>
      </c>
      <c r="M112" s="75">
        <f t="shared" si="22"/>
        <v>0</v>
      </c>
      <c r="N112" s="81">
        <f>undergrid!K112</f>
        <v>2</v>
      </c>
      <c r="O112" s="82"/>
      <c r="P112" s="81">
        <f>undergrid!M112</f>
        <v>7.89</v>
      </c>
      <c r="Q112" s="82"/>
      <c r="R112" s="73">
        <f>undergrid!O112</f>
        <v>0</v>
      </c>
      <c r="S112" s="74">
        <f>R112*undergrid!$AQ$5</f>
        <v>0</v>
      </c>
      <c r="T112" s="75">
        <f>R112*(1-Graphs!$AD$1)</f>
        <v>0</v>
      </c>
      <c r="U112" s="73">
        <f>undergrid!Q112</f>
        <v>7.89</v>
      </c>
      <c r="V112" s="75">
        <f>IF(U112&lt;0.001,0,P112*undergrid!$AQ$4)</f>
        <v>1.5779999999999998E-5</v>
      </c>
      <c r="W112" s="73">
        <f>undergrid!S112</f>
        <v>0</v>
      </c>
      <c r="X112" s="106">
        <f>IF(undergrid!AI112&gt;0,(undergrid!$AQ$7*W112+undergrid!$AQ$8*undergrid!$AQ$9)*undergrid!$AQ$6,0)+undergrid!AG112*undergrid!$AQ$10</f>
        <v>0</v>
      </c>
      <c r="Y112" s="73">
        <f>undergrid!U112</f>
        <v>5.4888888888888889</v>
      </c>
      <c r="Z112" s="74">
        <f>Y112*undergrid!$AQ$5</f>
        <v>2.1955555555555555E-5</v>
      </c>
      <c r="AA112" s="75">
        <f>Y112*(1-Graphs!$AD$2)</f>
        <v>0.54888888888888876</v>
      </c>
      <c r="AB112" s="73">
        <f>undergrid!W112</f>
        <v>0</v>
      </c>
      <c r="AC112" s="75">
        <f t="shared" si="23"/>
        <v>0</v>
      </c>
      <c r="AD112" s="73">
        <f>undergrid!Y112</f>
        <v>0</v>
      </c>
      <c r="AE112" s="75">
        <f t="shared" si="24"/>
        <v>0</v>
      </c>
      <c r="AF112" s="109">
        <f>undergrid!AA112</f>
        <v>0</v>
      </c>
      <c r="AG112" s="110">
        <f>undergrid!AE112</f>
        <v>0</v>
      </c>
      <c r="AH112" s="93">
        <f t="shared" si="25"/>
        <v>0</v>
      </c>
      <c r="AI112" s="93">
        <f t="shared" si="26"/>
        <v>0</v>
      </c>
      <c r="AJ112" s="93">
        <f t="shared" si="27"/>
        <v>0</v>
      </c>
      <c r="AK112" s="93">
        <f>IF(AH112&gt;0.00001,undergrid!$AM$4,IF(Costs!AI112&gt;0.0001,((undergrid!$AQ$7*W112+undergrid!$AQ$8*undergrid!$AQ$9)*undergrid!$AQ$6)/W112,IF(Costs!AJ112&gt;0.0001,Costs!L112,0)))</f>
        <v>0</v>
      </c>
      <c r="AL112" s="1">
        <v>111</v>
      </c>
      <c r="AM112" s="121">
        <f t="shared" si="32"/>
        <v>4.633</v>
      </c>
      <c r="AN112" s="122">
        <f t="shared" si="28"/>
        <v>-3.7735555555555556E-5</v>
      </c>
      <c r="AO112" s="123">
        <f t="shared" si="29"/>
        <v>4.6329622644444441</v>
      </c>
      <c r="AR112" s="114">
        <f t="shared" si="30"/>
        <v>12.83</v>
      </c>
      <c r="AS112" s="32">
        <f t="shared" si="31"/>
        <v>13.378888888888888</v>
      </c>
      <c r="AT112" s="33">
        <f t="shared" si="33"/>
        <v>0.54888888888888765</v>
      </c>
    </row>
    <row r="113" spans="1:46" x14ac:dyDescent="0.3">
      <c r="A113" s="4" t="str">
        <f>undergrid!B113</f>
        <v>h112</v>
      </c>
      <c r="B113" s="73">
        <f>undergrid!C113*2</f>
        <v>8.32</v>
      </c>
      <c r="C113" s="74">
        <f>undergrid!$AQ$2*Costs!B113</f>
        <v>4.16</v>
      </c>
      <c r="D113" s="74">
        <f t="shared" si="19"/>
        <v>8.32</v>
      </c>
      <c r="E113" s="75">
        <f>D113*undergrid!$AQ$2</f>
        <v>4.16</v>
      </c>
      <c r="F113" s="73">
        <f>undergrid!E113</f>
        <v>8.9809999999999999</v>
      </c>
      <c r="G113" s="74">
        <f>F113*undergrid!$AQ$3</f>
        <v>1.2573400000000001</v>
      </c>
      <c r="H113" s="74">
        <f t="shared" si="20"/>
        <v>8.9809999999999999</v>
      </c>
      <c r="I113" s="75">
        <f>H113*undergrid!$AQ$3</f>
        <v>1.2573400000000001</v>
      </c>
      <c r="J113" s="73">
        <f>undergrid!G113</f>
        <v>0.13</v>
      </c>
      <c r="K113" s="75">
        <f t="shared" si="21"/>
        <v>0</v>
      </c>
      <c r="L113" s="73">
        <f>undergrid!I113</f>
        <v>0.15</v>
      </c>
      <c r="M113" s="75">
        <f t="shared" si="22"/>
        <v>0</v>
      </c>
      <c r="N113" s="81">
        <f>undergrid!K113</f>
        <v>2</v>
      </c>
      <c r="O113" s="82"/>
      <c r="P113" s="81">
        <f>undergrid!M113</f>
        <v>7.55</v>
      </c>
      <c r="Q113" s="82"/>
      <c r="R113" s="73">
        <f>undergrid!O113</f>
        <v>0</v>
      </c>
      <c r="S113" s="74">
        <f>R113*undergrid!$AQ$5</f>
        <v>0</v>
      </c>
      <c r="T113" s="75">
        <f>R113*(1-Graphs!$AD$1)</f>
        <v>0</v>
      </c>
      <c r="U113" s="73">
        <f>undergrid!Q113</f>
        <v>7.55</v>
      </c>
      <c r="V113" s="75">
        <f>IF(U113&lt;0.001,0,P113*undergrid!$AQ$4)</f>
        <v>1.5099999999999999E-5</v>
      </c>
      <c r="W113" s="73">
        <f>undergrid!S113</f>
        <v>0</v>
      </c>
      <c r="X113" s="106">
        <f>IF(undergrid!AI113&gt;0,(undergrid!$AQ$7*W113+undergrid!$AQ$8*undergrid!$AQ$9)*undergrid!$AQ$6,0)+undergrid!AG113*undergrid!$AQ$10</f>
        <v>0</v>
      </c>
      <c r="Y113" s="73">
        <f>undergrid!U113</f>
        <v>10.834444444444447</v>
      </c>
      <c r="Z113" s="74">
        <f>Y113*undergrid!$AQ$5</f>
        <v>4.3337777777777786E-5</v>
      </c>
      <c r="AA113" s="75">
        <f>Y113*(1-Graphs!$AD$2)</f>
        <v>1.0834444444444444</v>
      </c>
      <c r="AB113" s="73">
        <f>undergrid!W113</f>
        <v>0</v>
      </c>
      <c r="AC113" s="75">
        <f t="shared" si="23"/>
        <v>0</v>
      </c>
      <c r="AD113" s="73">
        <f>undergrid!Y113</f>
        <v>0</v>
      </c>
      <c r="AE113" s="75">
        <f t="shared" si="24"/>
        <v>0</v>
      </c>
      <c r="AF113" s="109">
        <f>undergrid!AA113</f>
        <v>0</v>
      </c>
      <c r="AG113" s="110">
        <f>undergrid!AE113</f>
        <v>0</v>
      </c>
      <c r="AH113" s="93">
        <f t="shared" si="25"/>
        <v>0</v>
      </c>
      <c r="AI113" s="93">
        <f t="shared" si="26"/>
        <v>0</v>
      </c>
      <c r="AJ113" s="93">
        <f t="shared" si="27"/>
        <v>0</v>
      </c>
      <c r="AK113" s="93">
        <f>IF(AH113&gt;0.00001,undergrid!$AM$4,IF(Costs!AI113&gt;0.0001,((undergrid!$AQ$7*W113+undergrid!$AQ$8*undergrid!$AQ$9)*undergrid!$AQ$6)/W113,IF(Costs!AJ113&gt;0.0001,Costs!L113,0)))</f>
        <v>0</v>
      </c>
      <c r="AL113" s="1">
        <v>112</v>
      </c>
      <c r="AM113" s="121">
        <f t="shared" si="32"/>
        <v>5.4173400000000003</v>
      </c>
      <c r="AN113" s="122">
        <f t="shared" si="28"/>
        <v>-5.8437777777777787E-5</v>
      </c>
      <c r="AO113" s="123">
        <f t="shared" si="29"/>
        <v>5.4172815622222226</v>
      </c>
      <c r="AR113" s="114">
        <f t="shared" si="30"/>
        <v>17.301000000000002</v>
      </c>
      <c r="AS113" s="32">
        <f t="shared" si="31"/>
        <v>18.384444444444448</v>
      </c>
      <c r="AT113" s="33">
        <f t="shared" si="33"/>
        <v>1.0834444444444458</v>
      </c>
    </row>
    <row r="114" spans="1:46" x14ac:dyDescent="0.3">
      <c r="A114" s="4" t="str">
        <f>undergrid!B114</f>
        <v>h113</v>
      </c>
      <c r="B114" s="73">
        <f>undergrid!C114*2</f>
        <v>3.98</v>
      </c>
      <c r="C114" s="74">
        <f>undergrid!$AQ$2*Costs!B114</f>
        <v>1.99</v>
      </c>
      <c r="D114" s="74">
        <f t="shared" si="19"/>
        <v>3.98</v>
      </c>
      <c r="E114" s="75">
        <f>D114*undergrid!$AQ$2</f>
        <v>1.99</v>
      </c>
      <c r="F114" s="73">
        <f>undergrid!E114</f>
        <v>4.2969999999999997</v>
      </c>
      <c r="G114" s="74">
        <f>F114*undergrid!$AQ$3</f>
        <v>0.60158</v>
      </c>
      <c r="H114" s="74">
        <f t="shared" si="20"/>
        <v>4.2969999999999997</v>
      </c>
      <c r="I114" s="75">
        <f>H114*undergrid!$AQ$3</f>
        <v>0.60158</v>
      </c>
      <c r="J114" s="73">
        <f>undergrid!G114</f>
        <v>0.13</v>
      </c>
      <c r="K114" s="75">
        <f t="shared" si="21"/>
        <v>0</v>
      </c>
      <c r="L114" s="73">
        <f>undergrid!I114</f>
        <v>0.15</v>
      </c>
      <c r="M114" s="75">
        <f t="shared" si="22"/>
        <v>0</v>
      </c>
      <c r="N114" s="81">
        <f>undergrid!K114</f>
        <v>2</v>
      </c>
      <c r="O114" s="82"/>
      <c r="P114" s="81">
        <f>undergrid!M114</f>
        <v>5.68</v>
      </c>
      <c r="Q114" s="82"/>
      <c r="R114" s="73">
        <f>undergrid!O114</f>
        <v>0</v>
      </c>
      <c r="S114" s="74">
        <f>R114*undergrid!$AQ$5</f>
        <v>0</v>
      </c>
      <c r="T114" s="75">
        <f>R114*(1-Graphs!$AD$1)</f>
        <v>0</v>
      </c>
      <c r="U114" s="73">
        <f>undergrid!Q114</f>
        <v>5.68</v>
      </c>
      <c r="V114" s="75">
        <f>IF(U114&lt;0.001,0,P114*undergrid!$AQ$4)</f>
        <v>1.136E-5</v>
      </c>
      <c r="W114" s="73">
        <f>undergrid!S114</f>
        <v>0</v>
      </c>
      <c r="X114" s="106">
        <f>IF(undergrid!AI114&gt;0,(undergrid!$AQ$7*W114+undergrid!$AQ$8*undergrid!$AQ$9)*undergrid!$AQ$6,0)+undergrid!AG114*undergrid!$AQ$10</f>
        <v>0</v>
      </c>
      <c r="Y114" s="73">
        <f>undergrid!U114</f>
        <v>2.8855555555555545</v>
      </c>
      <c r="Z114" s="74">
        <f>Y114*undergrid!$AQ$5</f>
        <v>1.1542222222222217E-5</v>
      </c>
      <c r="AA114" s="75">
        <f>Y114*(1-Graphs!$AD$2)</f>
        <v>0.2885555555555554</v>
      </c>
      <c r="AB114" s="73">
        <f>undergrid!W114</f>
        <v>0</v>
      </c>
      <c r="AC114" s="75">
        <f t="shared" si="23"/>
        <v>0</v>
      </c>
      <c r="AD114" s="73">
        <f>undergrid!Y114</f>
        <v>0</v>
      </c>
      <c r="AE114" s="75">
        <f t="shared" si="24"/>
        <v>0</v>
      </c>
      <c r="AF114" s="109">
        <f>undergrid!AA114</f>
        <v>0</v>
      </c>
      <c r="AG114" s="110">
        <f>undergrid!AE114</f>
        <v>0</v>
      </c>
      <c r="AH114" s="93">
        <f t="shared" si="25"/>
        <v>0</v>
      </c>
      <c r="AI114" s="93">
        <f t="shared" si="26"/>
        <v>0</v>
      </c>
      <c r="AJ114" s="93">
        <f t="shared" si="27"/>
        <v>0</v>
      </c>
      <c r="AK114" s="93">
        <f>IF(AH114&gt;0.00001,undergrid!$AM$4,IF(Costs!AI114&gt;0.0001,((undergrid!$AQ$7*W114+undergrid!$AQ$8*undergrid!$AQ$9)*undergrid!$AQ$6)/W114,IF(Costs!AJ114&gt;0.0001,Costs!L114,0)))</f>
        <v>0</v>
      </c>
      <c r="AL114" s="1">
        <v>113</v>
      </c>
      <c r="AM114" s="121">
        <f t="shared" si="32"/>
        <v>2.59158</v>
      </c>
      <c r="AN114" s="122">
        <f t="shared" si="28"/>
        <v>-2.2902222222222217E-5</v>
      </c>
      <c r="AO114" s="123">
        <f t="shared" si="29"/>
        <v>2.5915570977777778</v>
      </c>
      <c r="AR114" s="114">
        <f t="shared" si="30"/>
        <v>8.2769999999999992</v>
      </c>
      <c r="AS114" s="32">
        <f t="shared" si="31"/>
        <v>8.5655555555555551</v>
      </c>
      <c r="AT114" s="33">
        <f t="shared" si="33"/>
        <v>0.2885555555555559</v>
      </c>
    </row>
    <row r="115" spans="1:46" x14ac:dyDescent="0.3">
      <c r="A115" s="4" t="str">
        <f>undergrid!B115</f>
        <v>h114</v>
      </c>
      <c r="B115" s="73">
        <f>undergrid!C115*2</f>
        <v>6.78</v>
      </c>
      <c r="C115" s="74">
        <f>undergrid!$AQ$2*Costs!B115</f>
        <v>3.39</v>
      </c>
      <c r="D115" s="74">
        <f t="shared" si="19"/>
        <v>6.78</v>
      </c>
      <c r="E115" s="75">
        <f>D115*undergrid!$AQ$2</f>
        <v>3.39</v>
      </c>
      <c r="F115" s="73">
        <f>undergrid!E115</f>
        <v>6.1959999999999997</v>
      </c>
      <c r="G115" s="74">
        <f>F115*undergrid!$AQ$3</f>
        <v>0.8674400000000001</v>
      </c>
      <c r="H115" s="74">
        <f t="shared" si="20"/>
        <v>6.1959999999999997</v>
      </c>
      <c r="I115" s="75">
        <f>H115*undergrid!$AQ$3</f>
        <v>0.8674400000000001</v>
      </c>
      <c r="J115" s="73">
        <f>undergrid!G115</f>
        <v>0.13</v>
      </c>
      <c r="K115" s="75">
        <f t="shared" si="21"/>
        <v>0</v>
      </c>
      <c r="L115" s="73">
        <f>undergrid!I115</f>
        <v>0.15</v>
      </c>
      <c r="M115" s="75">
        <f t="shared" si="22"/>
        <v>0</v>
      </c>
      <c r="N115" s="81">
        <f>undergrid!K115</f>
        <v>2</v>
      </c>
      <c r="O115" s="82"/>
      <c r="P115" s="81">
        <f>undergrid!M115</f>
        <v>8.0999999999999999E-10</v>
      </c>
      <c r="Q115" s="82"/>
      <c r="R115" s="73">
        <f>undergrid!O115</f>
        <v>0</v>
      </c>
      <c r="S115" s="74">
        <f>R115*undergrid!$AQ$5</f>
        <v>0</v>
      </c>
      <c r="T115" s="75">
        <f>R115*(1-Graphs!$AD$1)</f>
        <v>0</v>
      </c>
      <c r="U115" s="73">
        <f>undergrid!Q115</f>
        <v>0</v>
      </c>
      <c r="V115" s="75">
        <f>IF(U115&lt;0.001,0,P115*undergrid!$AQ$4)</f>
        <v>0</v>
      </c>
      <c r="W115" s="73">
        <f>undergrid!S115</f>
        <v>0</v>
      </c>
      <c r="X115" s="106">
        <f>IF(undergrid!AI115&gt;0,(undergrid!$AQ$7*W115+undergrid!$AQ$8*undergrid!$AQ$9)*undergrid!$AQ$6,0)+undergrid!AG115*undergrid!$AQ$10</f>
        <v>0</v>
      </c>
      <c r="Y115" s="73">
        <f>undergrid!U115</f>
        <v>14.417777776877777</v>
      </c>
      <c r="Z115" s="74">
        <f>Y115*undergrid!$AQ$5</f>
        <v>5.7671111107511108E-5</v>
      </c>
      <c r="AA115" s="75">
        <f>Y115*(1-Graphs!$AD$2)</f>
        <v>1.4417777776877774</v>
      </c>
      <c r="AB115" s="73">
        <f>undergrid!W115</f>
        <v>0</v>
      </c>
      <c r="AC115" s="75">
        <f t="shared" si="23"/>
        <v>0</v>
      </c>
      <c r="AD115" s="73">
        <f>undergrid!Y115</f>
        <v>0</v>
      </c>
      <c r="AE115" s="75">
        <f t="shared" si="24"/>
        <v>0</v>
      </c>
      <c r="AF115" s="109">
        <f>undergrid!AA115</f>
        <v>0</v>
      </c>
      <c r="AG115" s="110">
        <f>undergrid!AE115</f>
        <v>0</v>
      </c>
      <c r="AH115" s="93">
        <f t="shared" si="25"/>
        <v>0</v>
      </c>
      <c r="AI115" s="93">
        <f t="shared" si="26"/>
        <v>0</v>
      </c>
      <c r="AJ115" s="93">
        <f t="shared" si="27"/>
        <v>0</v>
      </c>
      <c r="AK115" s="93">
        <f>IF(AH115&gt;0.00001,undergrid!$AM$4,IF(Costs!AI115&gt;0.0001,((undergrid!$AQ$7*W115+undergrid!$AQ$8*undergrid!$AQ$9)*undergrid!$AQ$6)/W115,IF(Costs!AJ115&gt;0.0001,Costs!L115,0)))</f>
        <v>0</v>
      </c>
      <c r="AL115" s="1">
        <v>114</v>
      </c>
      <c r="AM115" s="121">
        <f t="shared" si="32"/>
        <v>4.2574399999999999</v>
      </c>
      <c r="AN115" s="122">
        <f t="shared" si="28"/>
        <v>-5.7671111107511108E-5</v>
      </c>
      <c r="AO115" s="123">
        <f t="shared" si="29"/>
        <v>4.2573823288888928</v>
      </c>
      <c r="AR115" s="114">
        <f t="shared" si="30"/>
        <v>12.975999999999999</v>
      </c>
      <c r="AS115" s="32">
        <f t="shared" si="31"/>
        <v>14.417777776877777</v>
      </c>
      <c r="AT115" s="33">
        <f t="shared" si="33"/>
        <v>1.4417777768777782</v>
      </c>
    </row>
    <row r="116" spans="1:46" x14ac:dyDescent="0.3">
      <c r="A116" s="4" t="str">
        <f>undergrid!B116</f>
        <v>h115</v>
      </c>
      <c r="B116" s="73">
        <f>undergrid!C116*2</f>
        <v>7.86</v>
      </c>
      <c r="C116" s="74">
        <f>undergrid!$AQ$2*Costs!B116</f>
        <v>3.93</v>
      </c>
      <c r="D116" s="74">
        <f t="shared" si="19"/>
        <v>7.86</v>
      </c>
      <c r="E116" s="75">
        <f>D116*undergrid!$AQ$2</f>
        <v>3.93</v>
      </c>
      <c r="F116" s="73">
        <f>undergrid!E116</f>
        <v>3.2130000000000001</v>
      </c>
      <c r="G116" s="74">
        <f>F116*undergrid!$AQ$3</f>
        <v>0.44982000000000005</v>
      </c>
      <c r="H116" s="74">
        <f t="shared" si="20"/>
        <v>3.2130000000000001</v>
      </c>
      <c r="I116" s="75">
        <f>H116*undergrid!$AQ$3</f>
        <v>0.44982000000000005</v>
      </c>
      <c r="J116" s="73">
        <f>undergrid!G116</f>
        <v>0.13</v>
      </c>
      <c r="K116" s="75">
        <f t="shared" si="21"/>
        <v>0</v>
      </c>
      <c r="L116" s="73">
        <f>undergrid!I116</f>
        <v>0.15</v>
      </c>
      <c r="M116" s="75">
        <f t="shared" si="22"/>
        <v>0</v>
      </c>
      <c r="N116" s="81">
        <f>undergrid!K116</f>
        <v>2</v>
      </c>
      <c r="O116" s="82"/>
      <c r="P116" s="81">
        <f>undergrid!M116</f>
        <v>6.3999999999999996E-10</v>
      </c>
      <c r="Q116" s="82"/>
      <c r="R116" s="73">
        <f>undergrid!O116</f>
        <v>0</v>
      </c>
      <c r="S116" s="74">
        <f>R116*undergrid!$AQ$5</f>
        <v>0</v>
      </c>
      <c r="T116" s="75">
        <f>R116*(1-Graphs!$AD$1)</f>
        <v>0</v>
      </c>
      <c r="U116" s="73">
        <f>undergrid!Q116</f>
        <v>0</v>
      </c>
      <c r="V116" s="75">
        <f>IF(U116&lt;0.001,0,P116*undergrid!$AQ$4)</f>
        <v>0</v>
      </c>
      <c r="W116" s="73">
        <f>undergrid!S116</f>
        <v>0</v>
      </c>
      <c r="X116" s="106">
        <f>IF(undergrid!AI116&gt;0,(undergrid!$AQ$7*W116+undergrid!$AQ$8*undergrid!$AQ$9)*undergrid!$AQ$6,0)+undergrid!AG116*undergrid!$AQ$10</f>
        <v>0</v>
      </c>
      <c r="Y116" s="73">
        <f>undergrid!U116</f>
        <v>12.303333332622223</v>
      </c>
      <c r="Z116" s="74">
        <f>Y116*undergrid!$AQ$5</f>
        <v>4.9213333330488894E-5</v>
      </c>
      <c r="AA116" s="75">
        <f>Y116*(1-Graphs!$AD$2)</f>
        <v>1.2303333332622222</v>
      </c>
      <c r="AB116" s="73">
        <f>undergrid!W116</f>
        <v>0</v>
      </c>
      <c r="AC116" s="75">
        <f t="shared" si="23"/>
        <v>0</v>
      </c>
      <c r="AD116" s="73">
        <f>undergrid!Y116</f>
        <v>0</v>
      </c>
      <c r="AE116" s="75">
        <f t="shared" si="24"/>
        <v>0</v>
      </c>
      <c r="AF116" s="109">
        <f>undergrid!AA116</f>
        <v>0</v>
      </c>
      <c r="AG116" s="110">
        <f>undergrid!AE116</f>
        <v>0</v>
      </c>
      <c r="AH116" s="93">
        <f t="shared" si="25"/>
        <v>0</v>
      </c>
      <c r="AI116" s="93">
        <f t="shared" si="26"/>
        <v>0</v>
      </c>
      <c r="AJ116" s="93">
        <f t="shared" si="27"/>
        <v>0</v>
      </c>
      <c r="AK116" s="93">
        <f>IF(AH116&gt;0.00001,undergrid!$AM$4,IF(Costs!AI116&gt;0.0001,((undergrid!$AQ$7*W116+undergrid!$AQ$8*undergrid!$AQ$9)*undergrid!$AQ$6)/W116,IF(Costs!AJ116&gt;0.0001,Costs!L116,0)))</f>
        <v>0</v>
      </c>
      <c r="AL116" s="1">
        <v>115</v>
      </c>
      <c r="AM116" s="121">
        <f t="shared" si="32"/>
        <v>4.3798200000000005</v>
      </c>
      <c r="AN116" s="122">
        <f t="shared" si="28"/>
        <v>-4.9213333330488894E-5</v>
      </c>
      <c r="AO116" s="123">
        <f t="shared" si="29"/>
        <v>4.3797707866666702</v>
      </c>
      <c r="AR116" s="114">
        <f t="shared" si="30"/>
        <v>11.073</v>
      </c>
      <c r="AS116" s="32">
        <f t="shared" si="31"/>
        <v>12.303333332622223</v>
      </c>
      <c r="AT116" s="33">
        <f t="shared" si="33"/>
        <v>1.230333332622223</v>
      </c>
    </row>
    <row r="117" spans="1:46" x14ac:dyDescent="0.3">
      <c r="A117" s="4" t="str">
        <f>undergrid!B117</f>
        <v>h116</v>
      </c>
      <c r="B117" s="73">
        <f>undergrid!C117*2</f>
        <v>4.18</v>
      </c>
      <c r="C117" s="74">
        <f>undergrid!$AQ$2*Costs!B117</f>
        <v>2.09</v>
      </c>
      <c r="D117" s="74">
        <f t="shared" si="19"/>
        <v>4.18</v>
      </c>
      <c r="E117" s="75">
        <f>D117*undergrid!$AQ$2</f>
        <v>2.09</v>
      </c>
      <c r="F117" s="73">
        <f>undergrid!E117</f>
        <v>2.7650000000000001</v>
      </c>
      <c r="G117" s="74">
        <f>F117*undergrid!$AQ$3</f>
        <v>0.38710000000000006</v>
      </c>
      <c r="H117" s="74">
        <f t="shared" si="20"/>
        <v>2.7650000000000001</v>
      </c>
      <c r="I117" s="75">
        <f>H117*undergrid!$AQ$3</f>
        <v>0.38710000000000006</v>
      </c>
      <c r="J117" s="73">
        <f>undergrid!G117</f>
        <v>0.13</v>
      </c>
      <c r="K117" s="75">
        <f t="shared" si="21"/>
        <v>0</v>
      </c>
      <c r="L117" s="73">
        <f>undergrid!I117</f>
        <v>0.15</v>
      </c>
      <c r="M117" s="75">
        <f t="shared" si="22"/>
        <v>0</v>
      </c>
      <c r="N117" s="81">
        <f>undergrid!K117</f>
        <v>2</v>
      </c>
      <c r="O117" s="82"/>
      <c r="P117" s="81">
        <f>undergrid!M117</f>
        <v>6.3999999999999996E-10</v>
      </c>
      <c r="Q117" s="82"/>
      <c r="R117" s="73">
        <f>undergrid!O117</f>
        <v>0</v>
      </c>
      <c r="S117" s="74">
        <f>R117*undergrid!$AQ$5</f>
        <v>0</v>
      </c>
      <c r="T117" s="75">
        <f>R117*(1-Graphs!$AD$1)</f>
        <v>0</v>
      </c>
      <c r="U117" s="73">
        <f>undergrid!Q117</f>
        <v>0</v>
      </c>
      <c r="V117" s="75">
        <f>IF(U117&lt;0.001,0,P117*undergrid!$AQ$4)</f>
        <v>0</v>
      </c>
      <c r="W117" s="73">
        <f>undergrid!S117</f>
        <v>0</v>
      </c>
      <c r="X117" s="106">
        <f>IF(undergrid!AI117&gt;0,(undergrid!$AQ$7*W117+undergrid!$AQ$8*undergrid!$AQ$9)*undergrid!$AQ$6,0)+undergrid!AG117*undergrid!$AQ$10</f>
        <v>0</v>
      </c>
      <c r="Y117" s="73">
        <f>undergrid!U117</f>
        <v>7.7166666659555565</v>
      </c>
      <c r="Z117" s="74">
        <f>Y117*undergrid!$AQ$5</f>
        <v>3.0866666663822222E-5</v>
      </c>
      <c r="AA117" s="75">
        <f>Y117*(1-Graphs!$AD$2)</f>
        <v>0.77166666659555549</v>
      </c>
      <c r="AB117" s="73">
        <f>undergrid!W117</f>
        <v>0</v>
      </c>
      <c r="AC117" s="75">
        <f t="shared" si="23"/>
        <v>0</v>
      </c>
      <c r="AD117" s="73">
        <f>undergrid!Y117</f>
        <v>0</v>
      </c>
      <c r="AE117" s="75">
        <f t="shared" si="24"/>
        <v>0</v>
      </c>
      <c r="AF117" s="109">
        <f>undergrid!AA117</f>
        <v>0</v>
      </c>
      <c r="AG117" s="110">
        <f>undergrid!AE117</f>
        <v>0</v>
      </c>
      <c r="AH117" s="93">
        <f t="shared" si="25"/>
        <v>0</v>
      </c>
      <c r="AI117" s="93">
        <f t="shared" si="26"/>
        <v>0</v>
      </c>
      <c r="AJ117" s="93">
        <f t="shared" si="27"/>
        <v>0</v>
      </c>
      <c r="AK117" s="93">
        <f>IF(AH117&gt;0.00001,undergrid!$AM$4,IF(Costs!AI117&gt;0.0001,((undergrid!$AQ$7*W117+undergrid!$AQ$8*undergrid!$AQ$9)*undergrid!$AQ$6)/W117,IF(Costs!AJ117&gt;0.0001,Costs!L117,0)))</f>
        <v>0</v>
      </c>
      <c r="AL117" s="1">
        <v>116</v>
      </c>
      <c r="AM117" s="121">
        <f t="shared" si="32"/>
        <v>2.4771000000000001</v>
      </c>
      <c r="AN117" s="122">
        <f t="shared" si="28"/>
        <v>-3.0866666663822222E-5</v>
      </c>
      <c r="AO117" s="123">
        <f t="shared" si="29"/>
        <v>2.4770691333333361</v>
      </c>
      <c r="AR117" s="114">
        <f t="shared" si="30"/>
        <v>6.9450000000000003</v>
      </c>
      <c r="AS117" s="32">
        <f t="shared" si="31"/>
        <v>7.7166666659555565</v>
      </c>
      <c r="AT117" s="33">
        <f t="shared" si="33"/>
        <v>0.77166666595555622</v>
      </c>
    </row>
    <row r="118" spans="1:46" x14ac:dyDescent="0.3">
      <c r="A118" s="4" t="str">
        <f>undergrid!B118</f>
        <v>h117</v>
      </c>
      <c r="B118" s="73">
        <f>undergrid!C118*2</f>
        <v>14.82</v>
      </c>
      <c r="C118" s="74">
        <f>undergrid!$AQ$2*Costs!B118</f>
        <v>7.41</v>
      </c>
      <c r="D118" s="74">
        <f t="shared" si="19"/>
        <v>14.82</v>
      </c>
      <c r="E118" s="75">
        <f>D118*undergrid!$AQ$2</f>
        <v>7.41</v>
      </c>
      <c r="F118" s="73">
        <f>undergrid!E118</f>
        <v>2.6960000000000002</v>
      </c>
      <c r="G118" s="74">
        <f>F118*undergrid!$AQ$3</f>
        <v>0.37744000000000005</v>
      </c>
      <c r="H118" s="74">
        <f t="shared" si="20"/>
        <v>2.6960000000000002</v>
      </c>
      <c r="I118" s="75">
        <f>H118*undergrid!$AQ$3</f>
        <v>0.37744000000000005</v>
      </c>
      <c r="J118" s="73">
        <f>undergrid!G118</f>
        <v>0.13</v>
      </c>
      <c r="K118" s="75">
        <f t="shared" si="21"/>
        <v>0</v>
      </c>
      <c r="L118" s="73">
        <f>undergrid!I118</f>
        <v>0.15</v>
      </c>
      <c r="M118" s="75">
        <f t="shared" si="22"/>
        <v>2.3287486989728707</v>
      </c>
      <c r="N118" s="81">
        <f>undergrid!K118</f>
        <v>2</v>
      </c>
      <c r="O118" s="82"/>
      <c r="P118" s="81">
        <f>undergrid!M118</f>
        <v>6.3999999999999996E-10</v>
      </c>
      <c r="Q118" s="82"/>
      <c r="R118" s="73">
        <f>undergrid!O118</f>
        <v>0</v>
      </c>
      <c r="S118" s="74">
        <f>R118*undergrid!$AQ$5</f>
        <v>0</v>
      </c>
      <c r="T118" s="75">
        <f>R118*(1-Graphs!$AD$1)</f>
        <v>0</v>
      </c>
      <c r="U118" s="73">
        <f>undergrid!Q118</f>
        <v>0</v>
      </c>
      <c r="V118" s="75">
        <f>IF(U118&lt;0.001,0,P118*undergrid!$AQ$4)</f>
        <v>0</v>
      </c>
      <c r="W118" s="73">
        <f>undergrid!S118</f>
        <v>0</v>
      </c>
      <c r="X118" s="106">
        <f>IF(undergrid!AI118&gt;0,(undergrid!$AQ$7*W118+undergrid!$AQ$8*undergrid!$AQ$9)*undergrid!$AQ$6,0)+undergrid!AG118*undergrid!$AQ$10</f>
        <v>0</v>
      </c>
      <c r="Y118" s="73">
        <f>undergrid!U118</f>
        <v>2.2122318587491066</v>
      </c>
      <c r="Z118" s="74">
        <f>Y118*undergrid!$AQ$5</f>
        <v>8.8489274349964261E-6</v>
      </c>
      <c r="AA118" s="75">
        <f>Y118*(1-Graphs!$AD$2)</f>
        <v>0.22122318587491061</v>
      </c>
      <c r="AB118" s="73">
        <f>undergrid!W118</f>
        <v>15.524991326485805</v>
      </c>
      <c r="AC118" s="75">
        <f t="shared" si="23"/>
        <v>2.3287486989728707</v>
      </c>
      <c r="AD118" s="73">
        <f>undergrid!Y118</f>
        <v>0</v>
      </c>
      <c r="AE118" s="75">
        <f t="shared" si="24"/>
        <v>0</v>
      </c>
      <c r="AF118" s="109">
        <f>undergrid!AA118</f>
        <v>0</v>
      </c>
      <c r="AG118" s="110">
        <f>undergrid!AE118</f>
        <v>0</v>
      </c>
      <c r="AH118" s="93">
        <f t="shared" si="25"/>
        <v>0</v>
      </c>
      <c r="AI118" s="93">
        <f t="shared" si="26"/>
        <v>0</v>
      </c>
      <c r="AJ118" s="93">
        <f t="shared" si="27"/>
        <v>0</v>
      </c>
      <c r="AK118" s="93">
        <f>IF(AH118&gt;0.00001,undergrid!$AM$4,IF(Costs!AI118&gt;0.0001,((undergrid!$AQ$7*W118+undergrid!$AQ$8*undergrid!$AQ$9)*undergrid!$AQ$6)/W118,IF(Costs!AJ118&gt;0.0001,Costs!L118,0)))</f>
        <v>0</v>
      </c>
      <c r="AL118" s="1">
        <v>117</v>
      </c>
      <c r="AM118" s="121">
        <f t="shared" si="32"/>
        <v>7.7874400000000001</v>
      </c>
      <c r="AN118" s="122">
        <f t="shared" si="28"/>
        <v>-2.3287575479003055</v>
      </c>
      <c r="AO118" s="123">
        <f t="shared" si="29"/>
        <v>5.4586824520996942</v>
      </c>
      <c r="AR118" s="114">
        <f t="shared" si="30"/>
        <v>17.516000000000002</v>
      </c>
      <c r="AS118" s="32">
        <f t="shared" si="31"/>
        <v>17.73722318523491</v>
      </c>
      <c r="AT118" s="33">
        <f t="shared" si="33"/>
        <v>0.22122318523490847</v>
      </c>
    </row>
    <row r="119" spans="1:46" x14ac:dyDescent="0.3">
      <c r="A119" s="4" t="str">
        <f>undergrid!B119</f>
        <v>h118</v>
      </c>
      <c r="B119" s="73">
        <f>undergrid!C119*2</f>
        <v>11.18</v>
      </c>
      <c r="C119" s="74">
        <f>undergrid!$AQ$2*Costs!B119</f>
        <v>5.59</v>
      </c>
      <c r="D119" s="74">
        <f t="shared" si="19"/>
        <v>11.18</v>
      </c>
      <c r="E119" s="75">
        <f>D119*undergrid!$AQ$2</f>
        <v>5.59</v>
      </c>
      <c r="F119" s="73">
        <f>undergrid!E119</f>
        <v>1.3</v>
      </c>
      <c r="G119" s="74">
        <f>F119*undergrid!$AQ$3</f>
        <v>0.18200000000000002</v>
      </c>
      <c r="H119" s="74">
        <f t="shared" si="20"/>
        <v>1.3</v>
      </c>
      <c r="I119" s="75">
        <f>H119*undergrid!$AQ$3</f>
        <v>0.18200000000000002</v>
      </c>
      <c r="J119" s="73">
        <f>undergrid!G119</f>
        <v>0.13</v>
      </c>
      <c r="K119" s="75">
        <f t="shared" si="21"/>
        <v>0</v>
      </c>
      <c r="L119" s="73">
        <f>undergrid!I119</f>
        <v>0.15</v>
      </c>
      <c r="M119" s="75">
        <f t="shared" si="22"/>
        <v>1.871999999904</v>
      </c>
      <c r="N119" s="81">
        <f>undergrid!K119</f>
        <v>2</v>
      </c>
      <c r="O119" s="82"/>
      <c r="P119" s="81">
        <f>undergrid!M119</f>
        <v>6.3999999999999996E-10</v>
      </c>
      <c r="Q119" s="82"/>
      <c r="R119" s="73">
        <f>undergrid!O119</f>
        <v>0</v>
      </c>
      <c r="S119" s="74">
        <f>R119*undergrid!$AQ$5</f>
        <v>0</v>
      </c>
      <c r="T119" s="75">
        <f>R119*(1-Graphs!$AD$1)</f>
        <v>0</v>
      </c>
      <c r="U119" s="73">
        <f>undergrid!Q119</f>
        <v>0</v>
      </c>
      <c r="V119" s="75">
        <f>IF(U119&lt;0.001,0,P119*undergrid!$AQ$4)</f>
        <v>0</v>
      </c>
      <c r="W119" s="73">
        <f>undergrid!S119</f>
        <v>0</v>
      </c>
      <c r="X119" s="106">
        <f>IF(undergrid!AI119&gt;0,(undergrid!$AQ$7*W119+undergrid!$AQ$8*undergrid!$AQ$9)*undergrid!$AQ$6,0)+undergrid!AG119*undergrid!$AQ$10</f>
        <v>0</v>
      </c>
      <c r="Y119" s="73">
        <f>undergrid!U119</f>
        <v>0</v>
      </c>
      <c r="Z119" s="74">
        <f>Y119*undergrid!$AQ$5</f>
        <v>0</v>
      </c>
      <c r="AA119" s="75">
        <f>Y119*(1-Graphs!$AD$2)</f>
        <v>0</v>
      </c>
      <c r="AB119" s="73">
        <f>undergrid!W119</f>
        <v>12.47999999936</v>
      </c>
      <c r="AC119" s="75">
        <f t="shared" si="23"/>
        <v>1.871999999904</v>
      </c>
      <c r="AD119" s="73">
        <f>undergrid!Y119</f>
        <v>0</v>
      </c>
      <c r="AE119" s="75">
        <f t="shared" si="24"/>
        <v>0</v>
      </c>
      <c r="AF119" s="109">
        <f>undergrid!AA119</f>
        <v>0</v>
      </c>
      <c r="AG119" s="110">
        <f>undergrid!AE119</f>
        <v>0</v>
      </c>
      <c r="AH119" s="93">
        <f t="shared" si="25"/>
        <v>0</v>
      </c>
      <c r="AI119" s="93">
        <f t="shared" si="26"/>
        <v>0</v>
      </c>
      <c r="AJ119" s="93">
        <f t="shared" si="27"/>
        <v>0</v>
      </c>
      <c r="AK119" s="93">
        <f>IF(AH119&gt;0.00001,undergrid!$AM$4,IF(Costs!AI119&gt;0.0001,((undergrid!$AQ$7*W119+undergrid!$AQ$8*undergrid!$AQ$9)*undergrid!$AQ$6)/W119,IF(Costs!AJ119&gt;0.0001,Costs!L119,0)))</f>
        <v>0</v>
      </c>
      <c r="AL119" s="1">
        <v>118</v>
      </c>
      <c r="AM119" s="121">
        <f t="shared" si="32"/>
        <v>5.7720000000000002</v>
      </c>
      <c r="AN119" s="122">
        <f t="shared" si="28"/>
        <v>-1.871999999904</v>
      </c>
      <c r="AO119" s="123">
        <f t="shared" si="29"/>
        <v>3.900000000096</v>
      </c>
      <c r="AR119" s="114">
        <f t="shared" si="30"/>
        <v>12.48</v>
      </c>
      <c r="AS119" s="32">
        <f t="shared" si="31"/>
        <v>12.47999999936</v>
      </c>
      <c r="AT119" s="33">
        <f t="shared" si="33"/>
        <v>-6.4000005295383744E-10</v>
      </c>
    </row>
    <row r="120" spans="1:46" x14ac:dyDescent="0.3">
      <c r="A120" s="4" t="str">
        <f>undergrid!B120</f>
        <v>h119</v>
      </c>
      <c r="B120" s="73">
        <f>undergrid!C120*2</f>
        <v>6.44</v>
      </c>
      <c r="C120" s="74">
        <f>undergrid!$AQ$2*Costs!B120</f>
        <v>3.22</v>
      </c>
      <c r="D120" s="74">
        <f t="shared" si="19"/>
        <v>6.44</v>
      </c>
      <c r="E120" s="75">
        <f>D120*undergrid!$AQ$2</f>
        <v>3.22</v>
      </c>
      <c r="F120" s="73">
        <f>undergrid!E120</f>
        <v>1.998</v>
      </c>
      <c r="G120" s="74">
        <f>F120*undergrid!$AQ$3</f>
        <v>0.27972000000000002</v>
      </c>
      <c r="H120" s="74">
        <f t="shared" si="20"/>
        <v>1.998</v>
      </c>
      <c r="I120" s="75">
        <f>H120*undergrid!$AQ$3</f>
        <v>0.27972000000000002</v>
      </c>
      <c r="J120" s="73">
        <f>undergrid!G120</f>
        <v>0.08</v>
      </c>
      <c r="K120" s="75">
        <f t="shared" si="21"/>
        <v>0</v>
      </c>
      <c r="L120" s="73">
        <f>undergrid!I120</f>
        <v>0.1</v>
      </c>
      <c r="M120" s="75">
        <f t="shared" si="22"/>
        <v>0.84398812983521587</v>
      </c>
      <c r="N120" s="81">
        <f>undergrid!K120</f>
        <v>2</v>
      </c>
      <c r="O120" s="82"/>
      <c r="P120" s="81">
        <f>undergrid!M120</f>
        <v>6.3999999999999996E-10</v>
      </c>
      <c r="Q120" s="82"/>
      <c r="R120" s="73">
        <f>undergrid!O120</f>
        <v>1.6799999999967952E-3</v>
      </c>
      <c r="S120" s="74">
        <f>R120*undergrid!$AQ$5</f>
        <v>6.7199999999871803E-9</v>
      </c>
      <c r="T120" s="75">
        <f>R120*(1-Graphs!$AD$1)</f>
        <v>8.3999999999839832E-5</v>
      </c>
      <c r="U120" s="73">
        <f>undergrid!Q120</f>
        <v>0</v>
      </c>
      <c r="V120" s="75">
        <f>IF(U120&lt;0.001,0,P120*undergrid!$AQ$4)</f>
        <v>0</v>
      </c>
      <c r="W120" s="73">
        <f>undergrid!S120</f>
        <v>0</v>
      </c>
      <c r="X120" s="106">
        <f>IF(undergrid!AI120&gt;0,(undergrid!$AQ$7*W120+undergrid!$AQ$8*undergrid!$AQ$9)*undergrid!$AQ$6,0)+undergrid!AG120*undergrid!$AQ$10</f>
        <v>0</v>
      </c>
      <c r="Y120" s="73">
        <f>undergrid!U120</f>
        <v>0</v>
      </c>
      <c r="Z120" s="74">
        <f>Y120*undergrid!$AQ$5</f>
        <v>0</v>
      </c>
      <c r="AA120" s="75">
        <f>Y120*(1-Graphs!$AD$2)</f>
        <v>0</v>
      </c>
      <c r="AB120" s="73">
        <f>undergrid!W120</f>
        <v>8.4398812983521587</v>
      </c>
      <c r="AC120" s="75">
        <f t="shared" si="23"/>
        <v>0.84398812983521587</v>
      </c>
      <c r="AD120" s="73">
        <f>undergrid!Y120</f>
        <v>0</v>
      </c>
      <c r="AE120" s="75">
        <f t="shared" si="24"/>
        <v>0</v>
      </c>
      <c r="AF120" s="109">
        <f>undergrid!AA120</f>
        <v>0</v>
      </c>
      <c r="AG120" s="110">
        <f>undergrid!AE120</f>
        <v>0</v>
      </c>
      <c r="AH120" s="93">
        <f t="shared" si="25"/>
        <v>0</v>
      </c>
      <c r="AI120" s="93">
        <f t="shared" si="26"/>
        <v>0</v>
      </c>
      <c r="AJ120" s="93">
        <f t="shared" si="27"/>
        <v>1.8812983521583337E-3</v>
      </c>
      <c r="AK120" s="93">
        <f>IF(AH120&gt;0.00001,undergrid!$AM$4,IF(Costs!AI120&gt;0.0001,((undergrid!$AQ$7*W120+undergrid!$AQ$8*undergrid!$AQ$9)*undergrid!$AQ$6)/W120,IF(Costs!AJ120&gt;0.0001,Costs!L120,0)))</f>
        <v>0.1</v>
      </c>
      <c r="AL120" s="1">
        <v>119</v>
      </c>
      <c r="AM120" s="121">
        <f t="shared" si="32"/>
        <v>3.4997200000000004</v>
      </c>
      <c r="AN120" s="122">
        <f t="shared" si="28"/>
        <v>-0.84398813655521587</v>
      </c>
      <c r="AO120" s="123">
        <f t="shared" si="29"/>
        <v>2.6557318634447844</v>
      </c>
      <c r="AR120" s="114">
        <f t="shared" si="30"/>
        <v>8.4396799999999974</v>
      </c>
      <c r="AS120" s="32">
        <f t="shared" si="31"/>
        <v>8.4398812983521587</v>
      </c>
      <c r="AT120" s="33">
        <f t="shared" si="33"/>
        <v>2.0129835216131653E-4</v>
      </c>
    </row>
    <row r="121" spans="1:46" x14ac:dyDescent="0.3">
      <c r="A121" s="4" t="str">
        <f>undergrid!B121</f>
        <v>h120</v>
      </c>
      <c r="B121" s="73">
        <f>undergrid!C121*2</f>
        <v>5.46</v>
      </c>
      <c r="C121" s="74">
        <f>undergrid!$AQ$2*Costs!B121</f>
        <v>2.73</v>
      </c>
      <c r="D121" s="74">
        <f t="shared" si="19"/>
        <v>5.46</v>
      </c>
      <c r="E121" s="75">
        <f>D121*undergrid!$AQ$2</f>
        <v>2.73</v>
      </c>
      <c r="F121" s="73">
        <f>undergrid!E121</f>
        <v>2.1429999999999998</v>
      </c>
      <c r="G121" s="74">
        <f>F121*undergrid!$AQ$3</f>
        <v>0.30002000000000001</v>
      </c>
      <c r="H121" s="74">
        <f t="shared" si="20"/>
        <v>2.1429999999999998</v>
      </c>
      <c r="I121" s="75">
        <f>H121*undergrid!$AQ$3</f>
        <v>0.30002000000000001</v>
      </c>
      <c r="J121" s="73">
        <f>undergrid!G121</f>
        <v>0.08</v>
      </c>
      <c r="K121" s="75">
        <f t="shared" si="21"/>
        <v>0</v>
      </c>
      <c r="L121" s="73">
        <f>undergrid!I121</f>
        <v>0.1</v>
      </c>
      <c r="M121" s="75">
        <f t="shared" si="22"/>
        <v>0.76048812983521574</v>
      </c>
      <c r="N121" s="81">
        <f>undergrid!K121</f>
        <v>2</v>
      </c>
      <c r="O121" s="82"/>
      <c r="P121" s="81">
        <f>undergrid!M121</f>
        <v>6.3999999999999996E-10</v>
      </c>
      <c r="Q121" s="82"/>
      <c r="R121" s="73">
        <f>undergrid!O121</f>
        <v>1.6799999999967952E-3</v>
      </c>
      <c r="S121" s="74">
        <f>R121*undergrid!$AQ$5</f>
        <v>6.7199999999871803E-9</v>
      </c>
      <c r="T121" s="75">
        <f>R121*(1-Graphs!$AD$1)</f>
        <v>8.3999999999839832E-5</v>
      </c>
      <c r="U121" s="73">
        <f>undergrid!Q121</f>
        <v>0</v>
      </c>
      <c r="V121" s="75">
        <f>IF(U121&lt;0.001,0,P121*undergrid!$AQ$4)</f>
        <v>0</v>
      </c>
      <c r="W121" s="73">
        <f>undergrid!S121</f>
        <v>0</v>
      </c>
      <c r="X121" s="106">
        <f>IF(undergrid!AI121&gt;0,(undergrid!$AQ$7*W121+undergrid!$AQ$8*undergrid!$AQ$9)*undergrid!$AQ$6,0)+undergrid!AG121*undergrid!$AQ$10</f>
        <v>0</v>
      </c>
      <c r="Y121" s="73">
        <f>undergrid!U121</f>
        <v>0</v>
      </c>
      <c r="Z121" s="74">
        <f>Y121*undergrid!$AQ$5</f>
        <v>0</v>
      </c>
      <c r="AA121" s="75">
        <f>Y121*(1-Graphs!$AD$2)</f>
        <v>0</v>
      </c>
      <c r="AB121" s="73">
        <f>undergrid!W121</f>
        <v>7.604881298352157</v>
      </c>
      <c r="AC121" s="75">
        <f t="shared" si="23"/>
        <v>0.76048812983521574</v>
      </c>
      <c r="AD121" s="73">
        <f>undergrid!Y121</f>
        <v>0</v>
      </c>
      <c r="AE121" s="75">
        <f t="shared" si="24"/>
        <v>0</v>
      </c>
      <c r="AF121" s="109">
        <f>undergrid!AA121</f>
        <v>0</v>
      </c>
      <c r="AG121" s="110">
        <f>undergrid!AE121</f>
        <v>0</v>
      </c>
      <c r="AH121" s="93">
        <f t="shared" si="25"/>
        <v>0</v>
      </c>
      <c r="AI121" s="93">
        <f t="shared" si="26"/>
        <v>0</v>
      </c>
      <c r="AJ121" s="93">
        <f t="shared" si="27"/>
        <v>1.8812983521572235E-3</v>
      </c>
      <c r="AK121" s="93">
        <f>IF(AH121&gt;0.00001,undergrid!$AM$4,IF(Costs!AI121&gt;0.0001,((undergrid!$AQ$7*W121+undergrid!$AQ$8*undergrid!$AQ$9)*undergrid!$AQ$6)/W121,IF(Costs!AJ121&gt;0.0001,Costs!L121,0)))</f>
        <v>0.1</v>
      </c>
      <c r="AL121" s="1">
        <v>120</v>
      </c>
      <c r="AM121" s="121">
        <f t="shared" si="32"/>
        <v>3.0300199999999999</v>
      </c>
      <c r="AN121" s="122">
        <f t="shared" si="28"/>
        <v>-0.76048813655521574</v>
      </c>
      <c r="AO121" s="123">
        <f t="shared" si="29"/>
        <v>2.2695318634447843</v>
      </c>
      <c r="AR121" s="114">
        <f t="shared" si="30"/>
        <v>7.6046799999999966</v>
      </c>
      <c r="AS121" s="32">
        <f t="shared" si="31"/>
        <v>7.604881298352157</v>
      </c>
      <c r="AT121" s="33">
        <f t="shared" si="33"/>
        <v>2.0129835216042835E-4</v>
      </c>
    </row>
    <row r="122" spans="1:46" x14ac:dyDescent="0.3">
      <c r="A122" s="4" t="str">
        <f>undergrid!B122</f>
        <v>h121</v>
      </c>
      <c r="B122" s="73">
        <f>undergrid!C122*2</f>
        <v>4.62</v>
      </c>
      <c r="C122" s="74">
        <f>undergrid!$AQ$2*Costs!B122</f>
        <v>2.31</v>
      </c>
      <c r="D122" s="74">
        <f t="shared" si="19"/>
        <v>4.62</v>
      </c>
      <c r="E122" s="75">
        <f>D122*undergrid!$AQ$2</f>
        <v>2.31</v>
      </c>
      <c r="F122" s="73">
        <f>undergrid!E122</f>
        <v>2.4319999999999999</v>
      </c>
      <c r="G122" s="74">
        <f>F122*undergrid!$AQ$3</f>
        <v>0.34048</v>
      </c>
      <c r="H122" s="74">
        <f t="shared" si="20"/>
        <v>2.4319999999999999</v>
      </c>
      <c r="I122" s="75">
        <f>H122*undergrid!$AQ$3</f>
        <v>0.34048</v>
      </c>
      <c r="J122" s="73">
        <f>undergrid!G122</f>
        <v>0.08</v>
      </c>
      <c r="K122" s="75">
        <f t="shared" si="21"/>
        <v>0</v>
      </c>
      <c r="L122" s="73">
        <f>undergrid!I122</f>
        <v>0.1</v>
      </c>
      <c r="M122" s="75">
        <f t="shared" si="22"/>
        <v>0.7053881298352157</v>
      </c>
      <c r="N122" s="81">
        <f>undergrid!K122</f>
        <v>2</v>
      </c>
      <c r="O122" s="82"/>
      <c r="P122" s="81">
        <f>undergrid!M122</f>
        <v>6.3999999999999996E-10</v>
      </c>
      <c r="Q122" s="82"/>
      <c r="R122" s="73">
        <f>undergrid!O122</f>
        <v>1.6799999999967952E-3</v>
      </c>
      <c r="S122" s="74">
        <f>R122*undergrid!$AQ$5</f>
        <v>6.7199999999871803E-9</v>
      </c>
      <c r="T122" s="75">
        <f>R122*(1-Graphs!$AD$1)</f>
        <v>8.3999999999839832E-5</v>
      </c>
      <c r="U122" s="73">
        <f>undergrid!Q122</f>
        <v>0</v>
      </c>
      <c r="V122" s="75">
        <f>IF(U122&lt;0.001,0,P122*undergrid!$AQ$4)</f>
        <v>0</v>
      </c>
      <c r="W122" s="73">
        <f>undergrid!S122</f>
        <v>0</v>
      </c>
      <c r="X122" s="106">
        <f>IF(undergrid!AI122&gt;0,(undergrid!$AQ$7*W122+undergrid!$AQ$8*undergrid!$AQ$9)*undergrid!$AQ$6,0)+undergrid!AG122*undergrid!$AQ$10</f>
        <v>0</v>
      </c>
      <c r="Y122" s="73">
        <f>undergrid!U122</f>
        <v>0</v>
      </c>
      <c r="Z122" s="74">
        <f>Y122*undergrid!$AQ$5</f>
        <v>0</v>
      </c>
      <c r="AA122" s="75">
        <f>Y122*(1-Graphs!$AD$2)</f>
        <v>0</v>
      </c>
      <c r="AB122" s="73">
        <f>undergrid!W122</f>
        <v>7.0538812983521568</v>
      </c>
      <c r="AC122" s="75">
        <f t="shared" si="23"/>
        <v>0.7053881298352157</v>
      </c>
      <c r="AD122" s="73">
        <f>undergrid!Y122</f>
        <v>0</v>
      </c>
      <c r="AE122" s="75">
        <f t="shared" si="24"/>
        <v>0</v>
      </c>
      <c r="AF122" s="109">
        <f>undergrid!AA122</f>
        <v>0</v>
      </c>
      <c r="AG122" s="110">
        <f>undergrid!AE122</f>
        <v>0</v>
      </c>
      <c r="AH122" s="93">
        <f t="shared" si="25"/>
        <v>0</v>
      </c>
      <c r="AI122" s="93">
        <f t="shared" si="26"/>
        <v>0</v>
      </c>
      <c r="AJ122" s="93">
        <f t="shared" si="27"/>
        <v>1.8812983521567794E-3</v>
      </c>
      <c r="AK122" s="93">
        <f>IF(AH122&gt;0.00001,undergrid!$AM$4,IF(Costs!AI122&gt;0.0001,((undergrid!$AQ$7*W122+undergrid!$AQ$8*undergrid!$AQ$9)*undergrid!$AQ$6)/W122,IF(Costs!AJ122&gt;0.0001,Costs!L122,0)))</f>
        <v>0.1</v>
      </c>
      <c r="AL122" s="1">
        <v>121</v>
      </c>
      <c r="AM122" s="121">
        <f t="shared" si="32"/>
        <v>2.6504799999999999</v>
      </c>
      <c r="AN122" s="122">
        <f t="shared" si="28"/>
        <v>-0.70538813655521571</v>
      </c>
      <c r="AO122" s="123">
        <f t="shared" si="29"/>
        <v>1.9450918634447842</v>
      </c>
      <c r="AR122" s="114">
        <f t="shared" si="30"/>
        <v>7.0536799999999964</v>
      </c>
      <c r="AS122" s="32">
        <f t="shared" si="31"/>
        <v>7.0538812983521568</v>
      </c>
      <c r="AT122" s="33">
        <f t="shared" si="33"/>
        <v>2.0129835216042835E-4</v>
      </c>
    </row>
    <row r="123" spans="1:46" x14ac:dyDescent="0.3">
      <c r="A123" s="4" t="str">
        <f>undergrid!B123</f>
        <v>h122</v>
      </c>
      <c r="B123" s="73">
        <f>undergrid!C123*2</f>
        <v>2.2000000000000002</v>
      </c>
      <c r="C123" s="74">
        <f>undergrid!$AQ$2*Costs!B123</f>
        <v>1.1000000000000001</v>
      </c>
      <c r="D123" s="74">
        <f t="shared" si="19"/>
        <v>2.2000000000000002</v>
      </c>
      <c r="E123" s="75">
        <f>D123*undergrid!$AQ$2</f>
        <v>1.1000000000000001</v>
      </c>
      <c r="F123" s="73">
        <f>undergrid!E123</f>
        <v>2.04</v>
      </c>
      <c r="G123" s="74">
        <f>F123*undergrid!$AQ$3</f>
        <v>0.28560000000000002</v>
      </c>
      <c r="H123" s="74">
        <f t="shared" si="20"/>
        <v>2.04</v>
      </c>
      <c r="I123" s="75">
        <f>H123*undergrid!$AQ$3</f>
        <v>0.28560000000000002</v>
      </c>
      <c r="J123" s="73">
        <f>undergrid!G123</f>
        <v>0.08</v>
      </c>
      <c r="K123" s="75">
        <f t="shared" si="21"/>
        <v>0</v>
      </c>
      <c r="L123" s="73">
        <f>undergrid!I123</f>
        <v>0.1</v>
      </c>
      <c r="M123" s="75">
        <f t="shared" si="22"/>
        <v>0.42418812983521575</v>
      </c>
      <c r="N123" s="81">
        <f>undergrid!K123</f>
        <v>2</v>
      </c>
      <c r="O123" s="82"/>
      <c r="P123" s="81">
        <f>undergrid!M123</f>
        <v>6.3999999999999996E-10</v>
      </c>
      <c r="Q123" s="82"/>
      <c r="R123" s="73">
        <f>undergrid!O123</f>
        <v>1.6799999999967952E-3</v>
      </c>
      <c r="S123" s="74">
        <f>R123*undergrid!$AQ$5</f>
        <v>6.7199999999871803E-9</v>
      </c>
      <c r="T123" s="75">
        <f>R123*(1-Graphs!$AD$1)</f>
        <v>8.3999999999839832E-5</v>
      </c>
      <c r="U123" s="73">
        <f>undergrid!Q123</f>
        <v>0</v>
      </c>
      <c r="V123" s="75">
        <f>IF(U123&lt;0.001,0,P123*undergrid!$AQ$4)</f>
        <v>0</v>
      </c>
      <c r="W123" s="73">
        <f>undergrid!S123</f>
        <v>0</v>
      </c>
      <c r="X123" s="106">
        <f>IF(undergrid!AI123&gt;0,(undergrid!$AQ$7*W123+undergrid!$AQ$8*undergrid!$AQ$9)*undergrid!$AQ$6,0)+undergrid!AG123*undergrid!$AQ$10</f>
        <v>0</v>
      </c>
      <c r="Y123" s="73">
        <f>undergrid!U123</f>
        <v>0</v>
      </c>
      <c r="Z123" s="74">
        <f>Y123*undergrid!$AQ$5</f>
        <v>0</v>
      </c>
      <c r="AA123" s="75">
        <f>Y123*(1-Graphs!$AD$2)</f>
        <v>0</v>
      </c>
      <c r="AB123" s="73">
        <f>undergrid!W123</f>
        <v>4.2418812983521574</v>
      </c>
      <c r="AC123" s="75">
        <f t="shared" si="23"/>
        <v>0.42418812983521575</v>
      </c>
      <c r="AD123" s="73">
        <f>undergrid!Y123</f>
        <v>0</v>
      </c>
      <c r="AE123" s="75">
        <f t="shared" si="24"/>
        <v>0</v>
      </c>
      <c r="AF123" s="109">
        <f>undergrid!AA123</f>
        <v>0</v>
      </c>
      <c r="AG123" s="110">
        <f>undergrid!AE123</f>
        <v>0</v>
      </c>
      <c r="AH123" s="93">
        <f t="shared" si="25"/>
        <v>0</v>
      </c>
      <c r="AI123" s="93">
        <f t="shared" si="26"/>
        <v>0</v>
      </c>
      <c r="AJ123" s="93">
        <f t="shared" si="27"/>
        <v>1.8812983521572235E-3</v>
      </c>
      <c r="AK123" s="93">
        <f>IF(AH123&gt;0.00001,undergrid!$AM$4,IF(Costs!AI123&gt;0.0001,((undergrid!$AQ$7*W123+undergrid!$AQ$8*undergrid!$AQ$9)*undergrid!$AQ$6)/W123,IF(Costs!AJ123&gt;0.0001,Costs!L123,0)))</f>
        <v>0.1</v>
      </c>
      <c r="AL123" s="1">
        <v>122</v>
      </c>
      <c r="AM123" s="121">
        <f t="shared" si="32"/>
        <v>1.3856000000000002</v>
      </c>
      <c r="AN123" s="122">
        <f t="shared" si="28"/>
        <v>-0.42418813655521576</v>
      </c>
      <c r="AO123" s="123">
        <f t="shared" si="29"/>
        <v>0.96141186344478435</v>
      </c>
      <c r="AR123" s="114">
        <f t="shared" si="30"/>
        <v>4.241679999999997</v>
      </c>
      <c r="AS123" s="32">
        <f t="shared" si="31"/>
        <v>4.2418812983521574</v>
      </c>
      <c r="AT123" s="33">
        <f t="shared" si="33"/>
        <v>2.0129835216042835E-4</v>
      </c>
    </row>
    <row r="124" spans="1:46" x14ac:dyDescent="0.3">
      <c r="A124" s="4" t="str">
        <f>undergrid!B124</f>
        <v>h123</v>
      </c>
      <c r="B124" s="73">
        <f>undergrid!C124*2</f>
        <v>2.42</v>
      </c>
      <c r="C124" s="74">
        <f>undergrid!$AQ$2*Costs!B124</f>
        <v>1.21</v>
      </c>
      <c r="D124" s="74">
        <f t="shared" si="19"/>
        <v>2.42</v>
      </c>
      <c r="E124" s="75">
        <f>D124*undergrid!$AQ$2</f>
        <v>1.21</v>
      </c>
      <c r="F124" s="73">
        <f>undergrid!E124</f>
        <v>2.238</v>
      </c>
      <c r="G124" s="74">
        <f>F124*undergrid!$AQ$3</f>
        <v>0.31332000000000004</v>
      </c>
      <c r="H124" s="74">
        <f t="shared" si="20"/>
        <v>2.238</v>
      </c>
      <c r="I124" s="75">
        <f>H124*undergrid!$AQ$3</f>
        <v>0.31332000000000004</v>
      </c>
      <c r="J124" s="73">
        <f>undergrid!G124</f>
        <v>0.08</v>
      </c>
      <c r="K124" s="75">
        <f t="shared" si="21"/>
        <v>0</v>
      </c>
      <c r="L124" s="73">
        <f>undergrid!I124</f>
        <v>0.1</v>
      </c>
      <c r="M124" s="75">
        <f t="shared" si="22"/>
        <v>2.2903350799155278</v>
      </c>
      <c r="N124" s="81">
        <f>undergrid!K124</f>
        <v>2</v>
      </c>
      <c r="O124" s="82"/>
      <c r="P124" s="81">
        <f>undergrid!M124</f>
        <v>6.3999999999999996E-10</v>
      </c>
      <c r="Q124" s="82"/>
      <c r="R124" s="73">
        <f>undergrid!O124</f>
        <v>16.293098264217182</v>
      </c>
      <c r="S124" s="74">
        <f>R124*undergrid!$AQ$5</f>
        <v>6.5172393056868729E-5</v>
      </c>
      <c r="T124" s="75">
        <f>R124*(1-Graphs!$AD$1)</f>
        <v>0.81465491321085981</v>
      </c>
      <c r="U124" s="73">
        <f>undergrid!Q124</f>
        <v>0</v>
      </c>
      <c r="V124" s="75">
        <f>IF(U124&lt;0.001,0,P124*undergrid!$AQ$4)</f>
        <v>0</v>
      </c>
      <c r="W124" s="73">
        <f>undergrid!S124</f>
        <v>0</v>
      </c>
      <c r="X124" s="106">
        <f>IF(undergrid!AI124&gt;0,(undergrid!$AQ$7*W124+undergrid!$AQ$8*undergrid!$AQ$9)*undergrid!$AQ$6,0)+undergrid!AG124*undergrid!$AQ$10</f>
        <v>0</v>
      </c>
      <c r="Y124" s="73">
        <f>undergrid!U124</f>
        <v>0</v>
      </c>
      <c r="Z124" s="74">
        <f>Y124*undergrid!$AQ$5</f>
        <v>0</v>
      </c>
      <c r="AA124" s="75">
        <f>Y124*(1-Graphs!$AD$2)</f>
        <v>0</v>
      </c>
      <c r="AB124" s="73">
        <f>undergrid!W124</f>
        <v>22.903350799155277</v>
      </c>
      <c r="AC124" s="75">
        <f t="shared" si="23"/>
        <v>2.2903350799155278</v>
      </c>
      <c r="AD124" s="73">
        <f>undergrid!Y124</f>
        <v>0</v>
      </c>
      <c r="AE124" s="75">
        <f t="shared" si="24"/>
        <v>0</v>
      </c>
      <c r="AF124" s="109">
        <f>undergrid!AA124</f>
        <v>0</v>
      </c>
      <c r="AG124" s="110">
        <f>undergrid!AE124</f>
        <v>0</v>
      </c>
      <c r="AH124" s="93">
        <f t="shared" si="25"/>
        <v>0</v>
      </c>
      <c r="AI124" s="93">
        <f t="shared" si="26"/>
        <v>0</v>
      </c>
      <c r="AJ124" s="93">
        <f t="shared" si="27"/>
        <v>18.245350799155275</v>
      </c>
      <c r="AK124" s="93">
        <f>IF(AH124&gt;0.00001,undergrid!$AM$4,IF(Costs!AI124&gt;0.0001,((undergrid!$AQ$7*W124+undergrid!$AQ$8*undergrid!$AQ$9)*undergrid!$AQ$6)/W124,IF(Costs!AJ124&gt;0.0001,Costs!L124,0)))</f>
        <v>0.1</v>
      </c>
      <c r="AL124" s="1">
        <v>123</v>
      </c>
      <c r="AM124" s="121">
        <f t="shared" si="32"/>
        <v>1.52332</v>
      </c>
      <c r="AN124" s="122">
        <f t="shared" si="28"/>
        <v>-2.2904002523085847</v>
      </c>
      <c r="AO124" s="123">
        <f t="shared" si="29"/>
        <v>-0.76708025230858468</v>
      </c>
      <c r="AR124" s="114">
        <f t="shared" si="30"/>
        <v>20.95109826421718</v>
      </c>
      <c r="AS124" s="32">
        <f t="shared" si="31"/>
        <v>22.903350799155277</v>
      </c>
      <c r="AT124" s="33">
        <f t="shared" si="33"/>
        <v>1.952252534938097</v>
      </c>
    </row>
    <row r="125" spans="1:46" x14ac:dyDescent="0.3">
      <c r="A125" s="4" t="str">
        <f>undergrid!B125</f>
        <v>h124</v>
      </c>
      <c r="B125" s="73">
        <f>undergrid!C125*2</f>
        <v>1.8</v>
      </c>
      <c r="C125" s="74">
        <f>undergrid!$AQ$2*Costs!B125</f>
        <v>0.9</v>
      </c>
      <c r="D125" s="74">
        <f t="shared" si="19"/>
        <v>1.8</v>
      </c>
      <c r="E125" s="75">
        <f>D125*undergrid!$AQ$2</f>
        <v>0.9</v>
      </c>
      <c r="F125" s="73">
        <f>undergrid!E125</f>
        <v>1.6679999999999999</v>
      </c>
      <c r="G125" s="74">
        <f>F125*undergrid!$AQ$3</f>
        <v>0.23352000000000001</v>
      </c>
      <c r="H125" s="74">
        <f t="shared" si="20"/>
        <v>1.6679999999999999</v>
      </c>
      <c r="I125" s="75">
        <f>H125*undergrid!$AQ$3</f>
        <v>0.23352000000000001</v>
      </c>
      <c r="J125" s="73">
        <f>undergrid!G125</f>
        <v>0.08</v>
      </c>
      <c r="K125" s="75">
        <f t="shared" si="21"/>
        <v>0</v>
      </c>
      <c r="L125" s="73">
        <f>undergrid!I125</f>
        <v>0.1</v>
      </c>
      <c r="M125" s="75">
        <f t="shared" si="22"/>
        <v>2.5</v>
      </c>
      <c r="N125" s="81">
        <f>undergrid!K125</f>
        <v>2</v>
      </c>
      <c r="O125" s="82"/>
      <c r="P125" s="81">
        <f>undergrid!M125</f>
        <v>6.3999999999999996E-10</v>
      </c>
      <c r="Q125" s="82"/>
      <c r="R125" s="73">
        <f>undergrid!O125</f>
        <v>19.228076000571519</v>
      </c>
      <c r="S125" s="74">
        <f>R125*undergrid!$AQ$5</f>
        <v>7.6912304002286071E-5</v>
      </c>
      <c r="T125" s="75">
        <f>R125*(1-Graphs!$AD$1)</f>
        <v>0.96140380002857684</v>
      </c>
      <c r="U125" s="73">
        <f>undergrid!Q125</f>
        <v>0</v>
      </c>
      <c r="V125" s="75">
        <f>IF(U125&lt;0.001,0,P125*undergrid!$AQ$4)</f>
        <v>0</v>
      </c>
      <c r="W125" s="73">
        <f>undergrid!S125</f>
        <v>0</v>
      </c>
      <c r="X125" s="106">
        <f>IF(undergrid!AI125&gt;0,(undergrid!$AQ$7*W125+undergrid!$AQ$8*undergrid!$AQ$9)*undergrid!$AQ$6,0)+undergrid!AG125*undergrid!$AQ$10</f>
        <v>0</v>
      </c>
      <c r="Y125" s="73">
        <f>undergrid!U125</f>
        <v>0</v>
      </c>
      <c r="Z125" s="74">
        <f>Y125*undergrid!$AQ$5</f>
        <v>0</v>
      </c>
      <c r="AA125" s="75">
        <f>Y125*(1-Graphs!$AD$2)</f>
        <v>0</v>
      </c>
      <c r="AB125" s="73">
        <f>undergrid!W125</f>
        <v>25</v>
      </c>
      <c r="AC125" s="75">
        <f t="shared" si="23"/>
        <v>2.5</v>
      </c>
      <c r="AD125" s="73">
        <f>undergrid!Y125</f>
        <v>0</v>
      </c>
      <c r="AE125" s="75">
        <f t="shared" si="24"/>
        <v>0</v>
      </c>
      <c r="AF125" s="109">
        <f>undergrid!AA125</f>
        <v>0</v>
      </c>
      <c r="AG125" s="110">
        <f>undergrid!AE125</f>
        <v>0</v>
      </c>
      <c r="AH125" s="93">
        <f t="shared" si="25"/>
        <v>0</v>
      </c>
      <c r="AI125" s="93">
        <f t="shared" si="26"/>
        <v>0</v>
      </c>
      <c r="AJ125" s="93">
        <f t="shared" si="27"/>
        <v>21.532</v>
      </c>
      <c r="AK125" s="93">
        <f>IF(AH125&gt;0.00001,undergrid!$AM$4,IF(Costs!AI125&gt;0.0001,((undergrid!$AQ$7*W125+undergrid!$AQ$8*undergrid!$AQ$9)*undergrid!$AQ$6)/W125,IF(Costs!AJ125&gt;0.0001,Costs!L125,0)))</f>
        <v>0.1</v>
      </c>
      <c r="AL125" s="1">
        <v>124</v>
      </c>
      <c r="AM125" s="121">
        <f t="shared" si="32"/>
        <v>1.1335200000000001</v>
      </c>
      <c r="AN125" s="122">
        <f t="shared" si="28"/>
        <v>-2.5000769123040021</v>
      </c>
      <c r="AO125" s="123">
        <f t="shared" si="29"/>
        <v>-1.366556912304002</v>
      </c>
      <c r="AR125" s="114">
        <f t="shared" si="30"/>
        <v>22.696076000571519</v>
      </c>
      <c r="AS125" s="32">
        <f t="shared" si="31"/>
        <v>25</v>
      </c>
      <c r="AT125" s="33">
        <f t="shared" si="33"/>
        <v>2.3039239994284806</v>
      </c>
    </row>
    <row r="126" spans="1:46" x14ac:dyDescent="0.3">
      <c r="A126" s="4" t="str">
        <f>undergrid!B126</f>
        <v>h125</v>
      </c>
      <c r="B126" s="73">
        <f>undergrid!C126*2</f>
        <v>3.16</v>
      </c>
      <c r="C126" s="74">
        <f>undergrid!$AQ$2*Costs!B126</f>
        <v>1.58</v>
      </c>
      <c r="D126" s="74">
        <f t="shared" si="19"/>
        <v>3.16</v>
      </c>
      <c r="E126" s="75">
        <f>D126*undergrid!$AQ$2</f>
        <v>1.58</v>
      </c>
      <c r="F126" s="73">
        <f>undergrid!E126</f>
        <v>2.9369999999999998</v>
      </c>
      <c r="G126" s="74">
        <f>F126*undergrid!$AQ$3</f>
        <v>0.41117999999999999</v>
      </c>
      <c r="H126" s="74">
        <f t="shared" si="20"/>
        <v>2.9369999999999998</v>
      </c>
      <c r="I126" s="75">
        <f>H126*undergrid!$AQ$3</f>
        <v>0.41117999999999999</v>
      </c>
      <c r="J126" s="73">
        <f>undergrid!G126</f>
        <v>0.08</v>
      </c>
      <c r="K126" s="75">
        <f t="shared" si="21"/>
        <v>0</v>
      </c>
      <c r="L126" s="73">
        <f>undergrid!I126</f>
        <v>0.1</v>
      </c>
      <c r="M126" s="75">
        <f t="shared" si="22"/>
        <v>2.5</v>
      </c>
      <c r="N126" s="81">
        <f>undergrid!K126</f>
        <v>2</v>
      </c>
      <c r="O126" s="82"/>
      <c r="P126" s="81">
        <f>undergrid!M126</f>
        <v>6.3999999999999996E-10</v>
      </c>
      <c r="Q126" s="82"/>
      <c r="R126" s="73">
        <f>undergrid!O126</f>
        <v>16.880379000571519</v>
      </c>
      <c r="S126" s="74">
        <f>R126*undergrid!$AQ$5</f>
        <v>6.7521516002286072E-5</v>
      </c>
      <c r="T126" s="75">
        <f>R126*(1-Graphs!$AD$1)</f>
        <v>0.84401895002857674</v>
      </c>
      <c r="U126" s="73">
        <f>undergrid!Q126</f>
        <v>0</v>
      </c>
      <c r="V126" s="75">
        <f>IF(U126&lt;0.001,0,P126*undergrid!$AQ$4)</f>
        <v>0</v>
      </c>
      <c r="W126" s="73">
        <f>undergrid!S126</f>
        <v>0</v>
      </c>
      <c r="X126" s="106">
        <f>IF(undergrid!AI126&gt;0,(undergrid!$AQ$7*W126+undergrid!$AQ$8*undergrid!$AQ$9)*undergrid!$AQ$6,0)+undergrid!AG126*undergrid!$AQ$10</f>
        <v>0</v>
      </c>
      <c r="Y126" s="73">
        <f>undergrid!U126</f>
        <v>0</v>
      </c>
      <c r="Z126" s="74">
        <f>Y126*undergrid!$AQ$5</f>
        <v>0</v>
      </c>
      <c r="AA126" s="75">
        <f>Y126*(1-Graphs!$AD$2)</f>
        <v>0</v>
      </c>
      <c r="AB126" s="73">
        <f>undergrid!W126</f>
        <v>25</v>
      </c>
      <c r="AC126" s="75">
        <f t="shared" si="23"/>
        <v>2.5</v>
      </c>
      <c r="AD126" s="73">
        <f>undergrid!Y126</f>
        <v>0</v>
      </c>
      <c r="AE126" s="75">
        <f t="shared" si="24"/>
        <v>0</v>
      </c>
      <c r="AF126" s="109">
        <f>undergrid!AA126</f>
        <v>0</v>
      </c>
      <c r="AG126" s="110">
        <f>undergrid!AE126</f>
        <v>0</v>
      </c>
      <c r="AH126" s="93">
        <f t="shared" si="25"/>
        <v>0</v>
      </c>
      <c r="AI126" s="93">
        <f t="shared" si="26"/>
        <v>0</v>
      </c>
      <c r="AJ126" s="93">
        <f t="shared" si="27"/>
        <v>18.902999999999999</v>
      </c>
      <c r="AK126" s="93">
        <f>IF(AH126&gt;0.00001,undergrid!$AM$4,IF(Costs!AI126&gt;0.0001,((undergrid!$AQ$7*W126+undergrid!$AQ$8*undergrid!$AQ$9)*undergrid!$AQ$6)/W126,IF(Costs!AJ126&gt;0.0001,Costs!L126,0)))</f>
        <v>0.1</v>
      </c>
      <c r="AL126" s="1">
        <v>125</v>
      </c>
      <c r="AM126" s="121">
        <f t="shared" si="32"/>
        <v>1.9911799999999999</v>
      </c>
      <c r="AN126" s="122">
        <f t="shared" si="28"/>
        <v>-2.5000675215160024</v>
      </c>
      <c r="AO126" s="123">
        <f t="shared" si="29"/>
        <v>-0.50888752151600247</v>
      </c>
      <c r="AR126" s="114">
        <f t="shared" si="30"/>
        <v>22.977379000571517</v>
      </c>
      <c r="AS126" s="32">
        <f t="shared" si="31"/>
        <v>25</v>
      </c>
      <c r="AT126" s="33">
        <f t="shared" si="33"/>
        <v>2.0226209994284829</v>
      </c>
    </row>
    <row r="127" spans="1:46" x14ac:dyDescent="0.3">
      <c r="A127" s="4" t="str">
        <f>undergrid!B127</f>
        <v>h126</v>
      </c>
      <c r="B127" s="73">
        <f>undergrid!C127*2</f>
        <v>2.74</v>
      </c>
      <c r="C127" s="74">
        <f>undergrid!$AQ$2*Costs!B127</f>
        <v>1.37</v>
      </c>
      <c r="D127" s="74">
        <f t="shared" si="19"/>
        <v>2.74</v>
      </c>
      <c r="E127" s="75">
        <f>D127*undergrid!$AQ$2</f>
        <v>1.37</v>
      </c>
      <c r="F127" s="73">
        <f>undergrid!E127</f>
        <v>2.544</v>
      </c>
      <c r="G127" s="74">
        <f>F127*undergrid!$AQ$3</f>
        <v>0.35616000000000003</v>
      </c>
      <c r="H127" s="74">
        <f t="shared" si="20"/>
        <v>2.544</v>
      </c>
      <c r="I127" s="75">
        <f>H127*undergrid!$AQ$3</f>
        <v>0.35616000000000003</v>
      </c>
      <c r="J127" s="73">
        <f>undergrid!G127</f>
        <v>0.08</v>
      </c>
      <c r="K127" s="75">
        <f t="shared" si="21"/>
        <v>0</v>
      </c>
      <c r="L127" s="73">
        <f>undergrid!I127</f>
        <v>0.1</v>
      </c>
      <c r="M127" s="75">
        <f t="shared" si="22"/>
        <v>2.5</v>
      </c>
      <c r="N127" s="81">
        <f>undergrid!K127</f>
        <v>2</v>
      </c>
      <c r="O127" s="82"/>
      <c r="P127" s="81">
        <f>undergrid!M127</f>
        <v>6.3999999999999996E-10</v>
      </c>
      <c r="Q127" s="82"/>
      <c r="R127" s="73">
        <f>undergrid!O127</f>
        <v>17.606388000571521</v>
      </c>
      <c r="S127" s="74">
        <f>R127*undergrid!$AQ$5</f>
        <v>7.0425552002286075E-5</v>
      </c>
      <c r="T127" s="75">
        <f>R127*(1-Graphs!$AD$1)</f>
        <v>0.88031940002857678</v>
      </c>
      <c r="U127" s="73">
        <f>undergrid!Q127</f>
        <v>0</v>
      </c>
      <c r="V127" s="75">
        <f>IF(U127&lt;0.001,0,P127*undergrid!$AQ$4)</f>
        <v>0</v>
      </c>
      <c r="W127" s="73">
        <f>undergrid!S127</f>
        <v>0</v>
      </c>
      <c r="X127" s="106">
        <f>IF(undergrid!AI127&gt;0,(undergrid!$AQ$7*W127+undergrid!$AQ$8*undergrid!$AQ$9)*undergrid!$AQ$6,0)+undergrid!AG127*undergrid!$AQ$10</f>
        <v>0</v>
      </c>
      <c r="Y127" s="73">
        <f>undergrid!U127</f>
        <v>0</v>
      </c>
      <c r="Z127" s="74">
        <f>Y127*undergrid!$AQ$5</f>
        <v>0</v>
      </c>
      <c r="AA127" s="75">
        <f>Y127*(1-Graphs!$AD$2)</f>
        <v>0</v>
      </c>
      <c r="AB127" s="73">
        <f>undergrid!W127</f>
        <v>25</v>
      </c>
      <c r="AC127" s="75">
        <f t="shared" si="23"/>
        <v>2.5</v>
      </c>
      <c r="AD127" s="73">
        <f>undergrid!Y127</f>
        <v>0</v>
      </c>
      <c r="AE127" s="75">
        <f t="shared" si="24"/>
        <v>0</v>
      </c>
      <c r="AF127" s="109">
        <f>undergrid!AA127</f>
        <v>0</v>
      </c>
      <c r="AG127" s="110">
        <f>undergrid!AE127</f>
        <v>0</v>
      </c>
      <c r="AH127" s="93">
        <f t="shared" si="25"/>
        <v>0</v>
      </c>
      <c r="AI127" s="93">
        <f t="shared" si="26"/>
        <v>0</v>
      </c>
      <c r="AJ127" s="93">
        <f t="shared" si="27"/>
        <v>19.715999999999998</v>
      </c>
      <c r="AK127" s="93">
        <f>IF(AH127&gt;0.00001,undergrid!$AM$4,IF(Costs!AI127&gt;0.0001,((undergrid!$AQ$7*W127+undergrid!$AQ$8*undergrid!$AQ$9)*undergrid!$AQ$6)/W127,IF(Costs!AJ127&gt;0.0001,Costs!L127,0)))</f>
        <v>0.1</v>
      </c>
      <c r="AL127" s="1">
        <v>126</v>
      </c>
      <c r="AM127" s="121">
        <f t="shared" si="32"/>
        <v>1.7261600000000001</v>
      </c>
      <c r="AN127" s="122">
        <f t="shared" si="28"/>
        <v>-2.5000704255520021</v>
      </c>
      <c r="AO127" s="123">
        <f t="shared" si="29"/>
        <v>-0.77391042555200196</v>
      </c>
      <c r="AR127" s="114">
        <f t="shared" si="30"/>
        <v>22.890388000571519</v>
      </c>
      <c r="AS127" s="32">
        <f t="shared" si="31"/>
        <v>25</v>
      </c>
      <c r="AT127" s="33">
        <f t="shared" si="33"/>
        <v>2.1096119994284805</v>
      </c>
    </row>
    <row r="128" spans="1:46" x14ac:dyDescent="0.3">
      <c r="A128" s="4" t="str">
        <f>undergrid!B128</f>
        <v>h127</v>
      </c>
      <c r="B128" s="73">
        <f>undergrid!C128*2</f>
        <v>2.6</v>
      </c>
      <c r="C128" s="74">
        <f>undergrid!$AQ$2*Costs!B128</f>
        <v>1.3</v>
      </c>
      <c r="D128" s="74">
        <f t="shared" si="19"/>
        <v>2.6</v>
      </c>
      <c r="E128" s="75">
        <f>D128*undergrid!$AQ$2</f>
        <v>1.3</v>
      </c>
      <c r="F128" s="73">
        <f>undergrid!E128</f>
        <v>2.4169999999999998</v>
      </c>
      <c r="G128" s="74">
        <f>F128*undergrid!$AQ$3</f>
        <v>0.33838000000000001</v>
      </c>
      <c r="H128" s="74">
        <f t="shared" si="20"/>
        <v>2.4169999999999998</v>
      </c>
      <c r="I128" s="75">
        <f>H128*undergrid!$AQ$3</f>
        <v>0.33838000000000001</v>
      </c>
      <c r="J128" s="73">
        <f>undergrid!G128</f>
        <v>0.13</v>
      </c>
      <c r="K128" s="75">
        <f t="shared" si="21"/>
        <v>0</v>
      </c>
      <c r="L128" s="73">
        <f>undergrid!I128</f>
        <v>0.15</v>
      </c>
      <c r="M128" s="75">
        <f t="shared" si="22"/>
        <v>0</v>
      </c>
      <c r="N128" s="81">
        <f>undergrid!K128</f>
        <v>2</v>
      </c>
      <c r="O128" s="82"/>
      <c r="P128" s="81">
        <f>undergrid!M128</f>
        <v>6.3999999999999996E-10</v>
      </c>
      <c r="Q128" s="82"/>
      <c r="R128" s="73">
        <f>undergrid!O128</f>
        <v>0</v>
      </c>
      <c r="S128" s="74">
        <f>R128*undergrid!$AQ$5</f>
        <v>0</v>
      </c>
      <c r="T128" s="75">
        <f>R128*(1-Graphs!$AD$1)</f>
        <v>0</v>
      </c>
      <c r="U128" s="73">
        <f>undergrid!Q128</f>
        <v>0</v>
      </c>
      <c r="V128" s="75">
        <f>IF(U128&lt;0.001,0,P128*undergrid!$AQ$4)</f>
        <v>0</v>
      </c>
      <c r="W128" s="73">
        <f>undergrid!S128</f>
        <v>0</v>
      </c>
      <c r="X128" s="106">
        <f>IF(undergrid!AI128&gt;0,(undergrid!$AQ$7*W128+undergrid!$AQ$8*undergrid!$AQ$9)*undergrid!$AQ$6,0)+undergrid!AG128*undergrid!$AQ$10</f>
        <v>0</v>
      </c>
      <c r="Y128" s="73">
        <f>undergrid!U128</f>
        <v>5.5744444437333334</v>
      </c>
      <c r="Z128" s="74">
        <f>Y128*undergrid!$AQ$5</f>
        <v>2.2297777774933332E-5</v>
      </c>
      <c r="AA128" s="75">
        <f>Y128*(1-Graphs!$AD$2)</f>
        <v>0.55744444437333318</v>
      </c>
      <c r="AB128" s="73">
        <f>undergrid!W128</f>
        <v>0</v>
      </c>
      <c r="AC128" s="75">
        <f t="shared" si="23"/>
        <v>0</v>
      </c>
      <c r="AD128" s="73">
        <f>undergrid!Y128</f>
        <v>0</v>
      </c>
      <c r="AE128" s="75">
        <f t="shared" si="24"/>
        <v>0</v>
      </c>
      <c r="AF128" s="109">
        <f>undergrid!AA128</f>
        <v>0</v>
      </c>
      <c r="AG128" s="110">
        <f>undergrid!AE128</f>
        <v>0</v>
      </c>
      <c r="AH128" s="93">
        <f t="shared" si="25"/>
        <v>0</v>
      </c>
      <c r="AI128" s="93">
        <f t="shared" si="26"/>
        <v>0</v>
      </c>
      <c r="AJ128" s="93">
        <f t="shared" si="27"/>
        <v>0</v>
      </c>
      <c r="AK128" s="93">
        <f>IF(AH128&gt;0.00001,undergrid!$AM$4,IF(Costs!AI128&gt;0.0001,((undergrid!$AQ$7*W128+undergrid!$AQ$8*undergrid!$AQ$9)*undergrid!$AQ$6)/W128,IF(Costs!AJ128&gt;0.0001,Costs!L128,0)))</f>
        <v>0</v>
      </c>
      <c r="AL128" s="1">
        <v>127</v>
      </c>
      <c r="AM128" s="121">
        <f t="shared" si="32"/>
        <v>1.6383800000000002</v>
      </c>
      <c r="AN128" s="122">
        <f t="shared" si="28"/>
        <v>-2.2297777774933332E-5</v>
      </c>
      <c r="AO128" s="123">
        <f t="shared" si="29"/>
        <v>1.6383577022222253</v>
      </c>
      <c r="AR128" s="114">
        <f t="shared" si="30"/>
        <v>5.0169999999999995</v>
      </c>
      <c r="AS128" s="32">
        <f t="shared" si="31"/>
        <v>5.5744444437333334</v>
      </c>
      <c r="AT128" s="33">
        <f t="shared" si="33"/>
        <v>0.55744444373333391</v>
      </c>
    </row>
    <row r="129" spans="1:46" x14ac:dyDescent="0.3">
      <c r="A129" s="4" t="str">
        <f>undergrid!B129</f>
        <v>h128</v>
      </c>
      <c r="B129" s="73">
        <f>undergrid!C129*2</f>
        <v>1.4</v>
      </c>
      <c r="C129" s="74">
        <f>undergrid!$AQ$2*Costs!B129</f>
        <v>0.7</v>
      </c>
      <c r="D129" s="74">
        <f t="shared" si="19"/>
        <v>1.4</v>
      </c>
      <c r="E129" s="75">
        <f>D129*undergrid!$AQ$2</f>
        <v>0.7</v>
      </c>
      <c r="F129" s="73">
        <f>undergrid!E129</f>
        <v>1.6950000000000001</v>
      </c>
      <c r="G129" s="74">
        <f>F129*undergrid!$AQ$3</f>
        <v>0.23730000000000004</v>
      </c>
      <c r="H129" s="74">
        <f t="shared" si="20"/>
        <v>1.6950000000000001</v>
      </c>
      <c r="I129" s="75">
        <f>H129*undergrid!$AQ$3</f>
        <v>0.23730000000000004</v>
      </c>
      <c r="J129" s="73">
        <f>undergrid!G129</f>
        <v>0.13</v>
      </c>
      <c r="K129" s="75">
        <f t="shared" si="21"/>
        <v>0</v>
      </c>
      <c r="L129" s="73">
        <f>undergrid!I129</f>
        <v>0.15</v>
      </c>
      <c r="M129" s="75">
        <f t="shared" si="22"/>
        <v>0</v>
      </c>
      <c r="N129" s="81">
        <f>undergrid!K129</f>
        <v>2</v>
      </c>
      <c r="O129" s="82"/>
      <c r="P129" s="81">
        <f>undergrid!M129</f>
        <v>5.4999999999999996E-10</v>
      </c>
      <c r="Q129" s="82"/>
      <c r="R129" s="73">
        <f>undergrid!O129</f>
        <v>0</v>
      </c>
      <c r="S129" s="74">
        <f>R129*undergrid!$AQ$5</f>
        <v>0</v>
      </c>
      <c r="T129" s="75">
        <f>R129*(1-Graphs!$AD$1)</f>
        <v>0</v>
      </c>
      <c r="U129" s="73">
        <f>undergrid!Q129</f>
        <v>0</v>
      </c>
      <c r="V129" s="75">
        <f>IF(U129&lt;0.001,0,P129*undergrid!$AQ$4)</f>
        <v>0</v>
      </c>
      <c r="W129" s="73">
        <f>undergrid!S129</f>
        <v>0</v>
      </c>
      <c r="X129" s="106">
        <f>IF(undergrid!AI129&gt;0,(undergrid!$AQ$7*W129+undergrid!$AQ$8*undergrid!$AQ$9)*undergrid!$AQ$6,0)+undergrid!AG129*undergrid!$AQ$10</f>
        <v>0</v>
      </c>
      <c r="Y129" s="73">
        <f>undergrid!U129</f>
        <v>3.4388888882777775</v>
      </c>
      <c r="Z129" s="74">
        <f>Y129*undergrid!$AQ$5</f>
        <v>1.375555555311111E-5</v>
      </c>
      <c r="AA129" s="75">
        <f>Y129*(1-Graphs!$AD$2)</f>
        <v>0.34388888882777768</v>
      </c>
      <c r="AB129" s="73">
        <f>undergrid!W129</f>
        <v>0</v>
      </c>
      <c r="AC129" s="75">
        <f t="shared" si="23"/>
        <v>0</v>
      </c>
      <c r="AD129" s="73">
        <f>undergrid!Y129</f>
        <v>0</v>
      </c>
      <c r="AE129" s="75">
        <f t="shared" si="24"/>
        <v>0</v>
      </c>
      <c r="AF129" s="109">
        <f>undergrid!AA129</f>
        <v>0</v>
      </c>
      <c r="AG129" s="110">
        <f>undergrid!AE129</f>
        <v>0</v>
      </c>
      <c r="AH129" s="93">
        <f t="shared" si="25"/>
        <v>0</v>
      </c>
      <c r="AI129" s="93">
        <f t="shared" si="26"/>
        <v>0</v>
      </c>
      <c r="AJ129" s="93">
        <f t="shared" si="27"/>
        <v>0</v>
      </c>
      <c r="AK129" s="93">
        <f>IF(AH129&gt;0.00001,undergrid!$AM$4,IF(Costs!AI129&gt;0.0001,((undergrid!$AQ$7*W129+undergrid!$AQ$8*undergrid!$AQ$9)*undergrid!$AQ$6)/W129,IF(Costs!AJ129&gt;0.0001,Costs!L129,0)))</f>
        <v>0</v>
      </c>
      <c r="AL129" s="1">
        <v>128</v>
      </c>
      <c r="AM129" s="121">
        <f t="shared" si="32"/>
        <v>0.93730000000000002</v>
      </c>
      <c r="AN129" s="122">
        <f t="shared" si="28"/>
        <v>-1.375555555311111E-5</v>
      </c>
      <c r="AO129" s="123">
        <f t="shared" si="29"/>
        <v>0.93728624444444686</v>
      </c>
      <c r="AR129" s="114">
        <f t="shared" si="30"/>
        <v>3.0949999999999998</v>
      </c>
      <c r="AS129" s="32">
        <f t="shared" si="31"/>
        <v>3.4388888882777775</v>
      </c>
      <c r="AT129" s="33">
        <f t="shared" si="33"/>
        <v>0.34388888827777775</v>
      </c>
    </row>
    <row r="130" spans="1:46" x14ac:dyDescent="0.3">
      <c r="A130" s="4" t="str">
        <f>undergrid!B130</f>
        <v>h129</v>
      </c>
      <c r="B130" s="73">
        <f>undergrid!C130*2</f>
        <v>1.18</v>
      </c>
      <c r="C130" s="74">
        <f>undergrid!$AQ$2*Costs!B130</f>
        <v>0.59</v>
      </c>
      <c r="D130" s="74">
        <f t="shared" si="19"/>
        <v>1.18</v>
      </c>
      <c r="E130" s="75">
        <f>D130*undergrid!$AQ$2</f>
        <v>0.59</v>
      </c>
      <c r="F130" s="73">
        <f>undergrid!E130</f>
        <v>1.44</v>
      </c>
      <c r="G130" s="74">
        <f>F130*undergrid!$AQ$3</f>
        <v>0.2016</v>
      </c>
      <c r="H130" s="74">
        <f t="shared" si="20"/>
        <v>1.44</v>
      </c>
      <c r="I130" s="75">
        <f>H130*undergrid!$AQ$3</f>
        <v>0.2016</v>
      </c>
      <c r="J130" s="73">
        <f>undergrid!G130</f>
        <v>0.13</v>
      </c>
      <c r="K130" s="75">
        <f t="shared" si="21"/>
        <v>0</v>
      </c>
      <c r="L130" s="73">
        <f>undergrid!I130</f>
        <v>0.15</v>
      </c>
      <c r="M130" s="75">
        <f t="shared" si="22"/>
        <v>6.3485124080451552E-2</v>
      </c>
      <c r="N130" s="81">
        <f>undergrid!K130</f>
        <v>2</v>
      </c>
      <c r="O130" s="82"/>
      <c r="P130" s="81">
        <f>undergrid!M130</f>
        <v>8.4999999999999996E-10</v>
      </c>
      <c r="Q130" s="82"/>
      <c r="R130" s="73">
        <f>undergrid!O130</f>
        <v>0</v>
      </c>
      <c r="S130" s="74">
        <f>R130*undergrid!$AQ$5</f>
        <v>0</v>
      </c>
      <c r="T130" s="75">
        <f>R130*(1-Graphs!$AD$1)</f>
        <v>0</v>
      </c>
      <c r="U130" s="73">
        <f>undergrid!Q130</f>
        <v>0</v>
      </c>
      <c r="V130" s="75">
        <f>IF(U130&lt;0.001,0,P130*undergrid!$AQ$4)</f>
        <v>0</v>
      </c>
      <c r="W130" s="73">
        <f>undergrid!S130</f>
        <v>0</v>
      </c>
      <c r="X130" s="106">
        <f>IF(undergrid!AI130&gt;0,(undergrid!$AQ$7*W130+undergrid!$AQ$8*undergrid!$AQ$9)*undergrid!$AQ$6,0)+undergrid!AG130*undergrid!$AQ$10</f>
        <v>0</v>
      </c>
      <c r="Y130" s="73">
        <f>undergrid!U130</f>
        <v>2.4408509317929514</v>
      </c>
      <c r="Z130" s="74">
        <f>Y130*undergrid!$AQ$5</f>
        <v>9.7634037271718054E-6</v>
      </c>
      <c r="AA130" s="75">
        <f>Y130*(1-Graphs!$AD$2)</f>
        <v>0.24408509317929508</v>
      </c>
      <c r="AB130" s="73">
        <f>undergrid!W130</f>
        <v>0.42323416053634372</v>
      </c>
      <c r="AC130" s="75">
        <f t="shared" si="23"/>
        <v>6.3485124080451552E-2</v>
      </c>
      <c r="AD130" s="73">
        <f>undergrid!Y130</f>
        <v>0</v>
      </c>
      <c r="AE130" s="75">
        <f t="shared" si="24"/>
        <v>0</v>
      </c>
      <c r="AF130" s="109">
        <f>undergrid!AA130</f>
        <v>0</v>
      </c>
      <c r="AG130" s="110">
        <f>undergrid!AE130</f>
        <v>0</v>
      </c>
      <c r="AH130" s="93">
        <f t="shared" si="25"/>
        <v>0</v>
      </c>
      <c r="AI130" s="93">
        <f t="shared" si="26"/>
        <v>0</v>
      </c>
      <c r="AJ130" s="93">
        <f t="shared" si="27"/>
        <v>0</v>
      </c>
      <c r="AK130" s="93">
        <f>IF(AH130&gt;0.00001,undergrid!$AM$4,IF(Costs!AI130&gt;0.0001,((undergrid!$AQ$7*W130+undergrid!$AQ$8*undergrid!$AQ$9)*undergrid!$AQ$6)/W130,IF(Costs!AJ130&gt;0.0001,Costs!L130,0)))</f>
        <v>0</v>
      </c>
      <c r="AL130" s="1">
        <v>129</v>
      </c>
      <c r="AM130" s="121">
        <f t="shared" ref="AM130:AM161" si="34">E130+I130+AE130</f>
        <v>0.79159999999999997</v>
      </c>
      <c r="AN130" s="122">
        <f t="shared" si="28"/>
        <v>-6.3494887484178725E-2</v>
      </c>
      <c r="AO130" s="123">
        <f t="shared" si="29"/>
        <v>0.72810511251582122</v>
      </c>
      <c r="AR130" s="114">
        <f t="shared" si="30"/>
        <v>2.62</v>
      </c>
      <c r="AS130" s="32">
        <f t="shared" si="31"/>
        <v>2.8640850923292951</v>
      </c>
      <c r="AT130" s="33">
        <f t="shared" ref="AT130:AT161" si="35">AS130-AR130</f>
        <v>0.24408509232929498</v>
      </c>
    </row>
    <row r="131" spans="1:46" x14ac:dyDescent="0.3">
      <c r="A131" s="4" t="str">
        <f>undergrid!B131</f>
        <v>h130</v>
      </c>
      <c r="B131" s="73">
        <f>undergrid!C131*2</f>
        <v>2.38</v>
      </c>
      <c r="C131" s="74">
        <f>undergrid!$AQ$2*Costs!B131</f>
        <v>1.19</v>
      </c>
      <c r="D131" s="74">
        <f t="shared" ref="D131:D169" si="36">B131-AF131</f>
        <v>2.38</v>
      </c>
      <c r="E131" s="75">
        <f>D131*undergrid!$AQ$2</f>
        <v>1.19</v>
      </c>
      <c r="F131" s="73">
        <f>undergrid!E131</f>
        <v>4.952</v>
      </c>
      <c r="G131" s="74">
        <f>F131*undergrid!$AQ$3</f>
        <v>0.69328000000000001</v>
      </c>
      <c r="H131" s="74">
        <f t="shared" ref="H131:H169" si="37">F131-AG131</f>
        <v>4.952</v>
      </c>
      <c r="I131" s="75">
        <f>H131*undergrid!$AQ$3</f>
        <v>0.69328000000000001</v>
      </c>
      <c r="J131" s="73">
        <f>undergrid!G131</f>
        <v>0.13</v>
      </c>
      <c r="K131" s="75">
        <f t="shared" ref="K131:K169" si="38">AD131*J131</f>
        <v>0</v>
      </c>
      <c r="L131" s="73">
        <f>undergrid!I131</f>
        <v>0.15</v>
      </c>
      <c r="M131" s="75">
        <f t="shared" ref="M131:M169" si="39">L131*AB131</f>
        <v>1.0997999998919998</v>
      </c>
      <c r="N131" s="81">
        <f>undergrid!K131</f>
        <v>2</v>
      </c>
      <c r="O131" s="82"/>
      <c r="P131" s="81">
        <f>undergrid!M131</f>
        <v>7.2E-10</v>
      </c>
      <c r="Q131" s="82"/>
      <c r="R131" s="73">
        <f>undergrid!O131</f>
        <v>0</v>
      </c>
      <c r="S131" s="74">
        <f>R131*undergrid!$AQ$5</f>
        <v>0</v>
      </c>
      <c r="T131" s="75">
        <f>R131*(1-Graphs!$AD$1)</f>
        <v>0</v>
      </c>
      <c r="U131" s="73">
        <f>undergrid!Q131</f>
        <v>0</v>
      </c>
      <c r="V131" s="75">
        <f>IF(U131&lt;0.001,0,P131*undergrid!$AQ$4)</f>
        <v>0</v>
      </c>
      <c r="W131" s="73">
        <f>undergrid!S131</f>
        <v>0</v>
      </c>
      <c r="X131" s="106">
        <f>IF(undergrid!AI131&gt;0,(undergrid!$AQ$7*W131+undergrid!$AQ$8*undergrid!$AQ$9)*undergrid!$AQ$6,0)+undergrid!AG131*undergrid!$AQ$10</f>
        <v>0</v>
      </c>
      <c r="Y131" s="73">
        <f>undergrid!U131</f>
        <v>0</v>
      </c>
      <c r="Z131" s="74">
        <f>Y131*undergrid!$AQ$5</f>
        <v>0</v>
      </c>
      <c r="AA131" s="75">
        <f>Y131*(1-Graphs!$AD$2)</f>
        <v>0</v>
      </c>
      <c r="AB131" s="73">
        <f>undergrid!W131</f>
        <v>7.3319999992799998</v>
      </c>
      <c r="AC131" s="75">
        <f t="shared" ref="AC131:AC169" si="40">L131*AB131</f>
        <v>1.0997999998919998</v>
      </c>
      <c r="AD131" s="73">
        <f>undergrid!Y131</f>
        <v>0</v>
      </c>
      <c r="AE131" s="75">
        <f t="shared" ref="AE131:AE169" si="41">AD131*J131</f>
        <v>0</v>
      </c>
      <c r="AF131" s="109">
        <f>undergrid!AA131</f>
        <v>0</v>
      </c>
      <c r="AG131" s="110">
        <f>undergrid!AE131</f>
        <v>0</v>
      </c>
      <c r="AH131" s="93">
        <f t="shared" ref="AH131:AH169" si="42">IF(AND(R131&gt;0.001,U131&gt;AD131+D131+H131),U131-AD131-D131-H131,0)</f>
        <v>0</v>
      </c>
      <c r="AI131" s="93">
        <f t="shared" ref="AI131:AI169" si="43">IF(AND(R131&gt;0.001,U131&lt;AD131+D131+H131,W131&gt;AD131+D131+H131-U131),W131-AD131-D131-H131+U131,0)</f>
        <v>0</v>
      </c>
      <c r="AJ131" s="93">
        <f t="shared" ref="AJ131:AJ169" si="44">IF(AND(R131&gt;0.001,U131&lt;AD131+D131+H131,AB131&gt;AD131+D131+H131-U131),AB131-AD131-D131-H131+U131,0)</f>
        <v>0</v>
      </c>
      <c r="AK131" s="93">
        <f>IF(AH131&gt;0.00001,undergrid!$AM$4,IF(Costs!AI131&gt;0.0001,((undergrid!$AQ$7*W131+undergrid!$AQ$8*undergrid!$AQ$9)*undergrid!$AQ$6)/W131,IF(Costs!AJ131&gt;0.0001,Costs!L131,0)))</f>
        <v>0</v>
      </c>
      <c r="AL131" s="1">
        <v>130</v>
      </c>
      <c r="AM131" s="121">
        <f t="shared" si="34"/>
        <v>1.8832800000000001</v>
      </c>
      <c r="AN131" s="122">
        <f t="shared" ref="AN131:AN169" si="45">-(AC131+Z131+X131+S131+V131)</f>
        <v>-1.0997999998919998</v>
      </c>
      <c r="AO131" s="123">
        <f t="shared" ref="AO131:AO169" si="46">AM131+AN131</f>
        <v>0.78348000010800023</v>
      </c>
      <c r="AR131" s="114">
        <f t="shared" ref="AR131:AR169" si="47">D131+H131+R131+AD131</f>
        <v>7.3319999999999999</v>
      </c>
      <c r="AS131" s="32">
        <f t="shared" ref="AS131:AS169" si="48">U131+W131+Y131+AB131</f>
        <v>7.3319999992799998</v>
      </c>
      <c r="AT131" s="33">
        <f t="shared" si="35"/>
        <v>-7.2000005957306712E-10</v>
      </c>
    </row>
    <row r="132" spans="1:46" x14ac:dyDescent="0.3">
      <c r="A132" s="4" t="str">
        <f>undergrid!B132</f>
        <v>h131</v>
      </c>
      <c r="B132" s="73">
        <f>undergrid!C132*2</f>
        <v>6.04</v>
      </c>
      <c r="C132" s="74">
        <f>undergrid!$AQ$2*Costs!B132</f>
        <v>3.02</v>
      </c>
      <c r="D132" s="74">
        <f t="shared" si="36"/>
        <v>6.04</v>
      </c>
      <c r="E132" s="75">
        <f>D132*undergrid!$AQ$2</f>
        <v>3.02</v>
      </c>
      <c r="F132" s="73">
        <f>undergrid!E132</f>
        <v>6.51</v>
      </c>
      <c r="G132" s="74">
        <f>F132*undergrid!$AQ$3</f>
        <v>0.9114000000000001</v>
      </c>
      <c r="H132" s="74">
        <f t="shared" si="37"/>
        <v>6.51</v>
      </c>
      <c r="I132" s="75">
        <f>H132*undergrid!$AQ$3</f>
        <v>0.9114000000000001</v>
      </c>
      <c r="J132" s="73">
        <f>undergrid!G132</f>
        <v>0.13</v>
      </c>
      <c r="K132" s="75">
        <f t="shared" si="38"/>
        <v>0</v>
      </c>
      <c r="L132" s="73">
        <f>undergrid!I132</f>
        <v>0.15</v>
      </c>
      <c r="M132" s="75">
        <f t="shared" si="39"/>
        <v>0</v>
      </c>
      <c r="N132" s="81">
        <f>undergrid!K132</f>
        <v>1</v>
      </c>
      <c r="O132" s="82"/>
      <c r="P132" s="81">
        <f>undergrid!M132</f>
        <v>4.9800000000000004</v>
      </c>
      <c r="Q132" s="82"/>
      <c r="R132" s="73">
        <f>undergrid!O132</f>
        <v>0</v>
      </c>
      <c r="S132" s="74">
        <f>R132*undergrid!$AQ$5</f>
        <v>0</v>
      </c>
      <c r="T132" s="75">
        <f>R132*(1-Graphs!$AD$1)</f>
        <v>0</v>
      </c>
      <c r="U132" s="73">
        <f>undergrid!Q132</f>
        <v>4.9800000000000004</v>
      </c>
      <c r="V132" s="75">
        <f>IF(U132&lt;0.001,0,P132*undergrid!$AQ$4)</f>
        <v>9.9600000000000012E-6</v>
      </c>
      <c r="W132" s="73">
        <f>undergrid!S132</f>
        <v>0</v>
      </c>
      <c r="X132" s="106">
        <f>IF(undergrid!AI132&gt;0,(undergrid!$AQ$7*W132+undergrid!$AQ$8*undergrid!$AQ$9)*undergrid!$AQ$6,0)+undergrid!AG132*undergrid!$AQ$10</f>
        <v>0</v>
      </c>
      <c r="Y132" s="73">
        <f>undergrid!U132</f>
        <v>8.4111111111111114</v>
      </c>
      <c r="Z132" s="74">
        <f>Y132*undergrid!$AQ$5</f>
        <v>3.3644444444444442E-5</v>
      </c>
      <c r="AA132" s="75">
        <f>Y132*(1-Graphs!$AD$2)</f>
        <v>0.84111111111111092</v>
      </c>
      <c r="AB132" s="73">
        <f>undergrid!W132</f>
        <v>0</v>
      </c>
      <c r="AC132" s="75">
        <f t="shared" si="40"/>
        <v>0</v>
      </c>
      <c r="AD132" s="73">
        <f>undergrid!Y132</f>
        <v>0</v>
      </c>
      <c r="AE132" s="75">
        <f t="shared" si="41"/>
        <v>0</v>
      </c>
      <c r="AF132" s="109">
        <f>undergrid!AA132</f>
        <v>0</v>
      </c>
      <c r="AG132" s="110">
        <f>undergrid!AE132</f>
        <v>0</v>
      </c>
      <c r="AH132" s="93">
        <f t="shared" si="42"/>
        <v>0</v>
      </c>
      <c r="AI132" s="93">
        <f t="shared" si="43"/>
        <v>0</v>
      </c>
      <c r="AJ132" s="93">
        <f t="shared" si="44"/>
        <v>0</v>
      </c>
      <c r="AK132" s="93">
        <f>IF(AH132&gt;0.00001,undergrid!$AM$4,IF(Costs!AI132&gt;0.0001,((undergrid!$AQ$7*W132+undergrid!$AQ$8*undergrid!$AQ$9)*undergrid!$AQ$6)/W132,IF(Costs!AJ132&gt;0.0001,Costs!L132,0)))</f>
        <v>0</v>
      </c>
      <c r="AL132" s="1">
        <v>131</v>
      </c>
      <c r="AM132" s="121">
        <f t="shared" si="34"/>
        <v>3.9314</v>
      </c>
      <c r="AN132" s="122">
        <f t="shared" si="45"/>
        <v>-4.3604444444444441E-5</v>
      </c>
      <c r="AO132" s="123">
        <f t="shared" si="46"/>
        <v>3.9313563955555555</v>
      </c>
      <c r="AR132" s="114">
        <f t="shared" si="47"/>
        <v>12.55</v>
      </c>
      <c r="AS132" s="32">
        <f t="shared" si="48"/>
        <v>13.391111111111112</v>
      </c>
      <c r="AT132" s="33">
        <f t="shared" si="35"/>
        <v>0.84111111111111114</v>
      </c>
    </row>
    <row r="133" spans="1:46" x14ac:dyDescent="0.3">
      <c r="A133" s="4" t="str">
        <f>undergrid!B133</f>
        <v>h132</v>
      </c>
      <c r="B133" s="73">
        <f>undergrid!C133*2</f>
        <v>4.5199999999999996</v>
      </c>
      <c r="C133" s="74">
        <f>undergrid!$AQ$2*Costs!B133</f>
        <v>2.2599999999999998</v>
      </c>
      <c r="D133" s="74">
        <f t="shared" si="36"/>
        <v>4.5199999999999996</v>
      </c>
      <c r="E133" s="75">
        <f>D133*undergrid!$AQ$2</f>
        <v>2.2599999999999998</v>
      </c>
      <c r="F133" s="73">
        <f>undergrid!E133</f>
        <v>4.8680000000000003</v>
      </c>
      <c r="G133" s="74">
        <f>F133*undergrid!$AQ$3</f>
        <v>0.68152000000000013</v>
      </c>
      <c r="H133" s="74">
        <f t="shared" si="37"/>
        <v>4.8680000000000003</v>
      </c>
      <c r="I133" s="75">
        <f>H133*undergrid!$AQ$3</f>
        <v>0.68152000000000013</v>
      </c>
      <c r="J133" s="73">
        <f>undergrid!G133</f>
        <v>0.13</v>
      </c>
      <c r="K133" s="75">
        <f t="shared" si="38"/>
        <v>0</v>
      </c>
      <c r="L133" s="73">
        <f>undergrid!I133</f>
        <v>0.15</v>
      </c>
      <c r="M133" s="75">
        <f t="shared" si="39"/>
        <v>0</v>
      </c>
      <c r="N133" s="81">
        <f>undergrid!K133</f>
        <v>1</v>
      </c>
      <c r="O133" s="82"/>
      <c r="P133" s="81">
        <f>undergrid!M133</f>
        <v>4.91</v>
      </c>
      <c r="Q133" s="82"/>
      <c r="R133" s="73">
        <f>undergrid!O133</f>
        <v>0</v>
      </c>
      <c r="S133" s="74">
        <f>R133*undergrid!$AQ$5</f>
        <v>0</v>
      </c>
      <c r="T133" s="75">
        <f>R133*(1-Graphs!$AD$1)</f>
        <v>0</v>
      </c>
      <c r="U133" s="73">
        <f>undergrid!Q133</f>
        <v>4.91</v>
      </c>
      <c r="V133" s="75">
        <f>IF(U133&lt;0.001,0,P133*undergrid!$AQ$4)</f>
        <v>9.8199999999999992E-6</v>
      </c>
      <c r="W133" s="73">
        <f>undergrid!S133</f>
        <v>0</v>
      </c>
      <c r="X133" s="106">
        <f>IF(undergrid!AI133&gt;0,(undergrid!$AQ$7*W133+undergrid!$AQ$8*undergrid!$AQ$9)*undergrid!$AQ$6,0)+undergrid!AG133*undergrid!$AQ$10</f>
        <v>0</v>
      </c>
      <c r="Y133" s="73">
        <f>undergrid!U133</f>
        <v>4.9755555555555553</v>
      </c>
      <c r="Z133" s="74">
        <f>Y133*undergrid!$AQ$5</f>
        <v>1.9902222222222222E-5</v>
      </c>
      <c r="AA133" s="75">
        <f>Y133*(1-Graphs!$AD$2)</f>
        <v>0.49755555555555542</v>
      </c>
      <c r="AB133" s="73">
        <f>undergrid!W133</f>
        <v>0</v>
      </c>
      <c r="AC133" s="75">
        <f t="shared" si="40"/>
        <v>0</v>
      </c>
      <c r="AD133" s="73">
        <f>undergrid!Y133</f>
        <v>0</v>
      </c>
      <c r="AE133" s="75">
        <f t="shared" si="41"/>
        <v>0</v>
      </c>
      <c r="AF133" s="109">
        <f>undergrid!AA133</f>
        <v>0</v>
      </c>
      <c r="AG133" s="110">
        <f>undergrid!AE133</f>
        <v>0</v>
      </c>
      <c r="AH133" s="93">
        <f t="shared" si="42"/>
        <v>0</v>
      </c>
      <c r="AI133" s="93">
        <f t="shared" si="43"/>
        <v>0</v>
      </c>
      <c r="AJ133" s="93">
        <f t="shared" si="44"/>
        <v>0</v>
      </c>
      <c r="AK133" s="93">
        <f>IF(AH133&gt;0.00001,undergrid!$AM$4,IF(Costs!AI133&gt;0.0001,((undergrid!$AQ$7*W133+undergrid!$AQ$8*undergrid!$AQ$9)*undergrid!$AQ$6)/W133,IF(Costs!AJ133&gt;0.0001,Costs!L133,0)))</f>
        <v>0</v>
      </c>
      <c r="AL133" s="1">
        <v>132</v>
      </c>
      <c r="AM133" s="121">
        <f t="shared" si="34"/>
        <v>2.9415199999999997</v>
      </c>
      <c r="AN133" s="122">
        <f t="shared" si="45"/>
        <v>-2.9722222222222223E-5</v>
      </c>
      <c r="AO133" s="123">
        <f t="shared" si="46"/>
        <v>2.9414902777777776</v>
      </c>
      <c r="AR133" s="114">
        <f t="shared" si="47"/>
        <v>9.3879999999999999</v>
      </c>
      <c r="AS133" s="32">
        <f t="shared" si="48"/>
        <v>9.8855555555555554</v>
      </c>
      <c r="AT133" s="33">
        <f t="shared" si="35"/>
        <v>0.49755555555555553</v>
      </c>
    </row>
    <row r="134" spans="1:46" x14ac:dyDescent="0.3">
      <c r="A134" s="4" t="str">
        <f>undergrid!B134</f>
        <v>h133</v>
      </c>
      <c r="B134" s="73">
        <f>undergrid!C134*2</f>
        <v>4</v>
      </c>
      <c r="C134" s="74">
        <f>undergrid!$AQ$2*Costs!B134</f>
        <v>2</v>
      </c>
      <c r="D134" s="74">
        <f t="shared" si="36"/>
        <v>4</v>
      </c>
      <c r="E134" s="75">
        <f>D134*undergrid!$AQ$2</f>
        <v>2</v>
      </c>
      <c r="F134" s="73">
        <f>undergrid!E134</f>
        <v>0.76600000000000001</v>
      </c>
      <c r="G134" s="74">
        <f>F134*undergrid!$AQ$3</f>
        <v>0.10724000000000002</v>
      </c>
      <c r="H134" s="74">
        <f t="shared" si="37"/>
        <v>0.76600000000000001</v>
      </c>
      <c r="I134" s="75">
        <f>H134*undergrid!$AQ$3</f>
        <v>0.10724000000000002</v>
      </c>
      <c r="J134" s="73">
        <f>undergrid!G134</f>
        <v>0.13</v>
      </c>
      <c r="K134" s="75">
        <f t="shared" si="38"/>
        <v>0</v>
      </c>
      <c r="L134" s="73">
        <f>undergrid!I134</f>
        <v>0.15</v>
      </c>
      <c r="M134" s="75">
        <f t="shared" si="39"/>
        <v>0</v>
      </c>
      <c r="N134" s="81">
        <f>undergrid!K134</f>
        <v>1</v>
      </c>
      <c r="O134" s="82"/>
      <c r="P134" s="81">
        <f>undergrid!M134</f>
        <v>6.47</v>
      </c>
      <c r="Q134" s="82"/>
      <c r="R134" s="73">
        <f>undergrid!O134</f>
        <v>1.5216719999999997</v>
      </c>
      <c r="S134" s="74">
        <f>R134*undergrid!$AQ$5</f>
        <v>6.0866879999999985E-6</v>
      </c>
      <c r="T134" s="75">
        <f>R134*(1-Graphs!$AD$1)</f>
        <v>7.6083600000000057E-2</v>
      </c>
      <c r="U134" s="73">
        <f>undergrid!Q134</f>
        <v>6.47</v>
      </c>
      <c r="V134" s="75">
        <f>IF(U134&lt;0.001,0,P134*undergrid!$AQ$4)</f>
        <v>1.2939999999999998E-5</v>
      </c>
      <c r="W134" s="73">
        <f>undergrid!S134</f>
        <v>0</v>
      </c>
      <c r="X134" s="106">
        <f>IF(undergrid!AI134&gt;0,(undergrid!$AQ$7*W134+undergrid!$AQ$8*undergrid!$AQ$9)*undergrid!$AQ$6,0)+undergrid!AG134*undergrid!$AQ$10</f>
        <v>0</v>
      </c>
      <c r="Y134" s="73">
        <f>undergrid!U134</f>
        <v>0</v>
      </c>
      <c r="Z134" s="74">
        <f>Y134*undergrid!$AQ$5</f>
        <v>0</v>
      </c>
      <c r="AA134" s="75">
        <f>Y134*(1-Graphs!$AD$2)</f>
        <v>0</v>
      </c>
      <c r="AB134" s="73">
        <f>undergrid!W134</f>
        <v>0</v>
      </c>
      <c r="AC134" s="75">
        <f t="shared" si="40"/>
        <v>0</v>
      </c>
      <c r="AD134" s="73">
        <f>undergrid!Y134</f>
        <v>0</v>
      </c>
      <c r="AE134" s="75">
        <f t="shared" si="41"/>
        <v>0</v>
      </c>
      <c r="AF134" s="109">
        <f>undergrid!AA134</f>
        <v>0</v>
      </c>
      <c r="AG134" s="110">
        <f>undergrid!AE134</f>
        <v>0</v>
      </c>
      <c r="AH134" s="93">
        <f t="shared" si="42"/>
        <v>1.7039999999999997</v>
      </c>
      <c r="AI134" s="93">
        <f t="shared" si="43"/>
        <v>0</v>
      </c>
      <c r="AJ134" s="93">
        <f t="shared" si="44"/>
        <v>0</v>
      </c>
      <c r="AK134" s="93">
        <f>IF(AH134&gt;0.00001,undergrid!$AM$4,IF(Costs!AI134&gt;0.0001,((undergrid!$AQ$7*W134+undergrid!$AQ$8*undergrid!$AQ$9)*undergrid!$AQ$6)/W134,IF(Costs!AJ134&gt;0.0001,Costs!L134,0)))</f>
        <v>6.3317080478592676</v>
      </c>
      <c r="AL134" s="1">
        <v>133</v>
      </c>
      <c r="AM134" s="121">
        <f t="shared" si="34"/>
        <v>2.10724</v>
      </c>
      <c r="AN134" s="122">
        <f t="shared" si="45"/>
        <v>-1.9026687999999996E-5</v>
      </c>
      <c r="AO134" s="123">
        <f t="shared" si="46"/>
        <v>2.1072209733120002</v>
      </c>
      <c r="AR134" s="114">
        <f t="shared" si="47"/>
        <v>6.2876719999999997</v>
      </c>
      <c r="AS134" s="32">
        <f t="shared" si="48"/>
        <v>6.47</v>
      </c>
      <c r="AT134" s="33">
        <f t="shared" si="35"/>
        <v>0.18232800000000005</v>
      </c>
    </row>
    <row r="135" spans="1:46" x14ac:dyDescent="0.3">
      <c r="A135" s="4" t="str">
        <f>undergrid!B135</f>
        <v>h134</v>
      </c>
      <c r="B135" s="73">
        <f>undergrid!C135*2</f>
        <v>10.8</v>
      </c>
      <c r="C135" s="74">
        <f>undergrid!$AQ$2*Costs!B135</f>
        <v>5.4</v>
      </c>
      <c r="D135" s="74">
        <f t="shared" si="36"/>
        <v>10.8</v>
      </c>
      <c r="E135" s="75">
        <f>D135*undergrid!$AQ$2</f>
        <v>5.4</v>
      </c>
      <c r="F135" s="73">
        <f>undergrid!E135</f>
        <v>1.254</v>
      </c>
      <c r="G135" s="74">
        <f>F135*undergrid!$AQ$3</f>
        <v>0.17556000000000002</v>
      </c>
      <c r="H135" s="74">
        <f t="shared" si="37"/>
        <v>1.254</v>
      </c>
      <c r="I135" s="75">
        <f>H135*undergrid!$AQ$3</f>
        <v>0.17556000000000002</v>
      </c>
      <c r="J135" s="73">
        <f>undergrid!G135</f>
        <v>0.13</v>
      </c>
      <c r="K135" s="75">
        <f t="shared" si="38"/>
        <v>0</v>
      </c>
      <c r="L135" s="73">
        <f>undergrid!I135</f>
        <v>0.15</v>
      </c>
      <c r="M135" s="75">
        <f t="shared" si="39"/>
        <v>0</v>
      </c>
      <c r="N135" s="81">
        <f>undergrid!K135</f>
        <v>1</v>
      </c>
      <c r="O135" s="82"/>
      <c r="P135" s="81">
        <f>undergrid!M135</f>
        <v>10.87</v>
      </c>
      <c r="Q135" s="82"/>
      <c r="R135" s="73">
        <f>undergrid!O135</f>
        <v>0</v>
      </c>
      <c r="S135" s="74">
        <f>R135*undergrid!$AQ$5</f>
        <v>0</v>
      </c>
      <c r="T135" s="75">
        <f>R135*(1-Graphs!$AD$1)</f>
        <v>0</v>
      </c>
      <c r="U135" s="73">
        <f>undergrid!Q135</f>
        <v>10.87</v>
      </c>
      <c r="V135" s="75">
        <f>IF(U135&lt;0.001,0,P135*undergrid!$AQ$4)</f>
        <v>2.1739999999999999E-5</v>
      </c>
      <c r="W135" s="73">
        <f>undergrid!S135</f>
        <v>0</v>
      </c>
      <c r="X135" s="106">
        <f>IF(undergrid!AI135&gt;0,(undergrid!$AQ$7*W135+undergrid!$AQ$8*undergrid!$AQ$9)*undergrid!$AQ$6,0)+undergrid!AG135*undergrid!$AQ$10</f>
        <v>0</v>
      </c>
      <c r="Y135" s="73">
        <f>undergrid!U135</f>
        <v>1.3155555555555569</v>
      </c>
      <c r="Z135" s="74">
        <f>Y135*undergrid!$AQ$5</f>
        <v>5.2622222222222273E-6</v>
      </c>
      <c r="AA135" s="75">
        <f>Y135*(1-Graphs!$AD$2)</f>
        <v>0.13155555555555568</v>
      </c>
      <c r="AB135" s="73">
        <f>undergrid!W135</f>
        <v>0</v>
      </c>
      <c r="AC135" s="75">
        <f t="shared" si="40"/>
        <v>0</v>
      </c>
      <c r="AD135" s="73">
        <f>undergrid!Y135</f>
        <v>0</v>
      </c>
      <c r="AE135" s="75">
        <f t="shared" si="41"/>
        <v>0</v>
      </c>
      <c r="AF135" s="109">
        <f>undergrid!AA135</f>
        <v>0</v>
      </c>
      <c r="AG135" s="110">
        <f>undergrid!AE135</f>
        <v>0</v>
      </c>
      <c r="AH135" s="93">
        <f t="shared" si="42"/>
        <v>0</v>
      </c>
      <c r="AI135" s="93">
        <f t="shared" si="43"/>
        <v>0</v>
      </c>
      <c r="AJ135" s="93">
        <f t="shared" si="44"/>
        <v>0</v>
      </c>
      <c r="AK135" s="93">
        <f>IF(AH135&gt;0.00001,undergrid!$AM$4,IF(Costs!AI135&gt;0.0001,((undergrid!$AQ$7*W135+undergrid!$AQ$8*undergrid!$AQ$9)*undergrid!$AQ$6)/W135,IF(Costs!AJ135&gt;0.0001,Costs!L135,0)))</f>
        <v>0</v>
      </c>
      <c r="AL135" s="1">
        <v>134</v>
      </c>
      <c r="AM135" s="121">
        <f t="shared" si="34"/>
        <v>5.5755600000000003</v>
      </c>
      <c r="AN135" s="122">
        <f t="shared" si="45"/>
        <v>-2.7002222222222225E-5</v>
      </c>
      <c r="AO135" s="123">
        <f t="shared" si="46"/>
        <v>5.5755329977777777</v>
      </c>
      <c r="AR135" s="114">
        <f t="shared" si="47"/>
        <v>12.054</v>
      </c>
      <c r="AS135" s="32">
        <f t="shared" si="48"/>
        <v>12.185555555555556</v>
      </c>
      <c r="AT135" s="33">
        <f t="shared" si="35"/>
        <v>0.13155555555555587</v>
      </c>
    </row>
    <row r="136" spans="1:46" x14ac:dyDescent="0.3">
      <c r="A136" s="4" t="str">
        <f>undergrid!B136</f>
        <v>h135</v>
      </c>
      <c r="B136" s="73">
        <f>undergrid!C136*2</f>
        <v>8.84</v>
      </c>
      <c r="C136" s="74">
        <f>undergrid!$AQ$2*Costs!B136</f>
        <v>4.42</v>
      </c>
      <c r="D136" s="74">
        <f t="shared" si="36"/>
        <v>8.84</v>
      </c>
      <c r="E136" s="75">
        <f>D136*undergrid!$AQ$2</f>
        <v>4.42</v>
      </c>
      <c r="F136" s="73">
        <f>undergrid!E136</f>
        <v>5.5439999999999996</v>
      </c>
      <c r="G136" s="74">
        <f>F136*undergrid!$AQ$3</f>
        <v>0.77616000000000007</v>
      </c>
      <c r="H136" s="74">
        <f t="shared" si="37"/>
        <v>5.5439999999999996</v>
      </c>
      <c r="I136" s="75">
        <f>H136*undergrid!$AQ$3</f>
        <v>0.77616000000000007</v>
      </c>
      <c r="J136" s="73">
        <f>undergrid!G136</f>
        <v>0.13</v>
      </c>
      <c r="K136" s="75">
        <f t="shared" si="38"/>
        <v>0</v>
      </c>
      <c r="L136" s="73">
        <f>undergrid!I136</f>
        <v>0.15</v>
      </c>
      <c r="M136" s="75">
        <f t="shared" si="39"/>
        <v>0</v>
      </c>
      <c r="N136" s="81">
        <f>undergrid!K136</f>
        <v>1</v>
      </c>
      <c r="O136" s="82"/>
      <c r="P136" s="81">
        <f>undergrid!M136</f>
        <v>4.5199999999999996</v>
      </c>
      <c r="Q136" s="82"/>
      <c r="R136" s="73">
        <f>undergrid!O136</f>
        <v>0</v>
      </c>
      <c r="S136" s="74">
        <f>R136*undergrid!$AQ$5</f>
        <v>0</v>
      </c>
      <c r="T136" s="75">
        <f>R136*(1-Graphs!$AD$1)</f>
        <v>0</v>
      </c>
      <c r="U136" s="73">
        <f>undergrid!Q136</f>
        <v>4.5199999999999996</v>
      </c>
      <c r="V136" s="75">
        <f>IF(U136&lt;0.001,0,P136*undergrid!$AQ$4)</f>
        <v>9.0399999999999982E-6</v>
      </c>
      <c r="W136" s="73">
        <f>undergrid!S136</f>
        <v>0</v>
      </c>
      <c r="X136" s="106">
        <f>IF(undergrid!AI136&gt;0,(undergrid!$AQ$7*W136+undergrid!$AQ$8*undergrid!$AQ$9)*undergrid!$AQ$6,0)+undergrid!AG136*undergrid!$AQ$10</f>
        <v>0</v>
      </c>
      <c r="Y136" s="73">
        <f>undergrid!U136</f>
        <v>10.96</v>
      </c>
      <c r="Z136" s="74">
        <f>Y136*undergrid!$AQ$5</f>
        <v>4.384E-5</v>
      </c>
      <c r="AA136" s="75">
        <f>Y136*(1-Graphs!$AD$2)</f>
        <v>1.0959999999999999</v>
      </c>
      <c r="AB136" s="73">
        <f>undergrid!W136</f>
        <v>0</v>
      </c>
      <c r="AC136" s="75">
        <f t="shared" si="40"/>
        <v>0</v>
      </c>
      <c r="AD136" s="73">
        <f>undergrid!Y136</f>
        <v>0</v>
      </c>
      <c r="AE136" s="75">
        <f t="shared" si="41"/>
        <v>0</v>
      </c>
      <c r="AF136" s="109">
        <f>undergrid!AA136</f>
        <v>0</v>
      </c>
      <c r="AG136" s="110">
        <f>undergrid!AE136</f>
        <v>0</v>
      </c>
      <c r="AH136" s="93">
        <f t="shared" si="42"/>
        <v>0</v>
      </c>
      <c r="AI136" s="93">
        <f t="shared" si="43"/>
        <v>0</v>
      </c>
      <c r="AJ136" s="93">
        <f t="shared" si="44"/>
        <v>0</v>
      </c>
      <c r="AK136" s="93">
        <f>IF(AH136&gt;0.00001,undergrid!$AM$4,IF(Costs!AI136&gt;0.0001,((undergrid!$AQ$7*W136+undergrid!$AQ$8*undergrid!$AQ$9)*undergrid!$AQ$6)/W136,IF(Costs!AJ136&gt;0.0001,Costs!L136,0)))</f>
        <v>0</v>
      </c>
      <c r="AL136" s="1">
        <v>135</v>
      </c>
      <c r="AM136" s="121">
        <f t="shared" si="34"/>
        <v>5.1961599999999999</v>
      </c>
      <c r="AN136" s="122">
        <f t="shared" si="45"/>
        <v>-5.2879999999999995E-5</v>
      </c>
      <c r="AO136" s="123">
        <f t="shared" si="46"/>
        <v>5.1961071199999997</v>
      </c>
      <c r="AR136" s="114">
        <f t="shared" si="47"/>
        <v>14.384</v>
      </c>
      <c r="AS136" s="32">
        <f t="shared" si="48"/>
        <v>15.48</v>
      </c>
      <c r="AT136" s="33">
        <f t="shared" si="35"/>
        <v>1.0960000000000001</v>
      </c>
    </row>
    <row r="137" spans="1:46" x14ac:dyDescent="0.3">
      <c r="A137" s="4" t="str">
        <f>undergrid!B137</f>
        <v>h136</v>
      </c>
      <c r="B137" s="73">
        <f>undergrid!C137*2</f>
        <v>7.34</v>
      </c>
      <c r="C137" s="74">
        <f>undergrid!$AQ$2*Costs!B137</f>
        <v>3.67</v>
      </c>
      <c r="D137" s="74">
        <f t="shared" si="36"/>
        <v>7.34</v>
      </c>
      <c r="E137" s="75">
        <f>D137*undergrid!$AQ$2</f>
        <v>3.67</v>
      </c>
      <c r="F137" s="73">
        <f>undergrid!E137</f>
        <v>7.9320000000000004</v>
      </c>
      <c r="G137" s="74">
        <f>F137*undergrid!$AQ$3</f>
        <v>1.1104800000000001</v>
      </c>
      <c r="H137" s="74">
        <f t="shared" si="37"/>
        <v>7.9320000000000004</v>
      </c>
      <c r="I137" s="75">
        <f>H137*undergrid!$AQ$3</f>
        <v>1.1104800000000001</v>
      </c>
      <c r="J137" s="73">
        <f>undergrid!G137</f>
        <v>0.13</v>
      </c>
      <c r="K137" s="75">
        <f t="shared" si="38"/>
        <v>0</v>
      </c>
      <c r="L137" s="73">
        <f>undergrid!I137</f>
        <v>0.15</v>
      </c>
      <c r="M137" s="75">
        <f t="shared" si="39"/>
        <v>1.1523000000000001</v>
      </c>
      <c r="N137" s="81">
        <f>undergrid!K137</f>
        <v>2</v>
      </c>
      <c r="O137" s="82"/>
      <c r="P137" s="81">
        <f>undergrid!M137</f>
        <v>7.59</v>
      </c>
      <c r="Q137" s="82"/>
      <c r="R137" s="73">
        <f>undergrid!O137</f>
        <v>0</v>
      </c>
      <c r="S137" s="74">
        <f>R137*undergrid!$AQ$5</f>
        <v>0</v>
      </c>
      <c r="T137" s="75">
        <f>R137*(1-Graphs!$AD$1)</f>
        <v>0</v>
      </c>
      <c r="U137" s="73">
        <f>undergrid!Q137</f>
        <v>7.59</v>
      </c>
      <c r="V137" s="75">
        <f>IF(U137&lt;0.001,0,P137*undergrid!$AQ$4)</f>
        <v>1.5179999999999999E-5</v>
      </c>
      <c r="W137" s="73">
        <f>undergrid!S137</f>
        <v>0</v>
      </c>
      <c r="X137" s="106">
        <f>IF(undergrid!AI137&gt;0,(undergrid!$AQ$7*W137+undergrid!$AQ$8*undergrid!$AQ$9)*undergrid!$AQ$6,0)+undergrid!AG137*undergrid!$AQ$10</f>
        <v>0</v>
      </c>
      <c r="Y137" s="73">
        <f>undergrid!U137</f>
        <v>0</v>
      </c>
      <c r="Z137" s="74">
        <f>Y137*undergrid!$AQ$5</f>
        <v>0</v>
      </c>
      <c r="AA137" s="75">
        <f>Y137*(1-Graphs!$AD$2)</f>
        <v>0</v>
      </c>
      <c r="AB137" s="73">
        <f>undergrid!W137</f>
        <v>7.6820000000000004</v>
      </c>
      <c r="AC137" s="75">
        <f t="shared" si="40"/>
        <v>1.1523000000000001</v>
      </c>
      <c r="AD137" s="73">
        <f>undergrid!Y137</f>
        <v>0</v>
      </c>
      <c r="AE137" s="75">
        <f t="shared" si="41"/>
        <v>0</v>
      </c>
      <c r="AF137" s="109">
        <f>undergrid!AA137</f>
        <v>0</v>
      </c>
      <c r="AG137" s="110">
        <f>undergrid!AE137</f>
        <v>0</v>
      </c>
      <c r="AH137" s="93">
        <f t="shared" si="42"/>
        <v>0</v>
      </c>
      <c r="AI137" s="93">
        <f t="shared" si="43"/>
        <v>0</v>
      </c>
      <c r="AJ137" s="93">
        <f t="shared" si="44"/>
        <v>0</v>
      </c>
      <c r="AK137" s="93">
        <f>IF(AH137&gt;0.00001,undergrid!$AM$4,IF(Costs!AI137&gt;0.0001,((undergrid!$AQ$7*W137+undergrid!$AQ$8*undergrid!$AQ$9)*undergrid!$AQ$6)/W137,IF(Costs!AJ137&gt;0.0001,Costs!L137,0)))</f>
        <v>0</v>
      </c>
      <c r="AL137" s="1">
        <v>136</v>
      </c>
      <c r="AM137" s="121">
        <f t="shared" si="34"/>
        <v>4.7804799999999998</v>
      </c>
      <c r="AN137" s="122">
        <f t="shared" si="45"/>
        <v>-1.15231518</v>
      </c>
      <c r="AO137" s="123">
        <f t="shared" si="46"/>
        <v>3.6281648199999998</v>
      </c>
      <c r="AR137" s="114">
        <f t="shared" si="47"/>
        <v>15.272</v>
      </c>
      <c r="AS137" s="32">
        <f t="shared" si="48"/>
        <v>15.272</v>
      </c>
      <c r="AT137" s="33">
        <f t="shared" si="35"/>
        <v>0</v>
      </c>
    </row>
    <row r="138" spans="1:46" x14ac:dyDescent="0.3">
      <c r="A138" s="4" t="str">
        <f>undergrid!B138</f>
        <v>h137</v>
      </c>
      <c r="B138" s="73">
        <f>undergrid!C138*2</f>
        <v>5.58</v>
      </c>
      <c r="C138" s="74">
        <f>undergrid!$AQ$2*Costs!B138</f>
        <v>2.79</v>
      </c>
      <c r="D138" s="74">
        <f t="shared" si="36"/>
        <v>5.58</v>
      </c>
      <c r="E138" s="75">
        <f>D138*undergrid!$AQ$2</f>
        <v>2.79</v>
      </c>
      <c r="F138" s="73">
        <f>undergrid!E138</f>
        <v>6.032</v>
      </c>
      <c r="G138" s="74">
        <f>F138*undergrid!$AQ$3</f>
        <v>0.84448000000000012</v>
      </c>
      <c r="H138" s="74">
        <f t="shared" si="37"/>
        <v>6.032</v>
      </c>
      <c r="I138" s="75">
        <f>H138*undergrid!$AQ$3</f>
        <v>0.84448000000000012</v>
      </c>
      <c r="J138" s="73">
        <f>undergrid!G138</f>
        <v>0.13</v>
      </c>
      <c r="K138" s="75">
        <f t="shared" si="38"/>
        <v>0</v>
      </c>
      <c r="L138" s="73">
        <f>undergrid!I138</f>
        <v>0.15</v>
      </c>
      <c r="M138" s="75">
        <f t="shared" si="39"/>
        <v>1.741799999907</v>
      </c>
      <c r="N138" s="81">
        <f>undergrid!K138</f>
        <v>2</v>
      </c>
      <c r="O138" s="82"/>
      <c r="P138" s="81">
        <f>undergrid!M138</f>
        <v>6.2000000000000003E-10</v>
      </c>
      <c r="Q138" s="82"/>
      <c r="R138" s="73">
        <f>undergrid!O138</f>
        <v>0</v>
      </c>
      <c r="S138" s="74">
        <f>R138*undergrid!$AQ$5</f>
        <v>0</v>
      </c>
      <c r="T138" s="75">
        <f>R138*(1-Graphs!$AD$1)</f>
        <v>0</v>
      </c>
      <c r="U138" s="73">
        <f>undergrid!Q138</f>
        <v>0</v>
      </c>
      <c r="V138" s="75">
        <f>IF(U138&lt;0.001,0,P138*undergrid!$AQ$4)</f>
        <v>0</v>
      </c>
      <c r="W138" s="73">
        <f>undergrid!S138</f>
        <v>0</v>
      </c>
      <c r="X138" s="106">
        <f>IF(undergrid!AI138&gt;0,(undergrid!$AQ$7*W138+undergrid!$AQ$8*undergrid!$AQ$9)*undergrid!$AQ$6,0)+undergrid!AG138*undergrid!$AQ$10</f>
        <v>0</v>
      </c>
      <c r="Y138" s="73">
        <f>undergrid!U138</f>
        <v>0</v>
      </c>
      <c r="Z138" s="74">
        <f>Y138*undergrid!$AQ$5</f>
        <v>0</v>
      </c>
      <c r="AA138" s="75">
        <f>Y138*(1-Graphs!$AD$2)</f>
        <v>0</v>
      </c>
      <c r="AB138" s="73">
        <f>undergrid!W138</f>
        <v>11.61199999938</v>
      </c>
      <c r="AC138" s="75">
        <f t="shared" si="40"/>
        <v>1.741799999907</v>
      </c>
      <c r="AD138" s="73">
        <f>undergrid!Y138</f>
        <v>0</v>
      </c>
      <c r="AE138" s="75">
        <f t="shared" si="41"/>
        <v>0</v>
      </c>
      <c r="AF138" s="109">
        <f>undergrid!AA138</f>
        <v>0</v>
      </c>
      <c r="AG138" s="110">
        <f>undergrid!AE138</f>
        <v>0</v>
      </c>
      <c r="AH138" s="93">
        <f t="shared" si="42"/>
        <v>0</v>
      </c>
      <c r="AI138" s="93">
        <f t="shared" si="43"/>
        <v>0</v>
      </c>
      <c r="AJ138" s="93">
        <f t="shared" si="44"/>
        <v>0</v>
      </c>
      <c r="AK138" s="93">
        <f>IF(AH138&gt;0.00001,undergrid!$AM$4,IF(Costs!AI138&gt;0.0001,((undergrid!$AQ$7*W138+undergrid!$AQ$8*undergrid!$AQ$9)*undergrid!$AQ$6)/W138,IF(Costs!AJ138&gt;0.0001,Costs!L138,0)))</f>
        <v>0</v>
      </c>
      <c r="AL138" s="1">
        <v>137</v>
      </c>
      <c r="AM138" s="121">
        <f t="shared" si="34"/>
        <v>3.6344799999999999</v>
      </c>
      <c r="AN138" s="122">
        <f t="shared" si="45"/>
        <v>-1.741799999907</v>
      </c>
      <c r="AO138" s="123">
        <f t="shared" si="46"/>
        <v>1.892680000093</v>
      </c>
      <c r="AR138" s="114">
        <f t="shared" si="47"/>
        <v>11.612</v>
      </c>
      <c r="AS138" s="32">
        <f t="shared" si="48"/>
        <v>11.61199999938</v>
      </c>
      <c r="AT138" s="33">
        <f t="shared" si="35"/>
        <v>-6.2000005129903002E-10</v>
      </c>
    </row>
    <row r="139" spans="1:46" x14ac:dyDescent="0.3">
      <c r="A139" s="4" t="str">
        <f>undergrid!B139</f>
        <v>h138</v>
      </c>
      <c r="B139" s="73">
        <f>undergrid!C139*2</f>
        <v>7.34</v>
      </c>
      <c r="C139" s="74">
        <f>undergrid!$AQ$2*Costs!B139</f>
        <v>3.67</v>
      </c>
      <c r="D139" s="74">
        <f t="shared" si="36"/>
        <v>7.34</v>
      </c>
      <c r="E139" s="75">
        <f>D139*undergrid!$AQ$2</f>
        <v>3.67</v>
      </c>
      <c r="F139" s="73">
        <f>undergrid!E139</f>
        <v>6.7069999999999999</v>
      </c>
      <c r="G139" s="74">
        <f>F139*undergrid!$AQ$3</f>
        <v>0.93898000000000004</v>
      </c>
      <c r="H139" s="74">
        <f t="shared" si="37"/>
        <v>6.7069999999999999</v>
      </c>
      <c r="I139" s="75">
        <f>H139*undergrid!$AQ$3</f>
        <v>0.93898000000000004</v>
      </c>
      <c r="J139" s="73">
        <f>undergrid!G139</f>
        <v>0.13</v>
      </c>
      <c r="K139" s="75">
        <f t="shared" si="38"/>
        <v>0</v>
      </c>
      <c r="L139" s="73">
        <f>undergrid!I139</f>
        <v>0.15</v>
      </c>
      <c r="M139" s="75">
        <f t="shared" si="39"/>
        <v>2.1070499998860002</v>
      </c>
      <c r="N139" s="81">
        <f>undergrid!K139</f>
        <v>2</v>
      </c>
      <c r="O139" s="82"/>
      <c r="P139" s="81">
        <f>undergrid!M139</f>
        <v>7.5999999999999996E-10</v>
      </c>
      <c r="Q139" s="82"/>
      <c r="R139" s="73">
        <f>undergrid!O139</f>
        <v>0</v>
      </c>
      <c r="S139" s="74">
        <f>R139*undergrid!$AQ$5</f>
        <v>0</v>
      </c>
      <c r="T139" s="75">
        <f>R139*(1-Graphs!$AD$1)</f>
        <v>0</v>
      </c>
      <c r="U139" s="73">
        <f>undergrid!Q139</f>
        <v>0</v>
      </c>
      <c r="V139" s="75">
        <f>IF(U139&lt;0.001,0,P139*undergrid!$AQ$4)</f>
        <v>0</v>
      </c>
      <c r="W139" s="73">
        <f>undergrid!S139</f>
        <v>0</v>
      </c>
      <c r="X139" s="106">
        <f>IF(undergrid!AI139&gt;0,(undergrid!$AQ$7*W139+undergrid!$AQ$8*undergrid!$AQ$9)*undergrid!$AQ$6,0)+undergrid!AG139*undergrid!$AQ$10</f>
        <v>0</v>
      </c>
      <c r="Y139" s="73">
        <f>undergrid!U139</f>
        <v>0</v>
      </c>
      <c r="Z139" s="74">
        <f>Y139*undergrid!$AQ$5</f>
        <v>0</v>
      </c>
      <c r="AA139" s="75">
        <f>Y139*(1-Graphs!$AD$2)</f>
        <v>0</v>
      </c>
      <c r="AB139" s="73">
        <f>undergrid!W139</f>
        <v>14.046999999240001</v>
      </c>
      <c r="AC139" s="75">
        <f t="shared" si="40"/>
        <v>2.1070499998860002</v>
      </c>
      <c r="AD139" s="73">
        <f>undergrid!Y139</f>
        <v>0</v>
      </c>
      <c r="AE139" s="75">
        <f t="shared" si="41"/>
        <v>0</v>
      </c>
      <c r="AF139" s="109">
        <f>undergrid!AA139</f>
        <v>0</v>
      </c>
      <c r="AG139" s="110">
        <f>undergrid!AE139</f>
        <v>0</v>
      </c>
      <c r="AH139" s="93">
        <f t="shared" si="42"/>
        <v>0</v>
      </c>
      <c r="AI139" s="93">
        <f t="shared" si="43"/>
        <v>0</v>
      </c>
      <c r="AJ139" s="93">
        <f t="shared" si="44"/>
        <v>0</v>
      </c>
      <c r="AK139" s="93">
        <f>IF(AH139&gt;0.00001,undergrid!$AM$4,IF(Costs!AI139&gt;0.0001,((undergrid!$AQ$7*W139+undergrid!$AQ$8*undergrid!$AQ$9)*undergrid!$AQ$6)/W139,IF(Costs!AJ139&gt;0.0001,Costs!L139,0)))</f>
        <v>0</v>
      </c>
      <c r="AL139" s="1">
        <v>138</v>
      </c>
      <c r="AM139" s="121">
        <f t="shared" si="34"/>
        <v>4.6089799999999999</v>
      </c>
      <c r="AN139" s="122">
        <f t="shared" si="45"/>
        <v>-2.1070499998860002</v>
      </c>
      <c r="AO139" s="123">
        <f t="shared" si="46"/>
        <v>2.5019300001139997</v>
      </c>
      <c r="AR139" s="114">
        <f t="shared" si="47"/>
        <v>14.047000000000001</v>
      </c>
      <c r="AS139" s="32">
        <f t="shared" si="48"/>
        <v>14.046999999240001</v>
      </c>
      <c r="AT139" s="33">
        <f t="shared" si="35"/>
        <v>-7.6000006288268196E-10</v>
      </c>
    </row>
    <row r="140" spans="1:46" x14ac:dyDescent="0.3">
      <c r="A140" s="4" t="str">
        <f>undergrid!B140</f>
        <v>h139</v>
      </c>
      <c r="B140" s="73">
        <f>undergrid!C140*2</f>
        <v>6.56</v>
      </c>
      <c r="C140" s="74">
        <f>undergrid!$AQ$2*Costs!B140</f>
        <v>3.28</v>
      </c>
      <c r="D140" s="74">
        <f t="shared" si="36"/>
        <v>6.56</v>
      </c>
      <c r="E140" s="75">
        <f>D140*undergrid!$AQ$2</f>
        <v>3.28</v>
      </c>
      <c r="F140" s="73">
        <f>undergrid!E140</f>
        <v>2.6760000000000002</v>
      </c>
      <c r="G140" s="74">
        <f>F140*undergrid!$AQ$3</f>
        <v>0.37464000000000008</v>
      </c>
      <c r="H140" s="74">
        <f t="shared" si="37"/>
        <v>2.6760000000000002</v>
      </c>
      <c r="I140" s="75">
        <f>H140*undergrid!$AQ$3</f>
        <v>0.37464000000000008</v>
      </c>
      <c r="J140" s="73">
        <f>undergrid!G140</f>
        <v>0.13</v>
      </c>
      <c r="K140" s="75">
        <f t="shared" si="38"/>
        <v>0</v>
      </c>
      <c r="L140" s="73">
        <f>undergrid!I140</f>
        <v>0.15</v>
      </c>
      <c r="M140" s="75">
        <f t="shared" si="39"/>
        <v>1.3853999999040001</v>
      </c>
      <c r="N140" s="81">
        <f>undergrid!K140</f>
        <v>2</v>
      </c>
      <c r="O140" s="82"/>
      <c r="P140" s="81">
        <f>undergrid!M140</f>
        <v>6.3999999999999996E-10</v>
      </c>
      <c r="Q140" s="82"/>
      <c r="R140" s="73">
        <f>undergrid!O140</f>
        <v>0</v>
      </c>
      <c r="S140" s="74">
        <f>R140*undergrid!$AQ$5</f>
        <v>0</v>
      </c>
      <c r="T140" s="75">
        <f>R140*(1-Graphs!$AD$1)</f>
        <v>0</v>
      </c>
      <c r="U140" s="73">
        <f>undergrid!Q140</f>
        <v>0</v>
      </c>
      <c r="V140" s="75">
        <f>IF(U140&lt;0.001,0,P140*undergrid!$AQ$4)</f>
        <v>0</v>
      </c>
      <c r="W140" s="73">
        <f>undergrid!S140</f>
        <v>0</v>
      </c>
      <c r="X140" s="106">
        <f>IF(undergrid!AI140&gt;0,(undergrid!$AQ$7*W140+undergrid!$AQ$8*undergrid!$AQ$9)*undergrid!$AQ$6,0)+undergrid!AG140*undergrid!$AQ$10</f>
        <v>0</v>
      </c>
      <c r="Y140" s="73">
        <f>undergrid!U140</f>
        <v>0</v>
      </c>
      <c r="Z140" s="74">
        <f>Y140*undergrid!$AQ$5</f>
        <v>0</v>
      </c>
      <c r="AA140" s="75">
        <f>Y140*(1-Graphs!$AD$2)</f>
        <v>0</v>
      </c>
      <c r="AB140" s="73">
        <f>undergrid!W140</f>
        <v>9.2359999993600006</v>
      </c>
      <c r="AC140" s="75">
        <f t="shared" si="40"/>
        <v>1.3853999999040001</v>
      </c>
      <c r="AD140" s="73">
        <f>undergrid!Y140</f>
        <v>0</v>
      </c>
      <c r="AE140" s="75">
        <f t="shared" si="41"/>
        <v>0</v>
      </c>
      <c r="AF140" s="109">
        <f>undergrid!AA140</f>
        <v>0</v>
      </c>
      <c r="AG140" s="110">
        <f>undergrid!AE140</f>
        <v>0</v>
      </c>
      <c r="AH140" s="93">
        <f t="shared" si="42"/>
        <v>0</v>
      </c>
      <c r="AI140" s="93">
        <f t="shared" si="43"/>
        <v>0</v>
      </c>
      <c r="AJ140" s="93">
        <f t="shared" si="44"/>
        <v>0</v>
      </c>
      <c r="AK140" s="93">
        <f>IF(AH140&gt;0.00001,undergrid!$AM$4,IF(Costs!AI140&gt;0.0001,((undergrid!$AQ$7*W140+undergrid!$AQ$8*undergrid!$AQ$9)*undergrid!$AQ$6)/W140,IF(Costs!AJ140&gt;0.0001,Costs!L140,0)))</f>
        <v>0</v>
      </c>
      <c r="AL140" s="1">
        <v>139</v>
      </c>
      <c r="AM140" s="121">
        <f t="shared" si="34"/>
        <v>3.6546399999999997</v>
      </c>
      <c r="AN140" s="122">
        <f t="shared" si="45"/>
        <v>-1.3853999999040001</v>
      </c>
      <c r="AO140" s="123">
        <f t="shared" si="46"/>
        <v>2.2692400000959996</v>
      </c>
      <c r="AR140" s="114">
        <f t="shared" si="47"/>
        <v>9.2360000000000007</v>
      </c>
      <c r="AS140" s="32">
        <f t="shared" si="48"/>
        <v>9.2359999993600006</v>
      </c>
      <c r="AT140" s="33">
        <f t="shared" si="35"/>
        <v>-6.4000005295383744E-10</v>
      </c>
    </row>
    <row r="141" spans="1:46" x14ac:dyDescent="0.3">
      <c r="A141" s="4" t="str">
        <f>undergrid!B141</f>
        <v>h140</v>
      </c>
      <c r="B141" s="73">
        <f>undergrid!C141*2</f>
        <v>4.46</v>
      </c>
      <c r="C141" s="74">
        <f>undergrid!$AQ$2*Costs!B141</f>
        <v>2.23</v>
      </c>
      <c r="D141" s="74">
        <f t="shared" si="36"/>
        <v>4.46</v>
      </c>
      <c r="E141" s="75">
        <f>D141*undergrid!$AQ$2</f>
        <v>2.23</v>
      </c>
      <c r="F141" s="73">
        <f>undergrid!E141</f>
        <v>2.9580000000000002</v>
      </c>
      <c r="G141" s="74">
        <f>F141*undergrid!$AQ$3</f>
        <v>0.41412000000000004</v>
      </c>
      <c r="H141" s="74">
        <f t="shared" si="37"/>
        <v>2.9580000000000002</v>
      </c>
      <c r="I141" s="75">
        <f>H141*undergrid!$AQ$3</f>
        <v>0.41412000000000004</v>
      </c>
      <c r="J141" s="73">
        <f>undergrid!G141</f>
        <v>0.13</v>
      </c>
      <c r="K141" s="75">
        <f t="shared" si="38"/>
        <v>0</v>
      </c>
      <c r="L141" s="73">
        <f>undergrid!I141</f>
        <v>0.15</v>
      </c>
      <c r="M141" s="75">
        <f t="shared" si="39"/>
        <v>1.1126999999039999</v>
      </c>
      <c r="N141" s="81">
        <f>undergrid!K141</f>
        <v>2</v>
      </c>
      <c r="O141" s="82"/>
      <c r="P141" s="81">
        <f>undergrid!M141</f>
        <v>6.3999999999999996E-10</v>
      </c>
      <c r="Q141" s="82"/>
      <c r="R141" s="73">
        <f>undergrid!O141</f>
        <v>0</v>
      </c>
      <c r="S141" s="74">
        <f>R141*undergrid!$AQ$5</f>
        <v>0</v>
      </c>
      <c r="T141" s="75">
        <f>R141*(1-Graphs!$AD$1)</f>
        <v>0</v>
      </c>
      <c r="U141" s="73">
        <f>undergrid!Q141</f>
        <v>0</v>
      </c>
      <c r="V141" s="75">
        <f>IF(U141&lt;0.001,0,P141*undergrid!$AQ$4)</f>
        <v>0</v>
      </c>
      <c r="W141" s="73">
        <f>undergrid!S141</f>
        <v>0</v>
      </c>
      <c r="X141" s="106">
        <f>IF(undergrid!AI141&gt;0,(undergrid!$AQ$7*W141+undergrid!$AQ$8*undergrid!$AQ$9)*undergrid!$AQ$6,0)+undergrid!AG141*undergrid!$AQ$10</f>
        <v>0</v>
      </c>
      <c r="Y141" s="73">
        <f>undergrid!U141</f>
        <v>0</v>
      </c>
      <c r="Z141" s="74">
        <f>Y141*undergrid!$AQ$5</f>
        <v>0</v>
      </c>
      <c r="AA141" s="75">
        <f>Y141*(1-Graphs!$AD$2)</f>
        <v>0</v>
      </c>
      <c r="AB141" s="73">
        <f>undergrid!W141</f>
        <v>7.4179999993600001</v>
      </c>
      <c r="AC141" s="75">
        <f t="shared" si="40"/>
        <v>1.1126999999039999</v>
      </c>
      <c r="AD141" s="73">
        <f>undergrid!Y141</f>
        <v>0</v>
      </c>
      <c r="AE141" s="75">
        <f t="shared" si="41"/>
        <v>0</v>
      </c>
      <c r="AF141" s="109">
        <f>undergrid!AA141</f>
        <v>0</v>
      </c>
      <c r="AG141" s="110">
        <f>undergrid!AE141</f>
        <v>0</v>
      </c>
      <c r="AH141" s="93">
        <f t="shared" si="42"/>
        <v>0</v>
      </c>
      <c r="AI141" s="93">
        <f t="shared" si="43"/>
        <v>0</v>
      </c>
      <c r="AJ141" s="93">
        <f t="shared" si="44"/>
        <v>0</v>
      </c>
      <c r="AK141" s="93">
        <f>IF(AH141&gt;0.00001,undergrid!$AM$4,IF(Costs!AI141&gt;0.0001,((undergrid!$AQ$7*W141+undergrid!$AQ$8*undergrid!$AQ$9)*undergrid!$AQ$6)/W141,IF(Costs!AJ141&gt;0.0001,Costs!L141,0)))</f>
        <v>0</v>
      </c>
      <c r="AL141" s="1">
        <v>140</v>
      </c>
      <c r="AM141" s="121">
        <f t="shared" si="34"/>
        <v>2.64412</v>
      </c>
      <c r="AN141" s="122">
        <f t="shared" si="45"/>
        <v>-1.1126999999039999</v>
      </c>
      <c r="AO141" s="123">
        <f t="shared" si="46"/>
        <v>1.5314200000960001</v>
      </c>
      <c r="AR141" s="114">
        <f t="shared" si="47"/>
        <v>7.4180000000000001</v>
      </c>
      <c r="AS141" s="32">
        <f t="shared" si="48"/>
        <v>7.4179999993600001</v>
      </c>
      <c r="AT141" s="33">
        <f t="shared" si="35"/>
        <v>-6.4000005295383744E-10</v>
      </c>
    </row>
    <row r="142" spans="1:46" x14ac:dyDescent="0.3">
      <c r="A142" s="4" t="str">
        <f>undergrid!B142</f>
        <v>h141</v>
      </c>
      <c r="B142" s="73">
        <f>undergrid!C142*2</f>
        <v>13.66</v>
      </c>
      <c r="C142" s="74">
        <f>undergrid!$AQ$2*Costs!B142</f>
        <v>6.83</v>
      </c>
      <c r="D142" s="74">
        <f t="shared" si="36"/>
        <v>13.66</v>
      </c>
      <c r="E142" s="75">
        <f>D142*undergrid!$AQ$2</f>
        <v>6.83</v>
      </c>
      <c r="F142" s="73">
        <f>undergrid!E142</f>
        <v>2.4830000000000001</v>
      </c>
      <c r="G142" s="74">
        <f>F142*undergrid!$AQ$3</f>
        <v>0.34762000000000004</v>
      </c>
      <c r="H142" s="74">
        <f t="shared" si="37"/>
        <v>2.4830000000000001</v>
      </c>
      <c r="I142" s="75">
        <f>H142*undergrid!$AQ$3</f>
        <v>0.34762000000000004</v>
      </c>
      <c r="J142" s="73">
        <f>undergrid!G142</f>
        <v>0.13</v>
      </c>
      <c r="K142" s="75">
        <f t="shared" si="38"/>
        <v>0</v>
      </c>
      <c r="L142" s="73">
        <f>undergrid!I142</f>
        <v>0.15</v>
      </c>
      <c r="M142" s="75">
        <f t="shared" si="39"/>
        <v>0</v>
      </c>
      <c r="N142" s="81">
        <f>undergrid!K142</f>
        <v>1</v>
      </c>
      <c r="O142" s="82"/>
      <c r="P142" s="81">
        <f>undergrid!M142</f>
        <v>6.3999999999999996E-10</v>
      </c>
      <c r="Q142" s="82"/>
      <c r="R142" s="73">
        <f>undergrid!O142</f>
        <v>0</v>
      </c>
      <c r="S142" s="74">
        <f>R142*undergrid!$AQ$5</f>
        <v>0</v>
      </c>
      <c r="T142" s="75">
        <f>R142*(1-Graphs!$AD$1)</f>
        <v>0</v>
      </c>
      <c r="U142" s="73">
        <f>undergrid!Q142</f>
        <v>0</v>
      </c>
      <c r="V142" s="75">
        <f>IF(U142&lt;0.001,0,P142*undergrid!$AQ$4)</f>
        <v>0</v>
      </c>
      <c r="W142" s="73">
        <f>undergrid!S142</f>
        <v>0</v>
      </c>
      <c r="X142" s="106">
        <f>IF(undergrid!AI142&gt;0,(undergrid!$AQ$7*W142+undergrid!$AQ$8*undergrid!$AQ$9)*undergrid!$AQ$6,0)+undergrid!AG142*undergrid!$AQ$10</f>
        <v>0</v>
      </c>
      <c r="Y142" s="73">
        <f>undergrid!U142</f>
        <v>17.936666665955556</v>
      </c>
      <c r="Z142" s="74">
        <f>Y142*undergrid!$AQ$5</f>
        <v>7.1746666663822224E-5</v>
      </c>
      <c r="AA142" s="75">
        <f>Y142*(1-Graphs!$AD$2)</f>
        <v>1.7936666665955552</v>
      </c>
      <c r="AB142" s="73">
        <f>undergrid!W142</f>
        <v>0</v>
      </c>
      <c r="AC142" s="75">
        <f t="shared" si="40"/>
        <v>0</v>
      </c>
      <c r="AD142" s="73">
        <f>undergrid!Y142</f>
        <v>0</v>
      </c>
      <c r="AE142" s="75">
        <f t="shared" si="41"/>
        <v>0</v>
      </c>
      <c r="AF142" s="109">
        <f>undergrid!AA142</f>
        <v>0</v>
      </c>
      <c r="AG142" s="110">
        <f>undergrid!AE142</f>
        <v>0</v>
      </c>
      <c r="AH142" s="93">
        <f t="shared" si="42"/>
        <v>0</v>
      </c>
      <c r="AI142" s="93">
        <f t="shared" si="43"/>
        <v>0</v>
      </c>
      <c r="AJ142" s="93">
        <f t="shared" si="44"/>
        <v>0</v>
      </c>
      <c r="AK142" s="93">
        <f>IF(AH142&gt;0.00001,undergrid!$AM$4,IF(Costs!AI142&gt;0.0001,((undergrid!$AQ$7*W142+undergrid!$AQ$8*undergrid!$AQ$9)*undergrid!$AQ$6)/W142,IF(Costs!AJ142&gt;0.0001,Costs!L142,0)))</f>
        <v>0</v>
      </c>
      <c r="AL142" s="1">
        <v>141</v>
      </c>
      <c r="AM142" s="121">
        <f t="shared" si="34"/>
        <v>7.1776200000000001</v>
      </c>
      <c r="AN142" s="122">
        <f t="shared" si="45"/>
        <v>-7.1746666663822224E-5</v>
      </c>
      <c r="AO142" s="123">
        <f t="shared" si="46"/>
        <v>7.1775482533333363</v>
      </c>
      <c r="AR142" s="114">
        <f t="shared" si="47"/>
        <v>16.143000000000001</v>
      </c>
      <c r="AS142" s="32">
        <f t="shared" si="48"/>
        <v>17.936666665955556</v>
      </c>
      <c r="AT142" s="33">
        <f t="shared" si="35"/>
        <v>1.7936666659555556</v>
      </c>
    </row>
    <row r="143" spans="1:46" x14ac:dyDescent="0.3">
      <c r="A143" s="4" t="str">
        <f>undergrid!B143</f>
        <v>h142</v>
      </c>
      <c r="B143" s="73">
        <f>undergrid!C143*2</f>
        <v>13.22</v>
      </c>
      <c r="C143" s="74">
        <f>undergrid!$AQ$2*Costs!B143</f>
        <v>6.61</v>
      </c>
      <c r="D143" s="74">
        <f t="shared" si="36"/>
        <v>13.22</v>
      </c>
      <c r="E143" s="75">
        <f>D143*undergrid!$AQ$2</f>
        <v>6.61</v>
      </c>
      <c r="F143" s="73">
        <f>undergrid!E143</f>
        <v>1.5369999999999999</v>
      </c>
      <c r="G143" s="74">
        <f>F143*undergrid!$AQ$3</f>
        <v>0.21518000000000001</v>
      </c>
      <c r="H143" s="74">
        <f t="shared" si="37"/>
        <v>1.5369999999999999</v>
      </c>
      <c r="I143" s="75">
        <f>H143*undergrid!$AQ$3</f>
        <v>0.21518000000000001</v>
      </c>
      <c r="J143" s="73">
        <f>undergrid!G143</f>
        <v>0.13</v>
      </c>
      <c r="K143" s="75">
        <f t="shared" si="38"/>
        <v>0</v>
      </c>
      <c r="L143" s="73">
        <f>undergrid!I143</f>
        <v>0.15</v>
      </c>
      <c r="M143" s="75">
        <f t="shared" si="39"/>
        <v>0</v>
      </c>
      <c r="N143" s="81">
        <f>undergrid!K143</f>
        <v>1</v>
      </c>
      <c r="O143" s="82"/>
      <c r="P143" s="81">
        <f>undergrid!M143</f>
        <v>6.3999999999999996E-10</v>
      </c>
      <c r="Q143" s="82"/>
      <c r="R143" s="73">
        <f>undergrid!O143</f>
        <v>0</v>
      </c>
      <c r="S143" s="74">
        <f>R143*undergrid!$AQ$5</f>
        <v>0</v>
      </c>
      <c r="T143" s="75">
        <f>R143*(1-Graphs!$AD$1)</f>
        <v>0</v>
      </c>
      <c r="U143" s="73">
        <f>undergrid!Q143</f>
        <v>0</v>
      </c>
      <c r="V143" s="75">
        <f>IF(U143&lt;0.001,0,P143*undergrid!$AQ$4)</f>
        <v>0</v>
      </c>
      <c r="W143" s="73">
        <f>undergrid!S143</f>
        <v>0</v>
      </c>
      <c r="X143" s="106">
        <f>IF(undergrid!AI143&gt;0,(undergrid!$AQ$7*W143+undergrid!$AQ$8*undergrid!$AQ$9)*undergrid!$AQ$6,0)+undergrid!AG143*undergrid!$AQ$10</f>
        <v>0</v>
      </c>
      <c r="Y143" s="73">
        <f>undergrid!U143</f>
        <v>16.396666665955557</v>
      </c>
      <c r="Z143" s="74">
        <f>Y143*undergrid!$AQ$5</f>
        <v>6.5586666663822228E-5</v>
      </c>
      <c r="AA143" s="75">
        <f>Y143*(1-Graphs!$AD$2)</f>
        <v>1.6396666665955553</v>
      </c>
      <c r="AB143" s="73">
        <f>undergrid!W143</f>
        <v>0</v>
      </c>
      <c r="AC143" s="75">
        <f t="shared" si="40"/>
        <v>0</v>
      </c>
      <c r="AD143" s="73">
        <f>undergrid!Y143</f>
        <v>0</v>
      </c>
      <c r="AE143" s="75">
        <f t="shared" si="41"/>
        <v>0</v>
      </c>
      <c r="AF143" s="109">
        <f>undergrid!AA143</f>
        <v>0</v>
      </c>
      <c r="AG143" s="110">
        <f>undergrid!AE143</f>
        <v>0</v>
      </c>
      <c r="AH143" s="93">
        <f t="shared" si="42"/>
        <v>0</v>
      </c>
      <c r="AI143" s="93">
        <f t="shared" si="43"/>
        <v>0</v>
      </c>
      <c r="AJ143" s="93">
        <f t="shared" si="44"/>
        <v>0</v>
      </c>
      <c r="AK143" s="93">
        <f>IF(AH143&gt;0.00001,undergrid!$AM$4,IF(Costs!AI143&gt;0.0001,((undergrid!$AQ$7*W143+undergrid!$AQ$8*undergrid!$AQ$9)*undergrid!$AQ$6)/W143,IF(Costs!AJ143&gt;0.0001,Costs!L143,0)))</f>
        <v>0</v>
      </c>
      <c r="AL143" s="1">
        <v>142</v>
      </c>
      <c r="AM143" s="121">
        <f t="shared" si="34"/>
        <v>6.8251800000000005</v>
      </c>
      <c r="AN143" s="122">
        <f t="shared" si="45"/>
        <v>-6.5586666663822228E-5</v>
      </c>
      <c r="AO143" s="123">
        <f t="shared" si="46"/>
        <v>6.8251144133333366</v>
      </c>
      <c r="AR143" s="114">
        <f t="shared" si="47"/>
        <v>14.757000000000001</v>
      </c>
      <c r="AS143" s="32">
        <f t="shared" si="48"/>
        <v>16.396666665955557</v>
      </c>
      <c r="AT143" s="33">
        <f t="shared" si="35"/>
        <v>1.6396666659555557</v>
      </c>
    </row>
    <row r="144" spans="1:46" x14ac:dyDescent="0.3">
      <c r="A144" s="4" t="str">
        <f>undergrid!B144</f>
        <v>h143</v>
      </c>
      <c r="B144" s="73">
        <f>undergrid!C144*2</f>
        <v>7.42</v>
      </c>
      <c r="C144" s="74">
        <f>undergrid!$AQ$2*Costs!B144</f>
        <v>3.71</v>
      </c>
      <c r="D144" s="74">
        <f t="shared" si="36"/>
        <v>7.42</v>
      </c>
      <c r="E144" s="75">
        <f>D144*undergrid!$AQ$2</f>
        <v>3.71</v>
      </c>
      <c r="F144" s="73">
        <f>undergrid!E144</f>
        <v>2.2959999999999998</v>
      </c>
      <c r="G144" s="74">
        <f>F144*undergrid!$AQ$3</f>
        <v>0.32144</v>
      </c>
      <c r="H144" s="74">
        <f t="shared" si="37"/>
        <v>2.2959999999999998</v>
      </c>
      <c r="I144" s="75">
        <f>H144*undergrid!$AQ$3</f>
        <v>0.32144</v>
      </c>
      <c r="J144" s="73">
        <f>undergrid!G144</f>
        <v>0.08</v>
      </c>
      <c r="K144" s="75">
        <f t="shared" si="38"/>
        <v>0</v>
      </c>
      <c r="L144" s="73">
        <f>undergrid!I144</f>
        <v>0.1</v>
      </c>
      <c r="M144" s="75">
        <f t="shared" si="39"/>
        <v>0.97178812983521579</v>
      </c>
      <c r="N144" s="81">
        <f>undergrid!K144</f>
        <v>2</v>
      </c>
      <c r="O144" s="82"/>
      <c r="P144" s="81">
        <f>undergrid!M144</f>
        <v>6.3999999999999996E-10</v>
      </c>
      <c r="Q144" s="82"/>
      <c r="R144" s="73">
        <f>undergrid!O144</f>
        <v>1.6799999999967952E-3</v>
      </c>
      <c r="S144" s="74">
        <f>R144*undergrid!$AQ$5</f>
        <v>6.7199999999871803E-9</v>
      </c>
      <c r="T144" s="75">
        <f>R144*(1-Graphs!$AD$1)</f>
        <v>8.3999999999839832E-5</v>
      </c>
      <c r="U144" s="73">
        <f>undergrid!Q144</f>
        <v>0</v>
      </c>
      <c r="V144" s="75">
        <f>IF(U144&lt;0.001,0,P144*undergrid!$AQ$4)</f>
        <v>0</v>
      </c>
      <c r="W144" s="73">
        <f>undergrid!S144</f>
        <v>0</v>
      </c>
      <c r="X144" s="106">
        <f>IF(undergrid!AI144&gt;0,(undergrid!$AQ$7*W144+undergrid!$AQ$8*undergrid!$AQ$9)*undergrid!$AQ$6,0)+undergrid!AG144*undergrid!$AQ$10</f>
        <v>0</v>
      </c>
      <c r="Y144" s="73">
        <f>undergrid!U144</f>
        <v>0</v>
      </c>
      <c r="Z144" s="74">
        <f>Y144*undergrid!$AQ$5</f>
        <v>0</v>
      </c>
      <c r="AA144" s="75">
        <f>Y144*(1-Graphs!$AD$2)</f>
        <v>0</v>
      </c>
      <c r="AB144" s="73">
        <f>undergrid!W144</f>
        <v>9.7178812983521574</v>
      </c>
      <c r="AC144" s="75">
        <f t="shared" si="40"/>
        <v>0.97178812983521579</v>
      </c>
      <c r="AD144" s="73">
        <f>undergrid!Y144</f>
        <v>0</v>
      </c>
      <c r="AE144" s="75">
        <f t="shared" si="41"/>
        <v>0</v>
      </c>
      <c r="AF144" s="109">
        <f>undergrid!AA144</f>
        <v>0</v>
      </c>
      <c r="AG144" s="110">
        <f>undergrid!AE144</f>
        <v>0</v>
      </c>
      <c r="AH144" s="93">
        <f t="shared" si="42"/>
        <v>0</v>
      </c>
      <c r="AI144" s="93">
        <f t="shared" si="43"/>
        <v>0</v>
      </c>
      <c r="AJ144" s="93">
        <f t="shared" si="44"/>
        <v>1.8812983521576676E-3</v>
      </c>
      <c r="AK144" s="93">
        <f>IF(AH144&gt;0.00001,undergrid!$AM$4,IF(Costs!AI144&gt;0.0001,((undergrid!$AQ$7*W144+undergrid!$AQ$8*undergrid!$AQ$9)*undergrid!$AQ$6)/W144,IF(Costs!AJ144&gt;0.0001,Costs!L144,0)))</f>
        <v>0.1</v>
      </c>
      <c r="AL144" s="1">
        <v>143</v>
      </c>
      <c r="AM144" s="121">
        <f t="shared" si="34"/>
        <v>4.0314399999999999</v>
      </c>
      <c r="AN144" s="122">
        <f t="shared" si="45"/>
        <v>-0.97178813655521579</v>
      </c>
      <c r="AO144" s="123">
        <f t="shared" si="46"/>
        <v>3.0596518634447842</v>
      </c>
      <c r="AR144" s="114">
        <f t="shared" si="47"/>
        <v>9.7176799999999961</v>
      </c>
      <c r="AS144" s="32">
        <f t="shared" si="48"/>
        <v>9.7178812983521574</v>
      </c>
      <c r="AT144" s="33">
        <f t="shared" si="35"/>
        <v>2.0129835216131653E-4</v>
      </c>
    </row>
    <row r="145" spans="1:46" x14ac:dyDescent="0.3">
      <c r="A145" s="4" t="str">
        <f>undergrid!B145</f>
        <v>h144</v>
      </c>
      <c r="B145" s="73">
        <f>undergrid!C145*2</f>
        <v>4.7</v>
      </c>
      <c r="C145" s="74">
        <f>undergrid!$AQ$2*Costs!B145</f>
        <v>2.35</v>
      </c>
      <c r="D145" s="74">
        <f t="shared" si="36"/>
        <v>4.7</v>
      </c>
      <c r="E145" s="75">
        <f>D145*undergrid!$AQ$2</f>
        <v>2.35</v>
      </c>
      <c r="F145" s="73">
        <f>undergrid!E145</f>
        <v>1.8420000000000001</v>
      </c>
      <c r="G145" s="74">
        <f>F145*undergrid!$AQ$3</f>
        <v>0.25788000000000005</v>
      </c>
      <c r="H145" s="74">
        <f t="shared" si="37"/>
        <v>1.8420000000000001</v>
      </c>
      <c r="I145" s="75">
        <f>H145*undergrid!$AQ$3</f>
        <v>0.25788000000000005</v>
      </c>
      <c r="J145" s="73">
        <f>undergrid!G145</f>
        <v>0.08</v>
      </c>
      <c r="K145" s="75">
        <f t="shared" si="38"/>
        <v>0</v>
      </c>
      <c r="L145" s="73">
        <f>undergrid!I145</f>
        <v>0.1</v>
      </c>
      <c r="M145" s="75">
        <f t="shared" si="39"/>
        <v>0.65438812983521577</v>
      </c>
      <c r="N145" s="81">
        <f>undergrid!K145</f>
        <v>2</v>
      </c>
      <c r="O145" s="82"/>
      <c r="P145" s="81">
        <f>undergrid!M145</f>
        <v>6.3999999999999996E-10</v>
      </c>
      <c r="Q145" s="82"/>
      <c r="R145" s="73">
        <f>undergrid!O145</f>
        <v>1.6799999999967952E-3</v>
      </c>
      <c r="S145" s="74">
        <f>R145*undergrid!$AQ$5</f>
        <v>6.7199999999871803E-9</v>
      </c>
      <c r="T145" s="75">
        <f>R145*(1-Graphs!$AD$1)</f>
        <v>8.3999999999839832E-5</v>
      </c>
      <c r="U145" s="73">
        <f>undergrid!Q145</f>
        <v>0</v>
      </c>
      <c r="V145" s="75">
        <f>IF(U145&lt;0.001,0,P145*undergrid!$AQ$4)</f>
        <v>0</v>
      </c>
      <c r="W145" s="73">
        <f>undergrid!S145</f>
        <v>0</v>
      </c>
      <c r="X145" s="106">
        <f>IF(undergrid!AI145&gt;0,(undergrid!$AQ$7*W145+undergrid!$AQ$8*undergrid!$AQ$9)*undergrid!$AQ$6,0)+undergrid!AG145*undergrid!$AQ$10</f>
        <v>0</v>
      </c>
      <c r="Y145" s="73">
        <f>undergrid!U145</f>
        <v>0</v>
      </c>
      <c r="Z145" s="74">
        <f>Y145*undergrid!$AQ$5</f>
        <v>0</v>
      </c>
      <c r="AA145" s="75">
        <f>Y145*(1-Graphs!$AD$2)</f>
        <v>0</v>
      </c>
      <c r="AB145" s="73">
        <f>undergrid!W145</f>
        <v>6.543881298352157</v>
      </c>
      <c r="AC145" s="75">
        <f t="shared" si="40"/>
        <v>0.65438812983521577</v>
      </c>
      <c r="AD145" s="73">
        <f>undergrid!Y145</f>
        <v>0</v>
      </c>
      <c r="AE145" s="75">
        <f t="shared" si="41"/>
        <v>0</v>
      </c>
      <c r="AF145" s="109">
        <f>undergrid!AA145</f>
        <v>0</v>
      </c>
      <c r="AG145" s="110">
        <f>undergrid!AE145</f>
        <v>0</v>
      </c>
      <c r="AH145" s="93">
        <f t="shared" si="42"/>
        <v>0</v>
      </c>
      <c r="AI145" s="93">
        <f t="shared" si="43"/>
        <v>0</v>
      </c>
      <c r="AJ145" s="93">
        <f t="shared" si="44"/>
        <v>1.8812983521567794E-3</v>
      </c>
      <c r="AK145" s="93">
        <f>IF(AH145&gt;0.00001,undergrid!$AM$4,IF(Costs!AI145&gt;0.0001,((undergrid!$AQ$7*W145+undergrid!$AQ$8*undergrid!$AQ$9)*undergrid!$AQ$6)/W145,IF(Costs!AJ145&gt;0.0001,Costs!L145,0)))</f>
        <v>0.1</v>
      </c>
      <c r="AL145" s="1">
        <v>144</v>
      </c>
      <c r="AM145" s="121">
        <f t="shared" si="34"/>
        <v>2.6078800000000002</v>
      </c>
      <c r="AN145" s="122">
        <f t="shared" si="45"/>
        <v>-0.65438813655521577</v>
      </c>
      <c r="AO145" s="123">
        <f t="shared" si="46"/>
        <v>1.9534918634447844</v>
      </c>
      <c r="AR145" s="114">
        <f t="shared" si="47"/>
        <v>6.5436799999999966</v>
      </c>
      <c r="AS145" s="32">
        <f t="shared" si="48"/>
        <v>6.543881298352157</v>
      </c>
      <c r="AT145" s="33">
        <f t="shared" si="35"/>
        <v>2.0129835216042835E-4</v>
      </c>
    </row>
    <row r="146" spans="1:46" x14ac:dyDescent="0.3">
      <c r="A146" s="4" t="str">
        <f>undergrid!B146</f>
        <v>h145</v>
      </c>
      <c r="B146" s="73">
        <f>undergrid!C146*2</f>
        <v>2.9</v>
      </c>
      <c r="C146" s="74">
        <f>undergrid!$AQ$2*Costs!B146</f>
        <v>1.45</v>
      </c>
      <c r="D146" s="74">
        <f t="shared" si="36"/>
        <v>2.9</v>
      </c>
      <c r="E146" s="75">
        <f>D146*undergrid!$AQ$2</f>
        <v>1.45</v>
      </c>
      <c r="F146" s="73">
        <f>undergrid!E146</f>
        <v>1.524</v>
      </c>
      <c r="G146" s="74">
        <f>F146*undergrid!$AQ$3</f>
        <v>0.21336000000000002</v>
      </c>
      <c r="H146" s="74">
        <f t="shared" si="37"/>
        <v>1.524</v>
      </c>
      <c r="I146" s="75">
        <f>H146*undergrid!$AQ$3</f>
        <v>0.21336000000000002</v>
      </c>
      <c r="J146" s="73">
        <f>undergrid!G146</f>
        <v>0.08</v>
      </c>
      <c r="K146" s="75">
        <f t="shared" si="38"/>
        <v>0</v>
      </c>
      <c r="L146" s="73">
        <f>undergrid!I146</f>
        <v>0.1</v>
      </c>
      <c r="M146" s="75">
        <f t="shared" si="39"/>
        <v>0.44258812983521567</v>
      </c>
      <c r="N146" s="81">
        <f>undergrid!K146</f>
        <v>2</v>
      </c>
      <c r="O146" s="82"/>
      <c r="P146" s="81">
        <f>undergrid!M146</f>
        <v>6.3999999999999996E-10</v>
      </c>
      <c r="Q146" s="82"/>
      <c r="R146" s="73">
        <f>undergrid!O146</f>
        <v>1.6799999999967952E-3</v>
      </c>
      <c r="S146" s="74">
        <f>R146*undergrid!$AQ$5</f>
        <v>6.7199999999871803E-9</v>
      </c>
      <c r="T146" s="75">
        <f>R146*(1-Graphs!$AD$1)</f>
        <v>8.3999999999839832E-5</v>
      </c>
      <c r="U146" s="73">
        <f>undergrid!Q146</f>
        <v>0</v>
      </c>
      <c r="V146" s="75">
        <f>IF(U146&lt;0.001,0,P146*undergrid!$AQ$4)</f>
        <v>0</v>
      </c>
      <c r="W146" s="73">
        <f>undergrid!S146</f>
        <v>0</v>
      </c>
      <c r="X146" s="106">
        <f>IF(undergrid!AI146&gt;0,(undergrid!$AQ$7*W146+undergrid!$AQ$8*undergrid!$AQ$9)*undergrid!$AQ$6,0)+undergrid!AG146*undergrid!$AQ$10</f>
        <v>0</v>
      </c>
      <c r="Y146" s="73">
        <f>undergrid!U146</f>
        <v>0</v>
      </c>
      <c r="Z146" s="74">
        <f>Y146*undergrid!$AQ$5</f>
        <v>0</v>
      </c>
      <c r="AA146" s="75">
        <f>Y146*(1-Graphs!$AD$2)</f>
        <v>0</v>
      </c>
      <c r="AB146" s="73">
        <f>undergrid!W146</f>
        <v>4.4258812983521567</v>
      </c>
      <c r="AC146" s="75">
        <f t="shared" si="40"/>
        <v>0.44258812983521567</v>
      </c>
      <c r="AD146" s="73">
        <f>undergrid!Y146</f>
        <v>0</v>
      </c>
      <c r="AE146" s="75">
        <f t="shared" si="41"/>
        <v>0</v>
      </c>
      <c r="AF146" s="109">
        <f>undergrid!AA146</f>
        <v>0</v>
      </c>
      <c r="AG146" s="110">
        <f>undergrid!AE146</f>
        <v>0</v>
      </c>
      <c r="AH146" s="93">
        <f t="shared" si="42"/>
        <v>0</v>
      </c>
      <c r="AI146" s="93">
        <f t="shared" si="43"/>
        <v>0</v>
      </c>
      <c r="AJ146" s="93">
        <f t="shared" si="44"/>
        <v>1.8812983521567794E-3</v>
      </c>
      <c r="AK146" s="93">
        <f>IF(AH146&gt;0.00001,undergrid!$AM$4,IF(Costs!AI146&gt;0.0001,((undergrid!$AQ$7*W146+undergrid!$AQ$8*undergrid!$AQ$9)*undergrid!$AQ$6)/W146,IF(Costs!AJ146&gt;0.0001,Costs!L146,0)))</f>
        <v>0.1</v>
      </c>
      <c r="AL146" s="1">
        <v>145</v>
      </c>
      <c r="AM146" s="121">
        <f t="shared" si="34"/>
        <v>1.6633599999999999</v>
      </c>
      <c r="AN146" s="122">
        <f t="shared" si="45"/>
        <v>-0.44258813655521567</v>
      </c>
      <c r="AO146" s="123">
        <f t="shared" si="46"/>
        <v>1.2207718634447842</v>
      </c>
      <c r="AR146" s="114">
        <f t="shared" si="47"/>
        <v>4.4256799999999963</v>
      </c>
      <c r="AS146" s="32">
        <f t="shared" si="48"/>
        <v>4.4258812983521567</v>
      </c>
      <c r="AT146" s="33">
        <f t="shared" si="35"/>
        <v>2.0129835216042835E-4</v>
      </c>
    </row>
    <row r="147" spans="1:46" x14ac:dyDescent="0.3">
      <c r="A147" s="4" t="str">
        <f>undergrid!B147</f>
        <v>h146</v>
      </c>
      <c r="B147" s="73">
        <f>undergrid!C147*2</f>
        <v>1.9</v>
      </c>
      <c r="C147" s="74">
        <f>undergrid!$AQ$2*Costs!B147</f>
        <v>0.95</v>
      </c>
      <c r="D147" s="74">
        <f t="shared" si="36"/>
        <v>1.9</v>
      </c>
      <c r="E147" s="75">
        <f>D147*undergrid!$AQ$2</f>
        <v>0.95</v>
      </c>
      <c r="F147" s="73">
        <f>undergrid!E147</f>
        <v>1.764</v>
      </c>
      <c r="G147" s="74">
        <f>F147*undergrid!$AQ$3</f>
        <v>0.24696000000000001</v>
      </c>
      <c r="H147" s="74">
        <f t="shared" si="37"/>
        <v>1.764</v>
      </c>
      <c r="I147" s="75">
        <f>H147*undergrid!$AQ$3</f>
        <v>0.24696000000000001</v>
      </c>
      <c r="J147" s="73">
        <f>undergrid!G147</f>
        <v>0.08</v>
      </c>
      <c r="K147" s="75">
        <f t="shared" si="38"/>
        <v>0</v>
      </c>
      <c r="L147" s="73">
        <f>undergrid!I147</f>
        <v>0.1</v>
      </c>
      <c r="M147" s="75">
        <f t="shared" si="39"/>
        <v>0.36658812983521577</v>
      </c>
      <c r="N147" s="81">
        <f>undergrid!K147</f>
        <v>2</v>
      </c>
      <c r="O147" s="82"/>
      <c r="P147" s="81">
        <f>undergrid!M147</f>
        <v>6.3999999999999996E-10</v>
      </c>
      <c r="Q147" s="82"/>
      <c r="R147" s="73">
        <f>undergrid!O147</f>
        <v>1.6799999999967952E-3</v>
      </c>
      <c r="S147" s="74">
        <f>R147*undergrid!$AQ$5</f>
        <v>6.7199999999871803E-9</v>
      </c>
      <c r="T147" s="75">
        <f>R147*(1-Graphs!$AD$1)</f>
        <v>8.3999999999839832E-5</v>
      </c>
      <c r="U147" s="73">
        <f>undergrid!Q147</f>
        <v>0</v>
      </c>
      <c r="V147" s="75">
        <f>IF(U147&lt;0.001,0,P147*undergrid!$AQ$4)</f>
        <v>0</v>
      </c>
      <c r="W147" s="73">
        <f>undergrid!S147</f>
        <v>0</v>
      </c>
      <c r="X147" s="106">
        <f>IF(undergrid!AI147&gt;0,(undergrid!$AQ$7*W147+undergrid!$AQ$8*undergrid!$AQ$9)*undergrid!$AQ$6,0)+undergrid!AG147*undergrid!$AQ$10</f>
        <v>0</v>
      </c>
      <c r="Y147" s="73">
        <f>undergrid!U147</f>
        <v>0</v>
      </c>
      <c r="Z147" s="74">
        <f>Y147*undergrid!$AQ$5</f>
        <v>0</v>
      </c>
      <c r="AA147" s="75">
        <f>Y147*(1-Graphs!$AD$2)</f>
        <v>0</v>
      </c>
      <c r="AB147" s="73">
        <f>undergrid!W147</f>
        <v>3.6658812983521574</v>
      </c>
      <c r="AC147" s="75">
        <f t="shared" si="40"/>
        <v>0.36658812983521577</v>
      </c>
      <c r="AD147" s="73">
        <f>undergrid!Y147</f>
        <v>0</v>
      </c>
      <c r="AE147" s="75">
        <f t="shared" si="41"/>
        <v>0</v>
      </c>
      <c r="AF147" s="109">
        <f>undergrid!AA147</f>
        <v>0</v>
      </c>
      <c r="AG147" s="110">
        <f>undergrid!AE147</f>
        <v>0</v>
      </c>
      <c r="AH147" s="93">
        <f t="shared" si="42"/>
        <v>0</v>
      </c>
      <c r="AI147" s="93">
        <f t="shared" si="43"/>
        <v>0</v>
      </c>
      <c r="AJ147" s="93">
        <f t="shared" si="44"/>
        <v>1.8812983521574456E-3</v>
      </c>
      <c r="AK147" s="93">
        <f>IF(AH147&gt;0.00001,undergrid!$AM$4,IF(Costs!AI147&gt;0.0001,((undergrid!$AQ$7*W147+undergrid!$AQ$8*undergrid!$AQ$9)*undergrid!$AQ$6)/W147,IF(Costs!AJ147&gt;0.0001,Costs!L147,0)))</f>
        <v>0.1</v>
      </c>
      <c r="AL147" s="1">
        <v>146</v>
      </c>
      <c r="AM147" s="121">
        <f t="shared" si="34"/>
        <v>1.19696</v>
      </c>
      <c r="AN147" s="122">
        <f t="shared" si="45"/>
        <v>-0.36658813655521577</v>
      </c>
      <c r="AO147" s="123">
        <f t="shared" si="46"/>
        <v>0.83037186344478431</v>
      </c>
      <c r="AR147" s="114">
        <f t="shared" si="47"/>
        <v>3.6656799999999965</v>
      </c>
      <c r="AS147" s="32">
        <f t="shared" si="48"/>
        <v>3.6658812983521574</v>
      </c>
      <c r="AT147" s="33">
        <f t="shared" si="35"/>
        <v>2.0129835216087244E-4</v>
      </c>
    </row>
    <row r="148" spans="1:46" x14ac:dyDescent="0.3">
      <c r="A148" s="4" t="str">
        <f>undergrid!B148</f>
        <v>h147</v>
      </c>
      <c r="B148" s="73">
        <f>undergrid!C148*2</f>
        <v>2.66</v>
      </c>
      <c r="C148" s="74">
        <f>undergrid!$AQ$2*Costs!B148</f>
        <v>1.33</v>
      </c>
      <c r="D148" s="74">
        <f t="shared" si="36"/>
        <v>2.66</v>
      </c>
      <c r="E148" s="75">
        <f>D148*undergrid!$AQ$2</f>
        <v>1.33</v>
      </c>
      <c r="F148" s="73">
        <f>undergrid!E148</f>
        <v>2.4660000000000002</v>
      </c>
      <c r="G148" s="74">
        <f>F148*undergrid!$AQ$3</f>
        <v>0.34524000000000005</v>
      </c>
      <c r="H148" s="74">
        <f t="shared" si="37"/>
        <v>2.4660000000000002</v>
      </c>
      <c r="I148" s="75">
        <f>H148*undergrid!$AQ$3</f>
        <v>0.34524000000000005</v>
      </c>
      <c r="J148" s="73">
        <f>undergrid!G148</f>
        <v>0.08</v>
      </c>
      <c r="K148" s="75">
        <f t="shared" si="38"/>
        <v>0</v>
      </c>
      <c r="L148" s="73">
        <f>undergrid!I148</f>
        <v>0.1</v>
      </c>
      <c r="M148" s="75">
        <f t="shared" si="39"/>
        <v>1.9443925891882046</v>
      </c>
      <c r="N148" s="81">
        <f>undergrid!K148</f>
        <v>2</v>
      </c>
      <c r="O148" s="82"/>
      <c r="P148" s="81">
        <f>undergrid!M148</f>
        <v>6.3999999999999996E-10</v>
      </c>
      <c r="Q148" s="82"/>
      <c r="R148" s="73">
        <f>undergrid!O148</f>
        <v>12.785907822022185</v>
      </c>
      <c r="S148" s="74">
        <f>R148*undergrid!$AQ$5</f>
        <v>5.114363128808874E-5</v>
      </c>
      <c r="T148" s="75">
        <f>R148*(1-Graphs!$AD$1)</f>
        <v>0.63929539110110989</v>
      </c>
      <c r="U148" s="73">
        <f>undergrid!Q148</f>
        <v>0</v>
      </c>
      <c r="V148" s="75">
        <f>IF(U148&lt;0.001,0,P148*undergrid!$AQ$4)</f>
        <v>0</v>
      </c>
      <c r="W148" s="73">
        <f>undergrid!S148</f>
        <v>0</v>
      </c>
      <c r="X148" s="106">
        <f>IF(undergrid!AI148&gt;0,(undergrid!$AQ$7*W148+undergrid!$AQ$8*undergrid!$AQ$9)*undergrid!$AQ$6,0)+undergrid!AG148*undergrid!$AQ$10</f>
        <v>0</v>
      </c>
      <c r="Y148" s="73">
        <f>undergrid!U148</f>
        <v>0</v>
      </c>
      <c r="Z148" s="74">
        <f>Y148*undergrid!$AQ$5</f>
        <v>0</v>
      </c>
      <c r="AA148" s="75">
        <f>Y148*(1-Graphs!$AD$2)</f>
        <v>0</v>
      </c>
      <c r="AB148" s="73">
        <f>undergrid!W148</f>
        <v>19.443925891882046</v>
      </c>
      <c r="AC148" s="75">
        <f t="shared" si="40"/>
        <v>1.9443925891882046</v>
      </c>
      <c r="AD148" s="73">
        <f>undergrid!Y148</f>
        <v>0</v>
      </c>
      <c r="AE148" s="75">
        <f t="shared" si="41"/>
        <v>0</v>
      </c>
      <c r="AF148" s="109">
        <f>undergrid!AA148</f>
        <v>0</v>
      </c>
      <c r="AG148" s="110">
        <f>undergrid!AE148</f>
        <v>0</v>
      </c>
      <c r="AH148" s="93">
        <f t="shared" si="42"/>
        <v>0</v>
      </c>
      <c r="AI148" s="93">
        <f t="shared" si="43"/>
        <v>0</v>
      </c>
      <c r="AJ148" s="93">
        <f t="shared" si="44"/>
        <v>14.317925891882044</v>
      </c>
      <c r="AK148" s="93">
        <f>IF(AH148&gt;0.00001,undergrid!$AM$4,IF(Costs!AI148&gt;0.0001,((undergrid!$AQ$7*W148+undergrid!$AQ$8*undergrid!$AQ$9)*undergrid!$AQ$6)/W148,IF(Costs!AJ148&gt;0.0001,Costs!L148,0)))</f>
        <v>0.1</v>
      </c>
      <c r="AL148" s="1">
        <v>147</v>
      </c>
      <c r="AM148" s="121">
        <f t="shared" si="34"/>
        <v>1.6752400000000001</v>
      </c>
      <c r="AN148" s="122">
        <f t="shared" si="45"/>
        <v>-1.9444437328194926</v>
      </c>
      <c r="AO148" s="123">
        <f t="shared" si="46"/>
        <v>-0.2692037328194925</v>
      </c>
      <c r="AR148" s="114">
        <f t="shared" si="47"/>
        <v>17.911907822022187</v>
      </c>
      <c r="AS148" s="32">
        <f t="shared" si="48"/>
        <v>19.443925891882046</v>
      </c>
      <c r="AT148" s="33">
        <f t="shared" si="35"/>
        <v>1.5320180698598591</v>
      </c>
    </row>
    <row r="149" spans="1:46" x14ac:dyDescent="0.3">
      <c r="A149" s="4" t="str">
        <f>undergrid!B149</f>
        <v>h148</v>
      </c>
      <c r="B149" s="73">
        <f>undergrid!C149*2</f>
        <v>1.66</v>
      </c>
      <c r="C149" s="74">
        <f>undergrid!$AQ$2*Costs!B149</f>
        <v>0.83</v>
      </c>
      <c r="D149" s="74">
        <f t="shared" si="36"/>
        <v>1.66</v>
      </c>
      <c r="E149" s="75">
        <f>D149*undergrid!$AQ$2</f>
        <v>0.83</v>
      </c>
      <c r="F149" s="73">
        <f>undergrid!E149</f>
        <v>1.5409999999999999</v>
      </c>
      <c r="G149" s="74">
        <f>F149*undergrid!$AQ$3</f>
        <v>0.21574000000000002</v>
      </c>
      <c r="H149" s="74">
        <f t="shared" si="37"/>
        <v>1.5409999999999999</v>
      </c>
      <c r="I149" s="75">
        <f>H149*undergrid!$AQ$3</f>
        <v>0.21574000000000002</v>
      </c>
      <c r="J149" s="73">
        <f>undergrid!G149</f>
        <v>0.08</v>
      </c>
      <c r="K149" s="75">
        <f t="shared" si="38"/>
        <v>0</v>
      </c>
      <c r="L149" s="73">
        <f>undergrid!I149</f>
        <v>0.1</v>
      </c>
      <c r="M149" s="75">
        <f t="shared" si="39"/>
        <v>2.5</v>
      </c>
      <c r="N149" s="81">
        <f>undergrid!K149</f>
        <v>2</v>
      </c>
      <c r="O149" s="82"/>
      <c r="P149" s="81">
        <f>undergrid!M149</f>
        <v>6.3999999999999996E-10</v>
      </c>
      <c r="Q149" s="82"/>
      <c r="R149" s="73">
        <f>undergrid!O149</f>
        <v>19.466507000571522</v>
      </c>
      <c r="S149" s="74">
        <f>R149*undergrid!$AQ$5</f>
        <v>7.786602800228608E-5</v>
      </c>
      <c r="T149" s="75">
        <f>R149*(1-Graphs!$AD$1)</f>
        <v>0.9733253500285769</v>
      </c>
      <c r="U149" s="73">
        <f>undergrid!Q149</f>
        <v>0</v>
      </c>
      <c r="V149" s="75">
        <f>IF(U149&lt;0.001,0,P149*undergrid!$AQ$4)</f>
        <v>0</v>
      </c>
      <c r="W149" s="73">
        <f>undergrid!S149</f>
        <v>0</v>
      </c>
      <c r="X149" s="106">
        <f>IF(undergrid!AI149&gt;0,(undergrid!$AQ$7*W149+undergrid!$AQ$8*undergrid!$AQ$9)*undergrid!$AQ$6,0)+undergrid!AG149*undergrid!$AQ$10</f>
        <v>0</v>
      </c>
      <c r="Y149" s="73">
        <f>undergrid!U149</f>
        <v>0</v>
      </c>
      <c r="Z149" s="74">
        <f>Y149*undergrid!$AQ$5</f>
        <v>0</v>
      </c>
      <c r="AA149" s="75">
        <f>Y149*(1-Graphs!$AD$2)</f>
        <v>0</v>
      </c>
      <c r="AB149" s="73">
        <f>undergrid!W149</f>
        <v>25</v>
      </c>
      <c r="AC149" s="75">
        <f t="shared" si="40"/>
        <v>2.5</v>
      </c>
      <c r="AD149" s="73">
        <f>undergrid!Y149</f>
        <v>0</v>
      </c>
      <c r="AE149" s="75">
        <f t="shared" si="41"/>
        <v>0</v>
      </c>
      <c r="AF149" s="109">
        <f>undergrid!AA149</f>
        <v>0</v>
      </c>
      <c r="AG149" s="110">
        <f>undergrid!AE149</f>
        <v>0</v>
      </c>
      <c r="AH149" s="93">
        <f t="shared" si="42"/>
        <v>0</v>
      </c>
      <c r="AI149" s="93">
        <f t="shared" si="43"/>
        <v>0</v>
      </c>
      <c r="AJ149" s="93">
        <f t="shared" si="44"/>
        <v>21.798999999999999</v>
      </c>
      <c r="AK149" s="93">
        <f>IF(AH149&gt;0.00001,undergrid!$AM$4,IF(Costs!AI149&gt;0.0001,((undergrid!$AQ$7*W149+undergrid!$AQ$8*undergrid!$AQ$9)*undergrid!$AQ$6)/W149,IF(Costs!AJ149&gt;0.0001,Costs!L149,0)))</f>
        <v>0.1</v>
      </c>
      <c r="AL149" s="1">
        <v>148</v>
      </c>
      <c r="AM149" s="121">
        <f t="shared" si="34"/>
        <v>1.0457399999999999</v>
      </c>
      <c r="AN149" s="122">
        <f t="shared" si="45"/>
        <v>-2.5000778660280023</v>
      </c>
      <c r="AO149" s="123">
        <f t="shared" si="46"/>
        <v>-1.4543378660280024</v>
      </c>
      <c r="AR149" s="114">
        <f t="shared" si="47"/>
        <v>22.667507000571522</v>
      </c>
      <c r="AS149" s="32">
        <f t="shared" si="48"/>
        <v>25</v>
      </c>
      <c r="AT149" s="33">
        <f t="shared" si="35"/>
        <v>2.332492999428478</v>
      </c>
    </row>
    <row r="150" spans="1:46" x14ac:dyDescent="0.3">
      <c r="A150" s="4" t="str">
        <f>undergrid!B150</f>
        <v>h149</v>
      </c>
      <c r="B150" s="73">
        <f>undergrid!C150*2</f>
        <v>1.96</v>
      </c>
      <c r="C150" s="74">
        <f>undergrid!$AQ$2*Costs!B150</f>
        <v>0.98</v>
      </c>
      <c r="D150" s="74">
        <f t="shared" si="36"/>
        <v>1.96</v>
      </c>
      <c r="E150" s="75">
        <f>D150*undergrid!$AQ$2</f>
        <v>0.98</v>
      </c>
      <c r="F150" s="73">
        <f>undergrid!E150</f>
        <v>1.8340000000000001</v>
      </c>
      <c r="G150" s="74">
        <f>F150*undergrid!$AQ$3</f>
        <v>0.25676000000000004</v>
      </c>
      <c r="H150" s="74">
        <f t="shared" si="37"/>
        <v>1.8340000000000001</v>
      </c>
      <c r="I150" s="75">
        <f>H150*undergrid!$AQ$3</f>
        <v>0.25676000000000004</v>
      </c>
      <c r="J150" s="73">
        <f>undergrid!G150</f>
        <v>0.08</v>
      </c>
      <c r="K150" s="75">
        <f t="shared" si="38"/>
        <v>0</v>
      </c>
      <c r="L150" s="73">
        <f>undergrid!I150</f>
        <v>0.1</v>
      </c>
      <c r="M150" s="75">
        <f t="shared" si="39"/>
        <v>2.5</v>
      </c>
      <c r="N150" s="81">
        <f>undergrid!K150</f>
        <v>2</v>
      </c>
      <c r="O150" s="82"/>
      <c r="P150" s="81">
        <f>undergrid!M150</f>
        <v>6.3999999999999996E-10</v>
      </c>
      <c r="Q150" s="82"/>
      <c r="R150" s="73">
        <f>undergrid!O150</f>
        <v>18.936958000571519</v>
      </c>
      <c r="S150" s="74">
        <f>R150*undergrid!$AQ$5</f>
        <v>7.5747832002286068E-5</v>
      </c>
      <c r="T150" s="75">
        <f>R150*(1-Graphs!$AD$1)</f>
        <v>0.94684790002857677</v>
      </c>
      <c r="U150" s="73">
        <f>undergrid!Q150</f>
        <v>0</v>
      </c>
      <c r="V150" s="75">
        <f>IF(U150&lt;0.001,0,P150*undergrid!$AQ$4)</f>
        <v>0</v>
      </c>
      <c r="W150" s="73">
        <f>undergrid!S150</f>
        <v>0</v>
      </c>
      <c r="X150" s="106">
        <f>IF(undergrid!AI150&gt;0,(undergrid!$AQ$7*W150+undergrid!$AQ$8*undergrid!$AQ$9)*undergrid!$AQ$6,0)+undergrid!AG150*undergrid!$AQ$10</f>
        <v>0</v>
      </c>
      <c r="Y150" s="73">
        <f>undergrid!U150</f>
        <v>0</v>
      </c>
      <c r="Z150" s="74">
        <f>Y150*undergrid!$AQ$5</f>
        <v>0</v>
      </c>
      <c r="AA150" s="75">
        <f>Y150*(1-Graphs!$AD$2)</f>
        <v>0</v>
      </c>
      <c r="AB150" s="73">
        <f>undergrid!W150</f>
        <v>25</v>
      </c>
      <c r="AC150" s="75">
        <f t="shared" si="40"/>
        <v>2.5</v>
      </c>
      <c r="AD150" s="73">
        <f>undergrid!Y150</f>
        <v>0</v>
      </c>
      <c r="AE150" s="75">
        <f t="shared" si="41"/>
        <v>0</v>
      </c>
      <c r="AF150" s="109">
        <f>undergrid!AA150</f>
        <v>0</v>
      </c>
      <c r="AG150" s="110">
        <f>undergrid!AE150</f>
        <v>0</v>
      </c>
      <c r="AH150" s="93">
        <f t="shared" si="42"/>
        <v>0</v>
      </c>
      <c r="AI150" s="93">
        <f t="shared" si="43"/>
        <v>0</v>
      </c>
      <c r="AJ150" s="93">
        <f t="shared" si="44"/>
        <v>21.206</v>
      </c>
      <c r="AK150" s="93">
        <f>IF(AH150&gt;0.00001,undergrid!$AM$4,IF(Costs!AI150&gt;0.0001,((undergrid!$AQ$7*W150+undergrid!$AQ$8*undergrid!$AQ$9)*undergrid!$AQ$6)/W150,IF(Costs!AJ150&gt;0.0001,Costs!L150,0)))</f>
        <v>0.1</v>
      </c>
      <c r="AL150" s="1">
        <v>149</v>
      </c>
      <c r="AM150" s="121">
        <f t="shared" si="34"/>
        <v>1.2367600000000001</v>
      </c>
      <c r="AN150" s="122">
        <f t="shared" si="45"/>
        <v>-2.5000757478320024</v>
      </c>
      <c r="AO150" s="123">
        <f t="shared" si="46"/>
        <v>-1.2633157478320023</v>
      </c>
      <c r="AR150" s="114">
        <f t="shared" si="47"/>
        <v>22.730958000571519</v>
      </c>
      <c r="AS150" s="32">
        <f t="shared" si="48"/>
        <v>25</v>
      </c>
      <c r="AT150" s="33">
        <f t="shared" si="35"/>
        <v>2.2690419994284809</v>
      </c>
    </row>
    <row r="151" spans="1:46" x14ac:dyDescent="0.3">
      <c r="A151" s="4" t="str">
        <f>undergrid!B151</f>
        <v>h150</v>
      </c>
      <c r="B151" s="73">
        <f>undergrid!C151*2</f>
        <v>2.04</v>
      </c>
      <c r="C151" s="74">
        <f>undergrid!$AQ$2*Costs!B151</f>
        <v>1.02</v>
      </c>
      <c r="D151" s="74">
        <f t="shared" si="36"/>
        <v>2.04</v>
      </c>
      <c r="E151" s="75">
        <f>D151*undergrid!$AQ$2</f>
        <v>1.02</v>
      </c>
      <c r="F151" s="73">
        <f>undergrid!E151</f>
        <v>1.887</v>
      </c>
      <c r="G151" s="74">
        <f>F151*undergrid!$AQ$3</f>
        <v>0.26418000000000003</v>
      </c>
      <c r="H151" s="74">
        <f t="shared" si="37"/>
        <v>1.887</v>
      </c>
      <c r="I151" s="75">
        <f>H151*undergrid!$AQ$3</f>
        <v>0.26418000000000003</v>
      </c>
      <c r="J151" s="73">
        <f>undergrid!G151</f>
        <v>0.08</v>
      </c>
      <c r="K151" s="75">
        <f t="shared" si="38"/>
        <v>0</v>
      </c>
      <c r="L151" s="73">
        <f>undergrid!I151</f>
        <v>0.1</v>
      </c>
      <c r="M151" s="75">
        <f t="shared" si="39"/>
        <v>2.5</v>
      </c>
      <c r="N151" s="81">
        <f>undergrid!K151</f>
        <v>2</v>
      </c>
      <c r="O151" s="82"/>
      <c r="P151" s="81">
        <f>undergrid!M151</f>
        <v>6.3999999999999996E-10</v>
      </c>
      <c r="Q151" s="82"/>
      <c r="R151" s="73">
        <f>undergrid!O151</f>
        <v>18.818189000571522</v>
      </c>
      <c r="S151" s="74">
        <f>R151*undergrid!$AQ$5</f>
        <v>7.5272756002286089E-5</v>
      </c>
      <c r="T151" s="75">
        <f>R151*(1-Graphs!$AD$1)</f>
        <v>0.94090945002857695</v>
      </c>
      <c r="U151" s="73">
        <f>undergrid!Q151</f>
        <v>0</v>
      </c>
      <c r="V151" s="75">
        <f>IF(U151&lt;0.001,0,P151*undergrid!$AQ$4)</f>
        <v>0</v>
      </c>
      <c r="W151" s="73">
        <f>undergrid!S151</f>
        <v>0</v>
      </c>
      <c r="X151" s="106">
        <f>IF(undergrid!AI151&gt;0,(undergrid!$AQ$7*W151+undergrid!$AQ$8*undergrid!$AQ$9)*undergrid!$AQ$6,0)+undergrid!AG151*undergrid!$AQ$10</f>
        <v>0</v>
      </c>
      <c r="Y151" s="73">
        <f>undergrid!U151</f>
        <v>0</v>
      </c>
      <c r="Z151" s="74">
        <f>Y151*undergrid!$AQ$5</f>
        <v>0</v>
      </c>
      <c r="AA151" s="75">
        <f>Y151*(1-Graphs!$AD$2)</f>
        <v>0</v>
      </c>
      <c r="AB151" s="73">
        <f>undergrid!W151</f>
        <v>25</v>
      </c>
      <c r="AC151" s="75">
        <f t="shared" si="40"/>
        <v>2.5</v>
      </c>
      <c r="AD151" s="73">
        <f>undergrid!Y151</f>
        <v>0</v>
      </c>
      <c r="AE151" s="75">
        <f t="shared" si="41"/>
        <v>0</v>
      </c>
      <c r="AF151" s="109">
        <f>undergrid!AA151</f>
        <v>0</v>
      </c>
      <c r="AG151" s="110">
        <f>undergrid!AE151</f>
        <v>0</v>
      </c>
      <c r="AH151" s="93">
        <f t="shared" si="42"/>
        <v>0</v>
      </c>
      <c r="AI151" s="93">
        <f t="shared" si="43"/>
        <v>0</v>
      </c>
      <c r="AJ151" s="93">
        <f t="shared" si="44"/>
        <v>21.073</v>
      </c>
      <c r="AK151" s="93">
        <f>IF(AH151&gt;0.00001,undergrid!$AM$4,IF(Costs!AI151&gt;0.0001,((undergrid!$AQ$7*W151+undergrid!$AQ$8*undergrid!$AQ$9)*undergrid!$AQ$6)/W151,IF(Costs!AJ151&gt;0.0001,Costs!L151,0)))</f>
        <v>0.1</v>
      </c>
      <c r="AL151" s="1">
        <v>150</v>
      </c>
      <c r="AM151" s="121">
        <f t="shared" si="34"/>
        <v>1.2841800000000001</v>
      </c>
      <c r="AN151" s="122">
        <f t="shared" si="45"/>
        <v>-2.5000752727560025</v>
      </c>
      <c r="AO151" s="123">
        <f t="shared" si="46"/>
        <v>-1.2158952727560024</v>
      </c>
      <c r="AR151" s="114">
        <f t="shared" si="47"/>
        <v>22.745189000571521</v>
      </c>
      <c r="AS151" s="32">
        <f t="shared" si="48"/>
        <v>25</v>
      </c>
      <c r="AT151" s="33">
        <f t="shared" si="35"/>
        <v>2.2548109994284786</v>
      </c>
    </row>
    <row r="152" spans="1:46" x14ac:dyDescent="0.3">
      <c r="A152" s="4" t="str">
        <f>undergrid!B152</f>
        <v>h151</v>
      </c>
      <c r="B152" s="73">
        <f>undergrid!C152*2</f>
        <v>1.32</v>
      </c>
      <c r="C152" s="74">
        <f>undergrid!$AQ$2*Costs!B152</f>
        <v>0.66</v>
      </c>
      <c r="D152" s="74">
        <f t="shared" si="36"/>
        <v>1.32</v>
      </c>
      <c r="E152" s="75">
        <f>D152*undergrid!$AQ$2</f>
        <v>0.66</v>
      </c>
      <c r="F152" s="73">
        <f>undergrid!E152</f>
        <v>1.228</v>
      </c>
      <c r="G152" s="74">
        <f>F152*undergrid!$AQ$3</f>
        <v>0.17192000000000002</v>
      </c>
      <c r="H152" s="74">
        <f t="shared" si="37"/>
        <v>1.228</v>
      </c>
      <c r="I152" s="75">
        <f>H152*undergrid!$AQ$3</f>
        <v>0.17192000000000002</v>
      </c>
      <c r="J152" s="73">
        <f>undergrid!G152</f>
        <v>0.13</v>
      </c>
      <c r="K152" s="75">
        <f t="shared" si="38"/>
        <v>0</v>
      </c>
      <c r="L152" s="73">
        <f>undergrid!I152</f>
        <v>0.15</v>
      </c>
      <c r="M152" s="75">
        <f t="shared" si="39"/>
        <v>0</v>
      </c>
      <c r="N152" s="81">
        <f>undergrid!K152</f>
        <v>2</v>
      </c>
      <c r="O152" s="82"/>
      <c r="P152" s="81">
        <f>undergrid!M152</f>
        <v>6.3999999999999996E-10</v>
      </c>
      <c r="Q152" s="82"/>
      <c r="R152" s="73">
        <f>undergrid!O152</f>
        <v>0</v>
      </c>
      <c r="S152" s="74">
        <f>R152*undergrid!$AQ$5</f>
        <v>0</v>
      </c>
      <c r="T152" s="75">
        <f>R152*(1-Graphs!$AD$1)</f>
        <v>0</v>
      </c>
      <c r="U152" s="73">
        <f>undergrid!Q152</f>
        <v>0</v>
      </c>
      <c r="V152" s="75">
        <f>IF(U152&lt;0.001,0,P152*undergrid!$AQ$4)</f>
        <v>0</v>
      </c>
      <c r="W152" s="73">
        <f>undergrid!S152</f>
        <v>0</v>
      </c>
      <c r="X152" s="106">
        <f>IF(undergrid!AI152&gt;0,(undergrid!$AQ$7*W152+undergrid!$AQ$8*undergrid!$AQ$9)*undergrid!$AQ$6,0)+undergrid!AG152*undergrid!$AQ$10</f>
        <v>0</v>
      </c>
      <c r="Y152" s="73">
        <f>undergrid!U152</f>
        <v>2.8311111104000002</v>
      </c>
      <c r="Z152" s="74">
        <f>Y152*undergrid!$AQ$5</f>
        <v>1.13244444416E-5</v>
      </c>
      <c r="AA152" s="75">
        <f>Y152*(1-Graphs!$AD$2)</f>
        <v>0.28311111103999997</v>
      </c>
      <c r="AB152" s="73">
        <f>undergrid!W152</f>
        <v>0</v>
      </c>
      <c r="AC152" s="75">
        <f t="shared" si="40"/>
        <v>0</v>
      </c>
      <c r="AD152" s="73">
        <f>undergrid!Y152</f>
        <v>0</v>
      </c>
      <c r="AE152" s="75">
        <f t="shared" si="41"/>
        <v>0</v>
      </c>
      <c r="AF152" s="109">
        <f>undergrid!AA152</f>
        <v>0</v>
      </c>
      <c r="AG152" s="110">
        <f>undergrid!AE152</f>
        <v>0</v>
      </c>
      <c r="AH152" s="93">
        <f t="shared" si="42"/>
        <v>0</v>
      </c>
      <c r="AI152" s="93">
        <f t="shared" si="43"/>
        <v>0</v>
      </c>
      <c r="AJ152" s="93">
        <f t="shared" si="44"/>
        <v>0</v>
      </c>
      <c r="AK152" s="93">
        <f>IF(AH152&gt;0.00001,undergrid!$AM$4,IF(Costs!AI152&gt;0.0001,((undergrid!$AQ$7*W152+undergrid!$AQ$8*undergrid!$AQ$9)*undergrid!$AQ$6)/W152,IF(Costs!AJ152&gt;0.0001,Costs!L152,0)))</f>
        <v>0</v>
      </c>
      <c r="AL152" s="1">
        <v>151</v>
      </c>
      <c r="AM152" s="121">
        <f t="shared" si="34"/>
        <v>0.83191999999999999</v>
      </c>
      <c r="AN152" s="122">
        <f t="shared" si="45"/>
        <v>-1.13244444416E-5</v>
      </c>
      <c r="AO152" s="123">
        <f t="shared" si="46"/>
        <v>0.83190867555555836</v>
      </c>
      <c r="AR152" s="114">
        <f t="shared" si="47"/>
        <v>2.548</v>
      </c>
      <c r="AS152" s="32">
        <f t="shared" si="48"/>
        <v>2.8311111104000002</v>
      </c>
      <c r="AT152" s="33">
        <f t="shared" si="35"/>
        <v>0.28311111040000014</v>
      </c>
    </row>
    <row r="153" spans="1:46" x14ac:dyDescent="0.3">
      <c r="A153" s="4" t="str">
        <f>undergrid!B153</f>
        <v>h152</v>
      </c>
      <c r="B153" s="73">
        <f>undergrid!C153*2</f>
        <v>1.06</v>
      </c>
      <c r="C153" s="74">
        <f>undergrid!$AQ$2*Costs!B153</f>
        <v>0.53</v>
      </c>
      <c r="D153" s="74">
        <f t="shared" si="36"/>
        <v>1.06</v>
      </c>
      <c r="E153" s="75">
        <f>D153*undergrid!$AQ$2</f>
        <v>0.53</v>
      </c>
      <c r="F153" s="73">
        <f>undergrid!E153</f>
        <v>1.2929999999999999</v>
      </c>
      <c r="G153" s="74">
        <f>F153*undergrid!$AQ$3</f>
        <v>0.18102000000000001</v>
      </c>
      <c r="H153" s="74">
        <f t="shared" si="37"/>
        <v>1.2929999999999999</v>
      </c>
      <c r="I153" s="75">
        <f>H153*undergrid!$AQ$3</f>
        <v>0.18102000000000001</v>
      </c>
      <c r="J153" s="73">
        <f>undergrid!G153</f>
        <v>0.13</v>
      </c>
      <c r="K153" s="75">
        <f t="shared" si="38"/>
        <v>0</v>
      </c>
      <c r="L153" s="73">
        <f>undergrid!I153</f>
        <v>0.15</v>
      </c>
      <c r="M153" s="75">
        <f t="shared" si="39"/>
        <v>0</v>
      </c>
      <c r="N153" s="81">
        <f>undergrid!K153</f>
        <v>2</v>
      </c>
      <c r="O153" s="82"/>
      <c r="P153" s="81">
        <f>undergrid!M153</f>
        <v>5.1999999999999996E-10</v>
      </c>
      <c r="Q153" s="82"/>
      <c r="R153" s="73">
        <f>undergrid!O153</f>
        <v>0</v>
      </c>
      <c r="S153" s="74">
        <f>R153*undergrid!$AQ$5</f>
        <v>0</v>
      </c>
      <c r="T153" s="75">
        <f>R153*(1-Graphs!$AD$1)</f>
        <v>0</v>
      </c>
      <c r="U153" s="73">
        <f>undergrid!Q153</f>
        <v>0</v>
      </c>
      <c r="V153" s="75">
        <f>IF(U153&lt;0.001,0,P153*undergrid!$AQ$4)</f>
        <v>0</v>
      </c>
      <c r="W153" s="73">
        <f>undergrid!S153</f>
        <v>0</v>
      </c>
      <c r="X153" s="106">
        <f>IF(undergrid!AI153&gt;0,(undergrid!$AQ$7*W153+undergrid!$AQ$8*undergrid!$AQ$9)*undergrid!$AQ$6,0)+undergrid!AG153*undergrid!$AQ$10</f>
        <v>0</v>
      </c>
      <c r="Y153" s="73">
        <f>undergrid!U153</f>
        <v>2.6144444438666663</v>
      </c>
      <c r="Z153" s="74">
        <f>Y153*undergrid!$AQ$5</f>
        <v>1.0457777775466665E-5</v>
      </c>
      <c r="AA153" s="75">
        <f>Y153*(1-Graphs!$AD$2)</f>
        <v>0.26144444438666659</v>
      </c>
      <c r="AB153" s="73">
        <f>undergrid!W153</f>
        <v>0</v>
      </c>
      <c r="AC153" s="75">
        <f t="shared" si="40"/>
        <v>0</v>
      </c>
      <c r="AD153" s="73">
        <f>undergrid!Y153</f>
        <v>0</v>
      </c>
      <c r="AE153" s="75">
        <f t="shared" si="41"/>
        <v>0</v>
      </c>
      <c r="AF153" s="109">
        <f>undergrid!AA153</f>
        <v>0</v>
      </c>
      <c r="AG153" s="110">
        <f>undergrid!AE153</f>
        <v>0</v>
      </c>
      <c r="AH153" s="93">
        <f t="shared" si="42"/>
        <v>0</v>
      </c>
      <c r="AI153" s="93">
        <f t="shared" si="43"/>
        <v>0</v>
      </c>
      <c r="AJ153" s="93">
        <f t="shared" si="44"/>
        <v>0</v>
      </c>
      <c r="AK153" s="93">
        <f>IF(AH153&gt;0.00001,undergrid!$AM$4,IF(Costs!AI153&gt;0.0001,((undergrid!$AQ$7*W153+undergrid!$AQ$8*undergrid!$AQ$9)*undergrid!$AQ$6)/W153,IF(Costs!AJ153&gt;0.0001,Costs!L153,0)))</f>
        <v>0</v>
      </c>
      <c r="AL153" s="1">
        <v>152</v>
      </c>
      <c r="AM153" s="121">
        <f t="shared" si="34"/>
        <v>0.71101999999999999</v>
      </c>
      <c r="AN153" s="122">
        <f t="shared" si="45"/>
        <v>-1.0457777775466665E-5</v>
      </c>
      <c r="AO153" s="123">
        <f t="shared" si="46"/>
        <v>0.71100954222222457</v>
      </c>
      <c r="AR153" s="114">
        <f t="shared" si="47"/>
        <v>2.3529999999999998</v>
      </c>
      <c r="AS153" s="32">
        <f t="shared" si="48"/>
        <v>2.6144444438666663</v>
      </c>
      <c r="AT153" s="33">
        <f t="shared" si="35"/>
        <v>0.26144444386666654</v>
      </c>
    </row>
    <row r="154" spans="1:46" x14ac:dyDescent="0.3">
      <c r="A154" s="4" t="str">
        <f>undergrid!B154</f>
        <v>h153</v>
      </c>
      <c r="B154" s="73">
        <f>undergrid!C154*2</f>
        <v>1.26</v>
      </c>
      <c r="C154" s="74">
        <f>undergrid!$AQ$2*Costs!B154</f>
        <v>0.63</v>
      </c>
      <c r="D154" s="74">
        <f t="shared" si="36"/>
        <v>1.26</v>
      </c>
      <c r="E154" s="75">
        <f>D154*undergrid!$AQ$2</f>
        <v>0.63</v>
      </c>
      <c r="F154" s="73">
        <f>undergrid!E154</f>
        <v>1.548</v>
      </c>
      <c r="G154" s="74">
        <f>F154*undergrid!$AQ$3</f>
        <v>0.21672000000000002</v>
      </c>
      <c r="H154" s="74">
        <f t="shared" si="37"/>
        <v>1.548</v>
      </c>
      <c r="I154" s="75">
        <f>H154*undergrid!$AQ$3</f>
        <v>0.21672000000000002</v>
      </c>
      <c r="J154" s="73">
        <f>undergrid!G154</f>
        <v>0.13</v>
      </c>
      <c r="K154" s="75">
        <f t="shared" si="38"/>
        <v>0</v>
      </c>
      <c r="L154" s="73">
        <f>undergrid!I154</f>
        <v>0.15</v>
      </c>
      <c r="M154" s="75">
        <f t="shared" si="39"/>
        <v>0</v>
      </c>
      <c r="N154" s="81">
        <f>undergrid!K154</f>
        <v>2</v>
      </c>
      <c r="O154" s="82"/>
      <c r="P154" s="81">
        <f>undergrid!M154</f>
        <v>6.8000000000000003E-10</v>
      </c>
      <c r="Q154" s="82"/>
      <c r="R154" s="73">
        <f>undergrid!O154</f>
        <v>0</v>
      </c>
      <c r="S154" s="74">
        <f>R154*undergrid!$AQ$5</f>
        <v>0</v>
      </c>
      <c r="T154" s="75">
        <f>R154*(1-Graphs!$AD$1)</f>
        <v>0</v>
      </c>
      <c r="U154" s="73">
        <f>undergrid!Q154</f>
        <v>0</v>
      </c>
      <c r="V154" s="75">
        <f>IF(U154&lt;0.001,0,P154*undergrid!$AQ$4)</f>
        <v>0</v>
      </c>
      <c r="W154" s="73">
        <f>undergrid!S154</f>
        <v>0</v>
      </c>
      <c r="X154" s="106">
        <f>IF(undergrid!AI154&gt;0,(undergrid!$AQ$7*W154+undergrid!$AQ$8*undergrid!$AQ$9)*undergrid!$AQ$6,0)+undergrid!AG154*undergrid!$AQ$10</f>
        <v>0</v>
      </c>
      <c r="Y154" s="73">
        <f>undergrid!U154</f>
        <v>3.1199999992444445</v>
      </c>
      <c r="Z154" s="74">
        <f>Y154*undergrid!$AQ$5</f>
        <v>1.2479999996977777E-5</v>
      </c>
      <c r="AA154" s="75">
        <f>Y154*(1-Graphs!$AD$2)</f>
        <v>0.31199999992444438</v>
      </c>
      <c r="AB154" s="73">
        <f>undergrid!W154</f>
        <v>0</v>
      </c>
      <c r="AC154" s="75">
        <f t="shared" si="40"/>
        <v>0</v>
      </c>
      <c r="AD154" s="73">
        <f>undergrid!Y154</f>
        <v>0</v>
      </c>
      <c r="AE154" s="75">
        <f t="shared" si="41"/>
        <v>0</v>
      </c>
      <c r="AF154" s="109">
        <f>undergrid!AA154</f>
        <v>0</v>
      </c>
      <c r="AG154" s="110">
        <f>undergrid!AE154</f>
        <v>0</v>
      </c>
      <c r="AH154" s="93">
        <f t="shared" si="42"/>
        <v>0</v>
      </c>
      <c r="AI154" s="93">
        <f t="shared" si="43"/>
        <v>0</v>
      </c>
      <c r="AJ154" s="93">
        <f t="shared" si="44"/>
        <v>0</v>
      </c>
      <c r="AK154" s="93">
        <f>IF(AH154&gt;0.00001,undergrid!$AM$4,IF(Costs!AI154&gt;0.0001,((undergrid!$AQ$7*W154+undergrid!$AQ$8*undergrid!$AQ$9)*undergrid!$AQ$6)/W154,IF(Costs!AJ154&gt;0.0001,Costs!L154,0)))</f>
        <v>0</v>
      </c>
      <c r="AL154" s="1">
        <v>153</v>
      </c>
      <c r="AM154" s="121">
        <f t="shared" si="34"/>
        <v>0.84672000000000003</v>
      </c>
      <c r="AN154" s="122">
        <f t="shared" si="45"/>
        <v>-1.2479999996977777E-5</v>
      </c>
      <c r="AO154" s="123">
        <f t="shared" si="46"/>
        <v>0.84670752000000304</v>
      </c>
      <c r="AR154" s="114">
        <f t="shared" si="47"/>
        <v>2.8079999999999998</v>
      </c>
      <c r="AS154" s="32">
        <f t="shared" si="48"/>
        <v>3.1199999992444445</v>
      </c>
      <c r="AT154" s="33">
        <f t="shared" si="35"/>
        <v>0.31199999924444466</v>
      </c>
    </row>
    <row r="155" spans="1:46" x14ac:dyDescent="0.3">
      <c r="A155" s="4" t="str">
        <f>undergrid!B155</f>
        <v>h154</v>
      </c>
      <c r="B155" s="73">
        <f>undergrid!C155*2</f>
        <v>2.34</v>
      </c>
      <c r="C155" s="74">
        <f>undergrid!$AQ$2*Costs!B155</f>
        <v>1.17</v>
      </c>
      <c r="D155" s="74">
        <f t="shared" si="36"/>
        <v>2.34</v>
      </c>
      <c r="E155" s="75">
        <f>D155*undergrid!$AQ$2</f>
        <v>1.17</v>
      </c>
      <c r="F155" s="73">
        <f>undergrid!E155</f>
        <v>4.899</v>
      </c>
      <c r="G155" s="74">
        <f>F155*undergrid!$AQ$3</f>
        <v>0.68586000000000003</v>
      </c>
      <c r="H155" s="74">
        <f t="shared" si="37"/>
        <v>4.899</v>
      </c>
      <c r="I155" s="75">
        <f>H155*undergrid!$AQ$3</f>
        <v>0.68586000000000003</v>
      </c>
      <c r="J155" s="73">
        <f>undergrid!G155</f>
        <v>0.13</v>
      </c>
      <c r="K155" s="75">
        <f t="shared" si="38"/>
        <v>0.26532999999999995</v>
      </c>
      <c r="L155" s="73">
        <f>undergrid!I155</f>
        <v>0.15</v>
      </c>
      <c r="M155" s="75">
        <f t="shared" si="39"/>
        <v>0</v>
      </c>
      <c r="N155" s="81">
        <f>undergrid!K155</f>
        <v>2</v>
      </c>
      <c r="O155" s="82"/>
      <c r="P155" s="81">
        <f>undergrid!M155</f>
        <v>9.2799999999999994</v>
      </c>
      <c r="Q155" s="82"/>
      <c r="R155" s="73">
        <f>undergrid!O155</f>
        <v>0</v>
      </c>
      <c r="S155" s="74">
        <f>R155*undergrid!$AQ$5</f>
        <v>0</v>
      </c>
      <c r="T155" s="75">
        <f>R155*(1-Graphs!$AD$1)</f>
        <v>0</v>
      </c>
      <c r="U155" s="73">
        <f>undergrid!Q155</f>
        <v>9.2799999999999994</v>
      </c>
      <c r="V155" s="75">
        <f>IF(U155&lt;0.001,0,P155*undergrid!$AQ$4)</f>
        <v>1.8559999999999998E-5</v>
      </c>
      <c r="W155" s="73">
        <f>undergrid!S155</f>
        <v>0</v>
      </c>
      <c r="X155" s="106">
        <f>IF(undergrid!AI155&gt;0,(undergrid!$AQ$7*W155+undergrid!$AQ$8*undergrid!$AQ$9)*undergrid!$AQ$6,0)+undergrid!AG155*undergrid!$AQ$10</f>
        <v>0</v>
      </c>
      <c r="Y155" s="73">
        <f>undergrid!U155</f>
        <v>0</v>
      </c>
      <c r="Z155" s="74">
        <f>Y155*undergrid!$AQ$5</f>
        <v>0</v>
      </c>
      <c r="AA155" s="75">
        <f>Y155*(1-Graphs!$AD$2)</f>
        <v>0</v>
      </c>
      <c r="AB155" s="73">
        <f>undergrid!W155</f>
        <v>0</v>
      </c>
      <c r="AC155" s="75">
        <f t="shared" si="40"/>
        <v>0</v>
      </c>
      <c r="AD155" s="73">
        <f>undergrid!Y155</f>
        <v>2.0409999999999995</v>
      </c>
      <c r="AE155" s="75">
        <f t="shared" si="41"/>
        <v>0.26532999999999995</v>
      </c>
      <c r="AF155" s="109">
        <f>undergrid!AA155</f>
        <v>0</v>
      </c>
      <c r="AG155" s="110">
        <f>undergrid!AE155</f>
        <v>0</v>
      </c>
      <c r="AH155" s="93">
        <f t="shared" si="42"/>
        <v>0</v>
      </c>
      <c r="AI155" s="93">
        <f t="shared" si="43"/>
        <v>0</v>
      </c>
      <c r="AJ155" s="93">
        <f t="shared" si="44"/>
        <v>0</v>
      </c>
      <c r="AK155" s="93">
        <f>IF(AH155&gt;0.00001,undergrid!$AM$4,IF(Costs!AI155&gt;0.0001,((undergrid!$AQ$7*W155+undergrid!$AQ$8*undergrid!$AQ$9)*undergrid!$AQ$6)/W155,IF(Costs!AJ155&gt;0.0001,Costs!L155,0)))</f>
        <v>0</v>
      </c>
      <c r="AL155" s="1">
        <v>154</v>
      </c>
      <c r="AM155" s="121">
        <f t="shared" si="34"/>
        <v>2.1211899999999999</v>
      </c>
      <c r="AN155" s="122">
        <f t="shared" si="45"/>
        <v>-1.8559999999999998E-5</v>
      </c>
      <c r="AO155" s="123">
        <f t="shared" si="46"/>
        <v>2.1211714399999999</v>
      </c>
      <c r="AR155" s="114">
        <f t="shared" si="47"/>
        <v>9.2799999999999994</v>
      </c>
      <c r="AS155" s="32">
        <f t="shared" si="48"/>
        <v>9.2799999999999994</v>
      </c>
      <c r="AT155" s="33">
        <f t="shared" si="35"/>
        <v>0</v>
      </c>
    </row>
    <row r="156" spans="1:46" x14ac:dyDescent="0.3">
      <c r="A156" s="4" t="str">
        <f>undergrid!B156</f>
        <v>h155</v>
      </c>
      <c r="B156" s="73">
        <f>undergrid!C156*2</f>
        <v>6.76</v>
      </c>
      <c r="C156" s="74">
        <f>undergrid!$AQ$2*Costs!B156</f>
        <v>3.38</v>
      </c>
      <c r="D156" s="74">
        <f t="shared" si="36"/>
        <v>6.76</v>
      </c>
      <c r="E156" s="75">
        <f>D156*undergrid!$AQ$2</f>
        <v>3.38</v>
      </c>
      <c r="F156" s="73">
        <f>undergrid!E156</f>
        <v>7.3029999999999999</v>
      </c>
      <c r="G156" s="74">
        <f>F156*undergrid!$AQ$3</f>
        <v>1.0224200000000001</v>
      </c>
      <c r="H156" s="74">
        <f t="shared" si="37"/>
        <v>7.3029999999999999</v>
      </c>
      <c r="I156" s="75">
        <f>H156*undergrid!$AQ$3</f>
        <v>1.0224200000000001</v>
      </c>
      <c r="J156" s="73">
        <f>undergrid!G156</f>
        <v>0.13</v>
      </c>
      <c r="K156" s="75">
        <f t="shared" si="38"/>
        <v>0</v>
      </c>
      <c r="L156" s="73">
        <f>undergrid!I156</f>
        <v>0.15</v>
      </c>
      <c r="M156" s="75">
        <f t="shared" si="39"/>
        <v>0</v>
      </c>
      <c r="N156" s="81">
        <f>undergrid!K156</f>
        <v>2</v>
      </c>
      <c r="O156" s="82"/>
      <c r="P156" s="81">
        <f>undergrid!M156</f>
        <v>11.87</v>
      </c>
      <c r="Q156" s="82"/>
      <c r="R156" s="73">
        <f>undergrid!O156</f>
        <v>0</v>
      </c>
      <c r="S156" s="74">
        <f>R156*undergrid!$AQ$5</f>
        <v>0</v>
      </c>
      <c r="T156" s="75">
        <f>R156*(1-Graphs!$AD$1)</f>
        <v>0</v>
      </c>
      <c r="U156" s="73">
        <f>undergrid!Q156</f>
        <v>11.87</v>
      </c>
      <c r="V156" s="75">
        <f>IF(U156&lt;0.001,0,P156*undergrid!$AQ$4)</f>
        <v>2.3739999999999996E-5</v>
      </c>
      <c r="W156" s="73">
        <f>undergrid!S156</f>
        <v>0</v>
      </c>
      <c r="X156" s="106">
        <f>IF(undergrid!AI156&gt;0,(undergrid!$AQ$7*W156+undergrid!$AQ$8*undergrid!$AQ$9)*undergrid!$AQ$6,0)+undergrid!AG156*undergrid!$AQ$10</f>
        <v>0</v>
      </c>
      <c r="Y156" s="73">
        <f>undergrid!U156</f>
        <v>2.4366666666666674</v>
      </c>
      <c r="Z156" s="74">
        <f>Y156*undergrid!$AQ$5</f>
        <v>9.7466666666666693E-6</v>
      </c>
      <c r="AA156" s="75">
        <f>Y156*(1-Graphs!$AD$2)</f>
        <v>0.2436666666666667</v>
      </c>
      <c r="AB156" s="73">
        <f>undergrid!W156</f>
        <v>0</v>
      </c>
      <c r="AC156" s="75">
        <f t="shared" si="40"/>
        <v>0</v>
      </c>
      <c r="AD156" s="73">
        <f>undergrid!Y156</f>
        <v>0</v>
      </c>
      <c r="AE156" s="75">
        <f t="shared" si="41"/>
        <v>0</v>
      </c>
      <c r="AF156" s="109">
        <f>undergrid!AA156</f>
        <v>0</v>
      </c>
      <c r="AG156" s="110">
        <f>undergrid!AE156</f>
        <v>0</v>
      </c>
      <c r="AH156" s="93">
        <f t="shared" si="42"/>
        <v>0</v>
      </c>
      <c r="AI156" s="93">
        <f t="shared" si="43"/>
        <v>0</v>
      </c>
      <c r="AJ156" s="93">
        <f t="shared" si="44"/>
        <v>0</v>
      </c>
      <c r="AK156" s="93">
        <f>IF(AH156&gt;0.00001,undergrid!$AM$4,IF(Costs!AI156&gt;0.0001,((undergrid!$AQ$7*W156+undergrid!$AQ$8*undergrid!$AQ$9)*undergrid!$AQ$6)/W156,IF(Costs!AJ156&gt;0.0001,Costs!L156,0)))</f>
        <v>0</v>
      </c>
      <c r="AL156" s="1">
        <v>155</v>
      </c>
      <c r="AM156" s="121">
        <f t="shared" si="34"/>
        <v>4.4024200000000002</v>
      </c>
      <c r="AN156" s="122">
        <f t="shared" si="45"/>
        <v>-3.3486666666666666E-5</v>
      </c>
      <c r="AO156" s="123">
        <f t="shared" si="46"/>
        <v>4.402386513333334</v>
      </c>
      <c r="AR156" s="114">
        <f t="shared" si="47"/>
        <v>14.062999999999999</v>
      </c>
      <c r="AS156" s="32">
        <f t="shared" si="48"/>
        <v>14.306666666666667</v>
      </c>
      <c r="AT156" s="33">
        <f t="shared" si="35"/>
        <v>0.24366666666666781</v>
      </c>
    </row>
    <row r="157" spans="1:46" x14ac:dyDescent="0.3">
      <c r="A157" s="4" t="str">
        <f>undergrid!B157</f>
        <v>h156</v>
      </c>
      <c r="B157" s="73">
        <f>undergrid!C157*2</f>
        <v>4.16</v>
      </c>
      <c r="C157" s="74">
        <f>undergrid!$AQ$2*Costs!B157</f>
        <v>2.08</v>
      </c>
      <c r="D157" s="74">
        <f t="shared" si="36"/>
        <v>4.16</v>
      </c>
      <c r="E157" s="75">
        <f>D157*undergrid!$AQ$2</f>
        <v>2.08</v>
      </c>
      <c r="F157" s="73">
        <f>undergrid!E157</f>
        <v>4.4889999999999999</v>
      </c>
      <c r="G157" s="74">
        <f>F157*undergrid!$AQ$3</f>
        <v>0.62846000000000002</v>
      </c>
      <c r="H157" s="74">
        <f t="shared" si="37"/>
        <v>4.4889999999999999</v>
      </c>
      <c r="I157" s="75">
        <f>H157*undergrid!$AQ$3</f>
        <v>0.62846000000000002</v>
      </c>
      <c r="J157" s="73">
        <f>undergrid!G157</f>
        <v>0.13</v>
      </c>
      <c r="K157" s="75">
        <f t="shared" si="38"/>
        <v>0</v>
      </c>
      <c r="L157" s="73">
        <f>undergrid!I157</f>
        <v>0.15</v>
      </c>
      <c r="M157" s="75">
        <f t="shared" si="39"/>
        <v>0</v>
      </c>
      <c r="N157" s="81">
        <f>undergrid!K157</f>
        <v>2</v>
      </c>
      <c r="O157" s="82"/>
      <c r="P157" s="81">
        <f>undergrid!M157</f>
        <v>7.63</v>
      </c>
      <c r="Q157" s="82"/>
      <c r="R157" s="73">
        <f>undergrid!O157</f>
        <v>0</v>
      </c>
      <c r="S157" s="74">
        <f>R157*undergrid!$AQ$5</f>
        <v>0</v>
      </c>
      <c r="T157" s="75">
        <f>R157*(1-Graphs!$AD$1)</f>
        <v>0</v>
      </c>
      <c r="U157" s="73">
        <f>undergrid!Q157</f>
        <v>7.63</v>
      </c>
      <c r="V157" s="75">
        <f>IF(U157&lt;0.001,0,P157*undergrid!$AQ$4)</f>
        <v>1.526E-5</v>
      </c>
      <c r="W157" s="73">
        <f>undergrid!S157</f>
        <v>0</v>
      </c>
      <c r="X157" s="106">
        <f>IF(undergrid!AI157&gt;0,(undergrid!$AQ$7*W157+undergrid!$AQ$8*undergrid!$AQ$9)*undergrid!$AQ$6,0)+undergrid!AG157*undergrid!$AQ$10</f>
        <v>0</v>
      </c>
      <c r="Y157" s="73">
        <f>undergrid!U157</f>
        <v>1.1322222222222234</v>
      </c>
      <c r="Z157" s="74">
        <f>Y157*undergrid!$AQ$5</f>
        <v>4.5288888888888936E-6</v>
      </c>
      <c r="AA157" s="75">
        <f>Y157*(1-Graphs!$AD$2)</f>
        <v>0.11322222222222231</v>
      </c>
      <c r="AB157" s="73">
        <f>undergrid!W157</f>
        <v>0</v>
      </c>
      <c r="AC157" s="75">
        <f t="shared" si="40"/>
        <v>0</v>
      </c>
      <c r="AD157" s="73">
        <f>undergrid!Y157</f>
        <v>0</v>
      </c>
      <c r="AE157" s="75">
        <f t="shared" si="41"/>
        <v>0</v>
      </c>
      <c r="AF157" s="109">
        <f>undergrid!AA157</f>
        <v>0</v>
      </c>
      <c r="AG157" s="110">
        <f>undergrid!AE157</f>
        <v>0</v>
      </c>
      <c r="AH157" s="93">
        <f t="shared" si="42"/>
        <v>0</v>
      </c>
      <c r="AI157" s="93">
        <f t="shared" si="43"/>
        <v>0</v>
      </c>
      <c r="AJ157" s="93">
        <f t="shared" si="44"/>
        <v>0</v>
      </c>
      <c r="AK157" s="93">
        <f>IF(AH157&gt;0.00001,undergrid!$AM$4,IF(Costs!AI157&gt;0.0001,((undergrid!$AQ$7*W157+undergrid!$AQ$8*undergrid!$AQ$9)*undergrid!$AQ$6)/W157,IF(Costs!AJ157&gt;0.0001,Costs!L157,0)))</f>
        <v>0</v>
      </c>
      <c r="AL157" s="1">
        <v>156</v>
      </c>
      <c r="AM157" s="121">
        <f t="shared" si="34"/>
        <v>2.7084600000000001</v>
      </c>
      <c r="AN157" s="122">
        <f t="shared" si="45"/>
        <v>-1.9788888888888894E-5</v>
      </c>
      <c r="AO157" s="123">
        <f t="shared" si="46"/>
        <v>2.7084402111111112</v>
      </c>
      <c r="AR157" s="114">
        <f t="shared" si="47"/>
        <v>8.6490000000000009</v>
      </c>
      <c r="AS157" s="32">
        <f t="shared" si="48"/>
        <v>8.7622222222222241</v>
      </c>
      <c r="AT157" s="33">
        <f t="shared" si="35"/>
        <v>0.11322222222222322</v>
      </c>
    </row>
    <row r="158" spans="1:46" x14ac:dyDescent="0.3">
      <c r="A158" s="4" t="str">
        <f>undergrid!B158</f>
        <v>h157</v>
      </c>
      <c r="B158" s="73">
        <f>undergrid!C158*2</f>
        <v>2.02</v>
      </c>
      <c r="C158" s="74">
        <f>undergrid!$AQ$2*Costs!B158</f>
        <v>1.01</v>
      </c>
      <c r="D158" s="74">
        <f t="shared" si="36"/>
        <v>2.02</v>
      </c>
      <c r="E158" s="75">
        <f>D158*undergrid!$AQ$2</f>
        <v>1.01</v>
      </c>
      <c r="F158" s="73">
        <f>undergrid!E158</f>
        <v>0.38500000000000001</v>
      </c>
      <c r="G158" s="74">
        <f>F158*undergrid!$AQ$3</f>
        <v>5.3900000000000003E-2</v>
      </c>
      <c r="H158" s="74">
        <f t="shared" si="37"/>
        <v>0.38500000000000001</v>
      </c>
      <c r="I158" s="75">
        <f>H158*undergrid!$AQ$3</f>
        <v>5.3900000000000003E-2</v>
      </c>
      <c r="J158" s="73">
        <f>undergrid!G158</f>
        <v>0.13</v>
      </c>
      <c r="K158" s="75">
        <f t="shared" si="38"/>
        <v>0.91975000000000007</v>
      </c>
      <c r="L158" s="73">
        <f>undergrid!I158</f>
        <v>0.15</v>
      </c>
      <c r="M158" s="75">
        <f t="shared" si="39"/>
        <v>0</v>
      </c>
      <c r="N158" s="81">
        <f>undergrid!K158</f>
        <v>2</v>
      </c>
      <c r="O158" s="82"/>
      <c r="P158" s="81">
        <f>undergrid!M158</f>
        <v>9.48</v>
      </c>
      <c r="Q158" s="82"/>
      <c r="R158" s="73">
        <f>undergrid!O158</f>
        <v>0</v>
      </c>
      <c r="S158" s="74">
        <f>R158*undergrid!$AQ$5</f>
        <v>0</v>
      </c>
      <c r="T158" s="75">
        <f>R158*(1-Graphs!$AD$1)</f>
        <v>0</v>
      </c>
      <c r="U158" s="73">
        <f>undergrid!Q158</f>
        <v>9.48</v>
      </c>
      <c r="V158" s="75">
        <f>IF(U158&lt;0.001,0,P158*undergrid!$AQ$4)</f>
        <v>1.8960000000000001E-5</v>
      </c>
      <c r="W158" s="73">
        <f>undergrid!S158</f>
        <v>0</v>
      </c>
      <c r="X158" s="106">
        <f>IF(undergrid!AI158&gt;0,(undergrid!$AQ$7*W158+undergrid!$AQ$8*undergrid!$AQ$9)*undergrid!$AQ$6,0)+undergrid!AG158*undergrid!$AQ$10</f>
        <v>0</v>
      </c>
      <c r="Y158" s="73">
        <f>undergrid!U158</f>
        <v>0</v>
      </c>
      <c r="Z158" s="74">
        <f>Y158*undergrid!$AQ$5</f>
        <v>0</v>
      </c>
      <c r="AA158" s="75">
        <f>Y158*(1-Graphs!$AD$2)</f>
        <v>0</v>
      </c>
      <c r="AB158" s="73">
        <f>undergrid!W158</f>
        <v>0</v>
      </c>
      <c r="AC158" s="75">
        <f t="shared" si="40"/>
        <v>0</v>
      </c>
      <c r="AD158" s="73">
        <f>undergrid!Y158</f>
        <v>7.0750000000000002</v>
      </c>
      <c r="AE158" s="75">
        <f t="shared" si="41"/>
        <v>0.91975000000000007</v>
      </c>
      <c r="AF158" s="109">
        <f>undergrid!AA158</f>
        <v>0</v>
      </c>
      <c r="AG158" s="110">
        <f>undergrid!AE158</f>
        <v>0</v>
      </c>
      <c r="AH158" s="93">
        <f t="shared" si="42"/>
        <v>0</v>
      </c>
      <c r="AI158" s="93">
        <f t="shared" si="43"/>
        <v>0</v>
      </c>
      <c r="AJ158" s="93">
        <f t="shared" si="44"/>
        <v>0</v>
      </c>
      <c r="AK158" s="93">
        <f>IF(AH158&gt;0.00001,undergrid!$AM$4,IF(Costs!AI158&gt;0.0001,((undergrid!$AQ$7*W158+undergrid!$AQ$8*undergrid!$AQ$9)*undergrid!$AQ$6)/W158,IF(Costs!AJ158&gt;0.0001,Costs!L158,0)))</f>
        <v>0</v>
      </c>
      <c r="AL158" s="1">
        <v>157</v>
      </c>
      <c r="AM158" s="121">
        <f t="shared" si="34"/>
        <v>1.9836500000000001</v>
      </c>
      <c r="AN158" s="122">
        <f t="shared" si="45"/>
        <v>-1.8960000000000001E-5</v>
      </c>
      <c r="AO158" s="123">
        <f t="shared" si="46"/>
        <v>1.9836310400000001</v>
      </c>
      <c r="AR158" s="114">
        <f t="shared" si="47"/>
        <v>9.48</v>
      </c>
      <c r="AS158" s="32">
        <f t="shared" si="48"/>
        <v>9.48</v>
      </c>
      <c r="AT158" s="33">
        <f t="shared" si="35"/>
        <v>0</v>
      </c>
    </row>
    <row r="159" spans="1:46" x14ac:dyDescent="0.3">
      <c r="A159" s="4" t="str">
        <f>undergrid!B159</f>
        <v>h158</v>
      </c>
      <c r="B159" s="73">
        <f>undergrid!C159*2</f>
        <v>6.3</v>
      </c>
      <c r="C159" s="74">
        <f>undergrid!$AQ$2*Costs!B159</f>
        <v>3.15</v>
      </c>
      <c r="D159" s="74">
        <f t="shared" si="36"/>
        <v>6.3</v>
      </c>
      <c r="E159" s="75">
        <f>D159*undergrid!$AQ$2</f>
        <v>3.15</v>
      </c>
      <c r="F159" s="73">
        <f>undergrid!E159</f>
        <v>0.73199999999999998</v>
      </c>
      <c r="G159" s="74">
        <f>F159*undergrid!$AQ$3</f>
        <v>0.10248</v>
      </c>
      <c r="H159" s="74">
        <f t="shared" si="37"/>
        <v>0.73199999999999998</v>
      </c>
      <c r="I159" s="75">
        <f>H159*undergrid!$AQ$3</f>
        <v>0.10248</v>
      </c>
      <c r="J159" s="73">
        <f>undergrid!G159</f>
        <v>0.13</v>
      </c>
      <c r="K159" s="75">
        <f t="shared" si="38"/>
        <v>0</v>
      </c>
      <c r="L159" s="73">
        <f>undergrid!I159</f>
        <v>0.15</v>
      </c>
      <c r="M159" s="75">
        <f t="shared" si="39"/>
        <v>0</v>
      </c>
      <c r="N159" s="81">
        <f>undergrid!K159</f>
        <v>2</v>
      </c>
      <c r="O159" s="82"/>
      <c r="P159" s="81">
        <f>undergrid!M159</f>
        <v>6.32</v>
      </c>
      <c r="Q159" s="82"/>
      <c r="R159" s="73">
        <f>undergrid!O159</f>
        <v>0</v>
      </c>
      <c r="S159" s="74">
        <f>R159*undergrid!$AQ$5</f>
        <v>0</v>
      </c>
      <c r="T159" s="75">
        <f>R159*(1-Graphs!$AD$1)</f>
        <v>0</v>
      </c>
      <c r="U159" s="73">
        <f>undergrid!Q159</f>
        <v>6.32</v>
      </c>
      <c r="V159" s="75">
        <f>IF(U159&lt;0.001,0,P159*undergrid!$AQ$4)</f>
        <v>1.2639999999999999E-5</v>
      </c>
      <c r="W159" s="73">
        <f>undergrid!S159</f>
        <v>0</v>
      </c>
      <c r="X159" s="106">
        <f>IF(undergrid!AI159&gt;0,(undergrid!$AQ$7*W159+undergrid!$AQ$8*undergrid!$AQ$9)*undergrid!$AQ$6,0)+undergrid!AG159*undergrid!$AQ$10</f>
        <v>0</v>
      </c>
      <c r="Y159" s="73">
        <f>undergrid!U159</f>
        <v>0.79111111111111043</v>
      </c>
      <c r="Z159" s="74">
        <f>Y159*undergrid!$AQ$5</f>
        <v>3.1644444444444416E-6</v>
      </c>
      <c r="AA159" s="75">
        <f>Y159*(1-Graphs!$AD$2)</f>
        <v>7.9111111111111021E-2</v>
      </c>
      <c r="AB159" s="73">
        <f>undergrid!W159</f>
        <v>0</v>
      </c>
      <c r="AC159" s="75">
        <f t="shared" si="40"/>
        <v>0</v>
      </c>
      <c r="AD159" s="73">
        <f>undergrid!Y159</f>
        <v>0</v>
      </c>
      <c r="AE159" s="75">
        <f t="shared" si="41"/>
        <v>0</v>
      </c>
      <c r="AF159" s="109">
        <f>undergrid!AA159</f>
        <v>0</v>
      </c>
      <c r="AG159" s="110">
        <f>undergrid!AE159</f>
        <v>0</v>
      </c>
      <c r="AH159" s="93">
        <f t="shared" si="42"/>
        <v>0</v>
      </c>
      <c r="AI159" s="93">
        <f t="shared" si="43"/>
        <v>0</v>
      </c>
      <c r="AJ159" s="93">
        <f t="shared" si="44"/>
        <v>0</v>
      </c>
      <c r="AK159" s="93">
        <f>IF(AH159&gt;0.00001,undergrid!$AM$4,IF(Costs!AI159&gt;0.0001,((undergrid!$AQ$7*W159+undergrid!$AQ$8*undergrid!$AQ$9)*undergrid!$AQ$6)/W159,IF(Costs!AJ159&gt;0.0001,Costs!L159,0)))</f>
        <v>0</v>
      </c>
      <c r="AL159" s="1">
        <v>158</v>
      </c>
      <c r="AM159" s="121">
        <f t="shared" si="34"/>
        <v>3.2524799999999998</v>
      </c>
      <c r="AN159" s="122">
        <f t="shared" si="45"/>
        <v>-1.580444444444444E-5</v>
      </c>
      <c r="AO159" s="123">
        <f t="shared" si="46"/>
        <v>3.2524641955555555</v>
      </c>
      <c r="AR159" s="114">
        <f t="shared" si="47"/>
        <v>7.032</v>
      </c>
      <c r="AS159" s="32">
        <f t="shared" si="48"/>
        <v>7.1111111111111107</v>
      </c>
      <c r="AT159" s="33">
        <f t="shared" si="35"/>
        <v>7.9111111111110688E-2</v>
      </c>
    </row>
    <row r="160" spans="1:46" x14ac:dyDescent="0.3">
      <c r="A160" s="4" t="str">
        <f>undergrid!B160</f>
        <v>h159</v>
      </c>
      <c r="B160" s="73">
        <f>undergrid!C160*2</f>
        <v>7.56</v>
      </c>
      <c r="C160" s="74">
        <f>undergrid!$AQ$2*Costs!B160</f>
        <v>3.78</v>
      </c>
      <c r="D160" s="74">
        <f t="shared" si="36"/>
        <v>7.56</v>
      </c>
      <c r="E160" s="75">
        <f>D160*undergrid!$AQ$2</f>
        <v>3.78</v>
      </c>
      <c r="F160" s="73">
        <f>undergrid!E160</f>
        <v>4.7480000000000002</v>
      </c>
      <c r="G160" s="74">
        <f>F160*undergrid!$AQ$3</f>
        <v>0.66472000000000009</v>
      </c>
      <c r="H160" s="74">
        <f t="shared" si="37"/>
        <v>4.7480000000000002</v>
      </c>
      <c r="I160" s="75">
        <f>H160*undergrid!$AQ$3</f>
        <v>0.66472000000000009</v>
      </c>
      <c r="J160" s="73">
        <f>undergrid!G160</f>
        <v>0.13</v>
      </c>
      <c r="K160" s="75">
        <f t="shared" si="38"/>
        <v>0</v>
      </c>
      <c r="L160" s="73">
        <f>undergrid!I160</f>
        <v>0.15</v>
      </c>
      <c r="M160" s="75">
        <f t="shared" si="39"/>
        <v>0</v>
      </c>
      <c r="N160" s="81">
        <f>undergrid!K160</f>
        <v>2</v>
      </c>
      <c r="O160" s="82"/>
      <c r="P160" s="81">
        <f>undergrid!M160</f>
        <v>8.3699999999999992</v>
      </c>
      <c r="Q160" s="82"/>
      <c r="R160" s="73">
        <f>undergrid!O160</f>
        <v>0</v>
      </c>
      <c r="S160" s="74">
        <f>R160*undergrid!$AQ$5</f>
        <v>0</v>
      </c>
      <c r="T160" s="75">
        <f>R160*(1-Graphs!$AD$1)</f>
        <v>0</v>
      </c>
      <c r="U160" s="73">
        <f>undergrid!Q160</f>
        <v>8.3699999999999992</v>
      </c>
      <c r="V160" s="75">
        <f>IF(U160&lt;0.001,0,P160*undergrid!$AQ$4)</f>
        <v>1.6739999999999999E-5</v>
      </c>
      <c r="W160" s="73">
        <f>undergrid!S160</f>
        <v>0</v>
      </c>
      <c r="X160" s="106">
        <f>IF(undergrid!AI160&gt;0,(undergrid!$AQ$7*W160+undergrid!$AQ$8*undergrid!$AQ$9)*undergrid!$AQ$6,0)+undergrid!AG160*undergrid!$AQ$10</f>
        <v>0</v>
      </c>
      <c r="Y160" s="73">
        <f>undergrid!U160</f>
        <v>4.3755555555555574</v>
      </c>
      <c r="Z160" s="74">
        <f>Y160*undergrid!$AQ$5</f>
        <v>1.7502222222222228E-5</v>
      </c>
      <c r="AA160" s="75">
        <f>Y160*(1-Graphs!$AD$2)</f>
        <v>0.43755555555555564</v>
      </c>
      <c r="AB160" s="73">
        <f>undergrid!W160</f>
        <v>0</v>
      </c>
      <c r="AC160" s="75">
        <f t="shared" si="40"/>
        <v>0</v>
      </c>
      <c r="AD160" s="73">
        <f>undergrid!Y160</f>
        <v>0</v>
      </c>
      <c r="AE160" s="75">
        <f t="shared" si="41"/>
        <v>0</v>
      </c>
      <c r="AF160" s="109">
        <f>undergrid!AA160</f>
        <v>0</v>
      </c>
      <c r="AG160" s="110">
        <f>undergrid!AE160</f>
        <v>0</v>
      </c>
      <c r="AH160" s="93">
        <f t="shared" si="42"/>
        <v>0</v>
      </c>
      <c r="AI160" s="93">
        <f t="shared" si="43"/>
        <v>0</v>
      </c>
      <c r="AJ160" s="93">
        <f t="shared" si="44"/>
        <v>0</v>
      </c>
      <c r="AK160" s="93">
        <f>IF(AH160&gt;0.00001,undergrid!$AM$4,IF(Costs!AI160&gt;0.0001,((undergrid!$AQ$7*W160+undergrid!$AQ$8*undergrid!$AQ$9)*undergrid!$AQ$6)/W160,IF(Costs!AJ160&gt;0.0001,Costs!L160,0)))</f>
        <v>0</v>
      </c>
      <c r="AL160" s="1">
        <v>159</v>
      </c>
      <c r="AM160" s="121">
        <f t="shared" si="34"/>
        <v>4.4447200000000002</v>
      </c>
      <c r="AN160" s="122">
        <f t="shared" si="45"/>
        <v>-3.4242222222222227E-5</v>
      </c>
      <c r="AO160" s="123">
        <f t="shared" si="46"/>
        <v>4.4446857577777781</v>
      </c>
      <c r="AR160" s="114">
        <f t="shared" si="47"/>
        <v>12.308</v>
      </c>
      <c r="AS160" s="32">
        <f t="shared" si="48"/>
        <v>12.745555555555557</v>
      </c>
      <c r="AT160" s="33">
        <f t="shared" si="35"/>
        <v>0.43755555555555681</v>
      </c>
    </row>
    <row r="161" spans="1:46" x14ac:dyDescent="0.3">
      <c r="A161" s="4" t="str">
        <f>undergrid!B161</f>
        <v>h160</v>
      </c>
      <c r="B161" s="73">
        <f>undergrid!C161*2</f>
        <v>4.0199999999999996</v>
      </c>
      <c r="C161" s="74">
        <f>undergrid!$AQ$2*Costs!B161</f>
        <v>2.0099999999999998</v>
      </c>
      <c r="D161" s="74">
        <f t="shared" si="36"/>
        <v>4.0199999999999996</v>
      </c>
      <c r="E161" s="75">
        <f>D161*undergrid!$AQ$2</f>
        <v>2.0099999999999998</v>
      </c>
      <c r="F161" s="73">
        <f>undergrid!E161</f>
        <v>4.3440000000000003</v>
      </c>
      <c r="G161" s="74">
        <f>F161*undergrid!$AQ$3</f>
        <v>0.60816000000000014</v>
      </c>
      <c r="H161" s="74">
        <f t="shared" si="37"/>
        <v>4.3440000000000003</v>
      </c>
      <c r="I161" s="75">
        <f>H161*undergrid!$AQ$3</f>
        <v>0.60816000000000014</v>
      </c>
      <c r="J161" s="73">
        <f>undergrid!G161</f>
        <v>0.13</v>
      </c>
      <c r="K161" s="75">
        <f t="shared" si="38"/>
        <v>0.24907999999999983</v>
      </c>
      <c r="L161" s="73">
        <f>undergrid!I161</f>
        <v>0.15</v>
      </c>
      <c r="M161" s="75">
        <f t="shared" si="39"/>
        <v>0</v>
      </c>
      <c r="N161" s="81">
        <f>undergrid!K161</f>
        <v>2</v>
      </c>
      <c r="O161" s="82"/>
      <c r="P161" s="81">
        <f>undergrid!M161</f>
        <v>10.28</v>
      </c>
      <c r="Q161" s="82"/>
      <c r="R161" s="73">
        <f>undergrid!O161</f>
        <v>0</v>
      </c>
      <c r="S161" s="74">
        <f>R161*undergrid!$AQ$5</f>
        <v>0</v>
      </c>
      <c r="T161" s="75">
        <f>R161*(1-Graphs!$AD$1)</f>
        <v>0</v>
      </c>
      <c r="U161" s="73">
        <f>undergrid!Q161</f>
        <v>10.28</v>
      </c>
      <c r="V161" s="75">
        <f>IF(U161&lt;0.001,0,P161*undergrid!$AQ$4)</f>
        <v>2.0559999999999996E-5</v>
      </c>
      <c r="W161" s="73">
        <f>undergrid!S161</f>
        <v>0</v>
      </c>
      <c r="X161" s="106">
        <f>IF(undergrid!AI161&gt;0,(undergrid!$AQ$7*W161+undergrid!$AQ$8*undergrid!$AQ$9)*undergrid!$AQ$6,0)+undergrid!AG161*undergrid!$AQ$10</f>
        <v>0</v>
      </c>
      <c r="Y161" s="73">
        <f>undergrid!U161</f>
        <v>0</v>
      </c>
      <c r="Z161" s="74">
        <f>Y161*undergrid!$AQ$5</f>
        <v>0</v>
      </c>
      <c r="AA161" s="75">
        <f>Y161*(1-Graphs!$AD$2)</f>
        <v>0</v>
      </c>
      <c r="AB161" s="73">
        <f>undergrid!W161</f>
        <v>0</v>
      </c>
      <c r="AC161" s="75">
        <f t="shared" si="40"/>
        <v>0</v>
      </c>
      <c r="AD161" s="73">
        <f>undergrid!Y161</f>
        <v>1.9159999999999986</v>
      </c>
      <c r="AE161" s="75">
        <f t="shared" si="41"/>
        <v>0.24907999999999983</v>
      </c>
      <c r="AF161" s="109">
        <f>undergrid!AA161</f>
        <v>0</v>
      </c>
      <c r="AG161" s="110">
        <f>undergrid!AE161</f>
        <v>0</v>
      </c>
      <c r="AH161" s="93">
        <f t="shared" si="42"/>
        <v>0</v>
      </c>
      <c r="AI161" s="93">
        <f t="shared" si="43"/>
        <v>0</v>
      </c>
      <c r="AJ161" s="93">
        <f t="shared" si="44"/>
        <v>0</v>
      </c>
      <c r="AK161" s="93">
        <f>IF(AH161&gt;0.00001,undergrid!$AM$4,IF(Costs!AI161&gt;0.0001,((undergrid!$AQ$7*W161+undergrid!$AQ$8*undergrid!$AQ$9)*undergrid!$AQ$6)/W161,IF(Costs!AJ161&gt;0.0001,Costs!L161,0)))</f>
        <v>0</v>
      </c>
      <c r="AL161" s="1">
        <v>160</v>
      </c>
      <c r="AM161" s="121">
        <f t="shared" si="34"/>
        <v>2.8672399999999998</v>
      </c>
      <c r="AN161" s="122">
        <f t="shared" si="45"/>
        <v>-2.0559999999999996E-5</v>
      </c>
      <c r="AO161" s="123">
        <f t="shared" si="46"/>
        <v>2.86721944</v>
      </c>
      <c r="AR161" s="114">
        <f t="shared" si="47"/>
        <v>10.28</v>
      </c>
      <c r="AS161" s="32">
        <f t="shared" si="48"/>
        <v>10.28</v>
      </c>
      <c r="AT161" s="33">
        <f t="shared" si="35"/>
        <v>0</v>
      </c>
    </row>
    <row r="162" spans="1:46" x14ac:dyDescent="0.3">
      <c r="A162" s="4" t="str">
        <f>undergrid!B162</f>
        <v>h161</v>
      </c>
      <c r="B162" s="73">
        <f>undergrid!C162*2</f>
        <v>6.68</v>
      </c>
      <c r="C162" s="74">
        <f>undergrid!$AQ$2*Costs!B162</f>
        <v>3.34</v>
      </c>
      <c r="D162" s="74">
        <f t="shared" si="36"/>
        <v>6.68</v>
      </c>
      <c r="E162" s="75">
        <f>D162*undergrid!$AQ$2</f>
        <v>3.34</v>
      </c>
      <c r="F162" s="73">
        <f>undergrid!E162</f>
        <v>7.2190000000000003</v>
      </c>
      <c r="G162" s="74">
        <f>F162*undergrid!$AQ$3</f>
        <v>1.0106600000000001</v>
      </c>
      <c r="H162" s="74">
        <f t="shared" si="37"/>
        <v>7.2190000000000003</v>
      </c>
      <c r="I162" s="75">
        <f>H162*undergrid!$AQ$3</f>
        <v>1.0106600000000001</v>
      </c>
      <c r="J162" s="73">
        <f>undergrid!G162</f>
        <v>0.13</v>
      </c>
      <c r="K162" s="75">
        <f t="shared" si="38"/>
        <v>0</v>
      </c>
      <c r="L162" s="73">
        <f>undergrid!I162</f>
        <v>0.15</v>
      </c>
      <c r="M162" s="75">
        <f t="shared" si="39"/>
        <v>0</v>
      </c>
      <c r="N162" s="81">
        <f>undergrid!K162</f>
        <v>2</v>
      </c>
      <c r="O162" s="82"/>
      <c r="P162" s="81">
        <f>undergrid!M162</f>
        <v>5.61</v>
      </c>
      <c r="Q162" s="82"/>
      <c r="R162" s="73">
        <f>undergrid!O162</f>
        <v>0</v>
      </c>
      <c r="S162" s="74">
        <f>R162*undergrid!$AQ$5</f>
        <v>0</v>
      </c>
      <c r="T162" s="75">
        <f>R162*(1-Graphs!$AD$1)</f>
        <v>0</v>
      </c>
      <c r="U162" s="73">
        <f>undergrid!Q162</f>
        <v>5.61</v>
      </c>
      <c r="V162" s="75">
        <f>IF(U162&lt;0.001,0,P162*undergrid!$AQ$4)</f>
        <v>1.1219999999999999E-5</v>
      </c>
      <c r="W162" s="73">
        <f>undergrid!S162</f>
        <v>0</v>
      </c>
      <c r="X162" s="106">
        <f>IF(undergrid!AI162&gt;0,(undergrid!$AQ$7*W162+undergrid!$AQ$8*undergrid!$AQ$9)*undergrid!$AQ$6,0)+undergrid!AG162*undergrid!$AQ$10</f>
        <v>0</v>
      </c>
      <c r="Y162" s="73">
        <f>undergrid!U162</f>
        <v>9.2100000000000009</v>
      </c>
      <c r="Z162" s="74">
        <f>Y162*undergrid!$AQ$5</f>
        <v>3.684E-5</v>
      </c>
      <c r="AA162" s="75">
        <f>Y162*(1-Graphs!$AD$2)</f>
        <v>0.92099999999999993</v>
      </c>
      <c r="AB162" s="73">
        <f>undergrid!W162</f>
        <v>0</v>
      </c>
      <c r="AC162" s="75">
        <f t="shared" si="40"/>
        <v>0</v>
      </c>
      <c r="AD162" s="73">
        <f>undergrid!Y162</f>
        <v>0</v>
      </c>
      <c r="AE162" s="75">
        <f t="shared" si="41"/>
        <v>0</v>
      </c>
      <c r="AF162" s="109">
        <f>undergrid!AA162</f>
        <v>0</v>
      </c>
      <c r="AG162" s="110">
        <f>undergrid!AE162</f>
        <v>0</v>
      </c>
      <c r="AH162" s="93">
        <f t="shared" si="42"/>
        <v>0</v>
      </c>
      <c r="AI162" s="93">
        <f t="shared" si="43"/>
        <v>0</v>
      </c>
      <c r="AJ162" s="93">
        <f t="shared" si="44"/>
        <v>0</v>
      </c>
      <c r="AK162" s="93">
        <f>IF(AH162&gt;0.00001,undergrid!$AM$4,IF(Costs!AI162&gt;0.0001,((undergrid!$AQ$7*W162+undergrid!$AQ$8*undergrid!$AQ$9)*undergrid!$AQ$6)/W162,IF(Costs!AJ162&gt;0.0001,Costs!L162,0)))</f>
        <v>0</v>
      </c>
      <c r="AL162" s="1">
        <v>161</v>
      </c>
      <c r="AM162" s="121">
        <f t="shared" ref="AM162:AM169" si="49">E162+I162+AE162</f>
        <v>4.3506599999999995</v>
      </c>
      <c r="AN162" s="122">
        <f t="shared" si="45"/>
        <v>-4.8059999999999997E-5</v>
      </c>
      <c r="AO162" s="123">
        <f t="shared" si="46"/>
        <v>4.3506119399999994</v>
      </c>
      <c r="AR162" s="114">
        <f t="shared" si="47"/>
        <v>13.899000000000001</v>
      </c>
      <c r="AS162" s="32">
        <f t="shared" si="48"/>
        <v>14.82</v>
      </c>
      <c r="AT162" s="33">
        <f t="shared" ref="AT162:AT169" si="50">AS162-AR162</f>
        <v>0.92099999999999937</v>
      </c>
    </row>
    <row r="163" spans="1:46" x14ac:dyDescent="0.3">
      <c r="A163" s="4" t="str">
        <f>undergrid!B163</f>
        <v>h162</v>
      </c>
      <c r="B163" s="73">
        <f>undergrid!C163*2</f>
        <v>5.14</v>
      </c>
      <c r="C163" s="74">
        <f>undergrid!$AQ$2*Costs!B163</f>
        <v>2.57</v>
      </c>
      <c r="D163" s="74">
        <f t="shared" si="36"/>
        <v>5.14</v>
      </c>
      <c r="E163" s="75">
        <f>D163*undergrid!$AQ$2</f>
        <v>2.57</v>
      </c>
      <c r="F163" s="73">
        <f>undergrid!E163</f>
        <v>4.6959999999999997</v>
      </c>
      <c r="G163" s="74">
        <f>F163*undergrid!$AQ$3</f>
        <v>0.65744000000000002</v>
      </c>
      <c r="H163" s="74">
        <f t="shared" si="37"/>
        <v>4.6959999999999997</v>
      </c>
      <c r="I163" s="75">
        <f>H163*undergrid!$AQ$3</f>
        <v>0.65744000000000002</v>
      </c>
      <c r="J163" s="73">
        <f>undergrid!G163</f>
        <v>0.13</v>
      </c>
      <c r="K163" s="75">
        <f t="shared" si="38"/>
        <v>0</v>
      </c>
      <c r="L163" s="73">
        <f>undergrid!I163</f>
        <v>0.15</v>
      </c>
      <c r="M163" s="75">
        <f t="shared" si="39"/>
        <v>0.73314907422617537</v>
      </c>
      <c r="N163" s="81">
        <f>undergrid!K163</f>
        <v>2</v>
      </c>
      <c r="O163" s="82"/>
      <c r="P163" s="81">
        <f>undergrid!M163</f>
        <v>6.3E-10</v>
      </c>
      <c r="Q163" s="82"/>
      <c r="R163" s="73">
        <f>undergrid!O163</f>
        <v>0</v>
      </c>
      <c r="S163" s="74">
        <f>R163*undergrid!$AQ$5</f>
        <v>0</v>
      </c>
      <c r="T163" s="75">
        <f>R163*(1-Graphs!$AD$1)</f>
        <v>0</v>
      </c>
      <c r="U163" s="73">
        <f>undergrid!Q163</f>
        <v>0</v>
      </c>
      <c r="V163" s="75">
        <f>IF(U163&lt;0.001,0,P163*undergrid!$AQ$4)</f>
        <v>0</v>
      </c>
      <c r="W163" s="73">
        <f>undergrid!S163</f>
        <v>0</v>
      </c>
      <c r="X163" s="106">
        <f>IF(undergrid!AI163&gt;0,(undergrid!$AQ$7*W163+undergrid!$AQ$8*undergrid!$AQ$9)*undergrid!$AQ$6,0)+undergrid!AG163*undergrid!$AQ$10</f>
        <v>0</v>
      </c>
      <c r="Y163" s="73">
        <f>undergrid!U163</f>
        <v>5.4981550050320322</v>
      </c>
      <c r="Z163" s="74">
        <f>Y163*undergrid!$AQ$5</f>
        <v>2.1992620020128127E-5</v>
      </c>
      <c r="AA163" s="75">
        <f>Y163*(1-Graphs!$AD$2)</f>
        <v>0.54981550050320316</v>
      </c>
      <c r="AB163" s="73">
        <f>undergrid!W163</f>
        <v>4.8876604948411693</v>
      </c>
      <c r="AC163" s="75">
        <f t="shared" si="40"/>
        <v>0.73314907422617537</v>
      </c>
      <c r="AD163" s="73">
        <f>undergrid!Y163</f>
        <v>0</v>
      </c>
      <c r="AE163" s="75">
        <f t="shared" si="41"/>
        <v>0</v>
      </c>
      <c r="AF163" s="109">
        <f>undergrid!AA163</f>
        <v>0</v>
      </c>
      <c r="AG163" s="110">
        <f>undergrid!AE163</f>
        <v>0</v>
      </c>
      <c r="AH163" s="93">
        <f t="shared" si="42"/>
        <v>0</v>
      </c>
      <c r="AI163" s="93">
        <f t="shared" si="43"/>
        <v>0</v>
      </c>
      <c r="AJ163" s="93">
        <f t="shared" si="44"/>
        <v>0</v>
      </c>
      <c r="AK163" s="93">
        <f>IF(AH163&gt;0.00001,undergrid!$AM$4,IF(Costs!AI163&gt;0.0001,((undergrid!$AQ$7*W163+undergrid!$AQ$8*undergrid!$AQ$9)*undergrid!$AQ$6)/W163,IF(Costs!AJ163&gt;0.0001,Costs!L163,0)))</f>
        <v>0</v>
      </c>
      <c r="AL163" s="1">
        <v>162</v>
      </c>
      <c r="AM163" s="121">
        <f t="shared" si="49"/>
        <v>3.2274399999999996</v>
      </c>
      <c r="AN163" s="122">
        <f t="shared" si="45"/>
        <v>-0.73317106684619548</v>
      </c>
      <c r="AO163" s="123">
        <f t="shared" si="46"/>
        <v>2.4942689331538039</v>
      </c>
      <c r="AR163" s="114">
        <f t="shared" si="47"/>
        <v>9.8359999999999985</v>
      </c>
      <c r="AS163" s="32">
        <f t="shared" si="48"/>
        <v>10.385815499873202</v>
      </c>
      <c r="AT163" s="33">
        <f t="shared" si="50"/>
        <v>0.549815499873203</v>
      </c>
    </row>
    <row r="164" spans="1:46" x14ac:dyDescent="0.3">
      <c r="A164" s="4" t="str">
        <f>undergrid!B164</f>
        <v>h163</v>
      </c>
      <c r="B164" s="73">
        <f>undergrid!C164*2</f>
        <v>5.14</v>
      </c>
      <c r="C164" s="74">
        <f>undergrid!$AQ$2*Costs!B164</f>
        <v>2.57</v>
      </c>
      <c r="D164" s="74">
        <f t="shared" si="36"/>
        <v>5.14</v>
      </c>
      <c r="E164" s="75">
        <f>D164*undergrid!$AQ$2</f>
        <v>2.57</v>
      </c>
      <c r="F164" s="73">
        <f>undergrid!E164</f>
        <v>2.1030000000000002</v>
      </c>
      <c r="G164" s="74">
        <f>F164*undergrid!$AQ$3</f>
        <v>0.29442000000000007</v>
      </c>
      <c r="H164" s="74">
        <f t="shared" si="37"/>
        <v>2.1030000000000002</v>
      </c>
      <c r="I164" s="75">
        <f>H164*undergrid!$AQ$3</f>
        <v>0.29442000000000007</v>
      </c>
      <c r="J164" s="73">
        <f>undergrid!G164</f>
        <v>0.13</v>
      </c>
      <c r="K164" s="75">
        <f t="shared" si="38"/>
        <v>0</v>
      </c>
      <c r="L164" s="73">
        <f>undergrid!I164</f>
        <v>0.15</v>
      </c>
      <c r="M164" s="75">
        <f t="shared" si="39"/>
        <v>0</v>
      </c>
      <c r="N164" s="81">
        <f>undergrid!K164</f>
        <v>1</v>
      </c>
      <c r="O164" s="82"/>
      <c r="P164" s="81">
        <f>undergrid!M164</f>
        <v>6.6999999999999996E-10</v>
      </c>
      <c r="Q164" s="82"/>
      <c r="R164" s="73">
        <f>undergrid!O164</f>
        <v>0</v>
      </c>
      <c r="S164" s="74">
        <f>R164*undergrid!$AQ$5</f>
        <v>0</v>
      </c>
      <c r="T164" s="75">
        <f>R164*(1-Graphs!$AD$1)</f>
        <v>0</v>
      </c>
      <c r="U164" s="73">
        <f>undergrid!Q164</f>
        <v>0</v>
      </c>
      <c r="V164" s="75">
        <f>IF(U164&lt;0.001,0,P164*undergrid!$AQ$4)</f>
        <v>0</v>
      </c>
      <c r="W164" s="73">
        <f>undergrid!S164</f>
        <v>0</v>
      </c>
      <c r="X164" s="106">
        <f>IF(undergrid!AI164&gt;0,(undergrid!$AQ$7*W164+undergrid!$AQ$8*undergrid!$AQ$9)*undergrid!$AQ$6,0)+undergrid!AG164*undergrid!$AQ$10</f>
        <v>0</v>
      </c>
      <c r="Y164" s="73">
        <f>undergrid!U164</f>
        <v>8.0477777770333336</v>
      </c>
      <c r="Z164" s="74">
        <f>Y164*undergrid!$AQ$5</f>
        <v>3.2191111108133332E-5</v>
      </c>
      <c r="AA164" s="75">
        <f>Y164*(1-Graphs!$AD$2)</f>
        <v>0.80477777770333314</v>
      </c>
      <c r="AB164" s="73">
        <f>undergrid!W164</f>
        <v>0</v>
      </c>
      <c r="AC164" s="75">
        <f t="shared" si="40"/>
        <v>0</v>
      </c>
      <c r="AD164" s="73">
        <f>undergrid!Y164</f>
        <v>0</v>
      </c>
      <c r="AE164" s="75">
        <f t="shared" si="41"/>
        <v>0</v>
      </c>
      <c r="AF164" s="109">
        <f>undergrid!AA164</f>
        <v>0</v>
      </c>
      <c r="AG164" s="110">
        <f>undergrid!AE164</f>
        <v>0</v>
      </c>
      <c r="AH164" s="93">
        <f t="shared" si="42"/>
        <v>0</v>
      </c>
      <c r="AI164" s="93">
        <f t="shared" si="43"/>
        <v>0</v>
      </c>
      <c r="AJ164" s="93">
        <f t="shared" si="44"/>
        <v>0</v>
      </c>
      <c r="AK164" s="93">
        <f>IF(AH164&gt;0.00001,undergrid!$AM$4,IF(Costs!AI164&gt;0.0001,((undergrid!$AQ$7*W164+undergrid!$AQ$8*undergrid!$AQ$9)*undergrid!$AQ$6)/W164,IF(Costs!AJ164&gt;0.0001,Costs!L164,0)))</f>
        <v>0</v>
      </c>
      <c r="AL164" s="1">
        <v>163</v>
      </c>
      <c r="AM164" s="121">
        <f t="shared" si="49"/>
        <v>2.86442</v>
      </c>
      <c r="AN164" s="122">
        <f t="shared" si="45"/>
        <v>-3.2191111108133332E-5</v>
      </c>
      <c r="AO164" s="123">
        <f t="shared" si="46"/>
        <v>2.8643878088888917</v>
      </c>
      <c r="AR164" s="114">
        <f t="shared" si="47"/>
        <v>7.2430000000000003</v>
      </c>
      <c r="AS164" s="32">
        <f t="shared" si="48"/>
        <v>8.0477777770333336</v>
      </c>
      <c r="AT164" s="33">
        <f t="shared" si="50"/>
        <v>0.80477777703333331</v>
      </c>
    </row>
    <row r="165" spans="1:46" x14ac:dyDescent="0.3">
      <c r="A165" s="4" t="str">
        <f>undergrid!B165</f>
        <v>h164</v>
      </c>
      <c r="B165" s="73">
        <f>undergrid!C165*2</f>
        <v>3.7</v>
      </c>
      <c r="C165" s="74">
        <f>undergrid!$AQ$2*Costs!B165</f>
        <v>1.85</v>
      </c>
      <c r="D165" s="74">
        <f t="shared" si="36"/>
        <v>3.7</v>
      </c>
      <c r="E165" s="75">
        <f>D165*undergrid!$AQ$2</f>
        <v>1.85</v>
      </c>
      <c r="F165" s="73">
        <f>undergrid!E165</f>
        <v>2.4540000000000002</v>
      </c>
      <c r="G165" s="74">
        <f>F165*undergrid!$AQ$3</f>
        <v>0.34356000000000003</v>
      </c>
      <c r="H165" s="74">
        <f t="shared" si="37"/>
        <v>2.4540000000000002</v>
      </c>
      <c r="I165" s="75">
        <f>H165*undergrid!$AQ$3</f>
        <v>0.34356000000000003</v>
      </c>
      <c r="J165" s="73">
        <f>undergrid!G165</f>
        <v>0.13</v>
      </c>
      <c r="K165" s="75">
        <f t="shared" si="38"/>
        <v>0</v>
      </c>
      <c r="L165" s="73">
        <f>undergrid!I165</f>
        <v>0.15</v>
      </c>
      <c r="M165" s="75">
        <f t="shared" si="39"/>
        <v>0</v>
      </c>
      <c r="N165" s="81">
        <f>undergrid!K165</f>
        <v>1</v>
      </c>
      <c r="O165" s="82"/>
      <c r="P165" s="81">
        <f>undergrid!M165</f>
        <v>6.3999999999999996E-10</v>
      </c>
      <c r="Q165" s="82"/>
      <c r="R165" s="73">
        <f>undergrid!O165</f>
        <v>0</v>
      </c>
      <c r="S165" s="74">
        <f>R165*undergrid!$AQ$5</f>
        <v>0</v>
      </c>
      <c r="T165" s="75">
        <f>R165*(1-Graphs!$AD$1)</f>
        <v>0</v>
      </c>
      <c r="U165" s="73">
        <f>undergrid!Q165</f>
        <v>0</v>
      </c>
      <c r="V165" s="75">
        <f>IF(U165&lt;0.001,0,P165*undergrid!$AQ$4)</f>
        <v>0</v>
      </c>
      <c r="W165" s="73">
        <f>undergrid!S165</f>
        <v>0</v>
      </c>
      <c r="X165" s="106">
        <f>IF(undergrid!AI165&gt;0,(undergrid!$AQ$7*W165+undergrid!$AQ$8*undergrid!$AQ$9)*undergrid!$AQ$6,0)+undergrid!AG165*undergrid!$AQ$10</f>
        <v>0</v>
      </c>
      <c r="Y165" s="73">
        <f>undergrid!U165</f>
        <v>6.837777777066667</v>
      </c>
      <c r="Z165" s="74">
        <f>Y165*undergrid!$AQ$5</f>
        <v>2.7351111108266667E-5</v>
      </c>
      <c r="AA165" s="75">
        <f>Y165*(1-Graphs!$AD$2)</f>
        <v>0.68377777770666659</v>
      </c>
      <c r="AB165" s="73">
        <f>undergrid!W165</f>
        <v>0</v>
      </c>
      <c r="AC165" s="75">
        <f t="shared" si="40"/>
        <v>0</v>
      </c>
      <c r="AD165" s="73">
        <f>undergrid!Y165</f>
        <v>0</v>
      </c>
      <c r="AE165" s="75">
        <f t="shared" si="41"/>
        <v>0</v>
      </c>
      <c r="AF165" s="109">
        <f>undergrid!AA165</f>
        <v>0</v>
      </c>
      <c r="AG165" s="110">
        <f>undergrid!AE165</f>
        <v>0</v>
      </c>
      <c r="AH165" s="93">
        <f t="shared" si="42"/>
        <v>0</v>
      </c>
      <c r="AI165" s="93">
        <f t="shared" si="43"/>
        <v>0</v>
      </c>
      <c r="AJ165" s="93">
        <f t="shared" si="44"/>
        <v>0</v>
      </c>
      <c r="AK165" s="93">
        <f>IF(AH165&gt;0.00001,undergrid!$AM$4,IF(Costs!AI165&gt;0.0001,((undergrid!$AQ$7*W165+undergrid!$AQ$8*undergrid!$AQ$9)*undergrid!$AQ$6)/W165,IF(Costs!AJ165&gt;0.0001,Costs!L165,0)))</f>
        <v>0</v>
      </c>
      <c r="AL165" s="1">
        <v>164</v>
      </c>
      <c r="AM165" s="121">
        <f t="shared" si="49"/>
        <v>2.1935600000000002</v>
      </c>
      <c r="AN165" s="122">
        <f t="shared" si="45"/>
        <v>-2.7351111108266667E-5</v>
      </c>
      <c r="AO165" s="123">
        <f t="shared" si="46"/>
        <v>2.1935326488888918</v>
      </c>
      <c r="AR165" s="114">
        <f t="shared" si="47"/>
        <v>6.1539999999999999</v>
      </c>
      <c r="AS165" s="32">
        <f t="shared" si="48"/>
        <v>6.837777777066667</v>
      </c>
      <c r="AT165" s="33">
        <f t="shared" si="50"/>
        <v>0.68377777706666709</v>
      </c>
    </row>
    <row r="166" spans="1:46" x14ac:dyDescent="0.3">
      <c r="A166" s="4" t="str">
        <f>undergrid!B166</f>
        <v>h165</v>
      </c>
      <c r="B166" s="73">
        <f>undergrid!C166*2</f>
        <v>13.42</v>
      </c>
      <c r="C166" s="74">
        <f>undergrid!$AQ$2*Costs!B166</f>
        <v>6.71</v>
      </c>
      <c r="D166" s="74">
        <f t="shared" si="36"/>
        <v>13.42</v>
      </c>
      <c r="E166" s="75">
        <f>D166*undergrid!$AQ$2</f>
        <v>6.71</v>
      </c>
      <c r="F166" s="73">
        <f>undergrid!E166</f>
        <v>2.4390000000000001</v>
      </c>
      <c r="G166" s="74">
        <f>F166*undergrid!$AQ$3</f>
        <v>0.34146000000000004</v>
      </c>
      <c r="H166" s="74">
        <f t="shared" si="37"/>
        <v>2.4390000000000001</v>
      </c>
      <c r="I166" s="75">
        <f>H166*undergrid!$AQ$3</f>
        <v>0.34146000000000004</v>
      </c>
      <c r="J166" s="73">
        <f>undergrid!G166</f>
        <v>0.13</v>
      </c>
      <c r="K166" s="75">
        <f t="shared" si="38"/>
        <v>0</v>
      </c>
      <c r="L166" s="73">
        <f>undergrid!I166</f>
        <v>0.15</v>
      </c>
      <c r="M166" s="75">
        <f t="shared" si="39"/>
        <v>0</v>
      </c>
      <c r="N166" s="81">
        <f>undergrid!K166</f>
        <v>1</v>
      </c>
      <c r="O166" s="82"/>
      <c r="P166" s="81">
        <f>undergrid!M166</f>
        <v>6.3999999999999996E-10</v>
      </c>
      <c r="Q166" s="82"/>
      <c r="R166" s="73">
        <f>undergrid!O166</f>
        <v>0</v>
      </c>
      <c r="S166" s="74">
        <f>R166*undergrid!$AQ$5</f>
        <v>0</v>
      </c>
      <c r="T166" s="75">
        <f>R166*(1-Graphs!$AD$1)</f>
        <v>0</v>
      </c>
      <c r="U166" s="73">
        <f>undergrid!Q166</f>
        <v>0</v>
      </c>
      <c r="V166" s="75">
        <f>IF(U166&lt;0.001,0,P166*undergrid!$AQ$4)</f>
        <v>0</v>
      </c>
      <c r="W166" s="73">
        <f>undergrid!S166</f>
        <v>0</v>
      </c>
      <c r="X166" s="106">
        <f>IF(undergrid!AI166&gt;0,(undergrid!$AQ$7*W166+undergrid!$AQ$8*undergrid!$AQ$9)*undergrid!$AQ$6,0)+undergrid!AG166*undergrid!$AQ$10</f>
        <v>0</v>
      </c>
      <c r="Y166" s="73">
        <f>undergrid!U166</f>
        <v>17.621111110400001</v>
      </c>
      <c r="Z166" s="74">
        <f>Y166*undergrid!$AQ$5</f>
        <v>7.0484444441600003E-5</v>
      </c>
      <c r="AA166" s="75">
        <f>Y166*(1-Graphs!$AD$2)</f>
        <v>1.7621111110399996</v>
      </c>
      <c r="AB166" s="73">
        <f>undergrid!W166</f>
        <v>0</v>
      </c>
      <c r="AC166" s="75">
        <f t="shared" si="40"/>
        <v>0</v>
      </c>
      <c r="AD166" s="73">
        <f>undergrid!Y166</f>
        <v>0</v>
      </c>
      <c r="AE166" s="75">
        <f t="shared" si="41"/>
        <v>0</v>
      </c>
      <c r="AF166" s="109">
        <f>undergrid!AA166</f>
        <v>0</v>
      </c>
      <c r="AG166" s="110">
        <f>undergrid!AE166</f>
        <v>0</v>
      </c>
      <c r="AH166" s="93">
        <f t="shared" si="42"/>
        <v>0</v>
      </c>
      <c r="AI166" s="93">
        <f t="shared" si="43"/>
        <v>0</v>
      </c>
      <c r="AJ166" s="93">
        <f t="shared" si="44"/>
        <v>0</v>
      </c>
      <c r="AK166" s="93">
        <f>IF(AH166&gt;0.00001,undergrid!$AM$4,IF(Costs!AI166&gt;0.0001,((undergrid!$AQ$7*W166+undergrid!$AQ$8*undergrid!$AQ$9)*undergrid!$AQ$6)/W166,IF(Costs!AJ166&gt;0.0001,Costs!L166,0)))</f>
        <v>0</v>
      </c>
      <c r="AL166" s="1">
        <v>165</v>
      </c>
      <c r="AM166" s="121">
        <f t="shared" si="49"/>
        <v>7.0514599999999996</v>
      </c>
      <c r="AN166" s="122">
        <f t="shared" si="45"/>
        <v>-7.0484444441600003E-5</v>
      </c>
      <c r="AO166" s="123">
        <f t="shared" si="46"/>
        <v>7.0513895155555577</v>
      </c>
      <c r="AR166" s="114">
        <f t="shared" si="47"/>
        <v>15.859</v>
      </c>
      <c r="AS166" s="32">
        <f t="shared" si="48"/>
        <v>17.621111110400001</v>
      </c>
      <c r="AT166" s="33">
        <f t="shared" si="50"/>
        <v>1.7621111104000011</v>
      </c>
    </row>
    <row r="167" spans="1:46" x14ac:dyDescent="0.3">
      <c r="A167" s="4" t="str">
        <f>undergrid!B167</f>
        <v>h166</v>
      </c>
      <c r="B167" s="73">
        <f>undergrid!C167*2</f>
        <v>4.3600000000000003</v>
      </c>
      <c r="C167" s="74">
        <f>undergrid!$AQ$2*Costs!B167</f>
        <v>2.1800000000000002</v>
      </c>
      <c r="D167" s="74">
        <f t="shared" si="36"/>
        <v>4.3600000000000003</v>
      </c>
      <c r="E167" s="75">
        <f>D167*undergrid!$AQ$2</f>
        <v>2.1800000000000002</v>
      </c>
      <c r="F167" s="73">
        <f>undergrid!E167</f>
        <v>0.50700000000000001</v>
      </c>
      <c r="G167" s="74">
        <f>F167*undergrid!$AQ$3</f>
        <v>7.0980000000000001E-2</v>
      </c>
      <c r="H167" s="74">
        <f t="shared" si="37"/>
        <v>0.50700000000000001</v>
      </c>
      <c r="I167" s="75">
        <f>H167*undergrid!$AQ$3</f>
        <v>7.0980000000000001E-2</v>
      </c>
      <c r="J167" s="73">
        <f>undergrid!G167</f>
        <v>0.13</v>
      </c>
      <c r="K167" s="75">
        <f t="shared" si="38"/>
        <v>0</v>
      </c>
      <c r="L167" s="73">
        <f>undergrid!I167</f>
        <v>0.15</v>
      </c>
      <c r="M167" s="75">
        <f t="shared" si="39"/>
        <v>0</v>
      </c>
      <c r="N167" s="81">
        <f>undergrid!K167</f>
        <v>1</v>
      </c>
      <c r="O167" s="82"/>
      <c r="P167" s="81">
        <f>undergrid!M167</f>
        <v>6.3999999999999996E-10</v>
      </c>
      <c r="Q167" s="82"/>
      <c r="R167" s="73">
        <f>undergrid!O167</f>
        <v>0</v>
      </c>
      <c r="S167" s="74">
        <f>R167*undergrid!$AQ$5</f>
        <v>0</v>
      </c>
      <c r="T167" s="75">
        <f>R167*(1-Graphs!$AD$1)</f>
        <v>0</v>
      </c>
      <c r="U167" s="73">
        <f>undergrid!Q167</f>
        <v>0</v>
      </c>
      <c r="V167" s="75">
        <f>IF(U167&lt;0.001,0,P167*undergrid!$AQ$4)</f>
        <v>0</v>
      </c>
      <c r="W167" s="73">
        <f>undergrid!S167</f>
        <v>0</v>
      </c>
      <c r="X167" s="106">
        <f>IF(undergrid!AI167&gt;0,(undergrid!$AQ$7*W167+undergrid!$AQ$8*undergrid!$AQ$9)*undergrid!$AQ$6,0)+undergrid!AG167*undergrid!$AQ$10</f>
        <v>0</v>
      </c>
      <c r="Y167" s="73">
        <f>undergrid!U167</f>
        <v>5.4077777770666664</v>
      </c>
      <c r="Z167" s="74">
        <f>Y167*undergrid!$AQ$5</f>
        <v>2.1631111108266664E-5</v>
      </c>
      <c r="AA167" s="75">
        <f>Y167*(1-Graphs!$AD$2)</f>
        <v>0.54077777770666657</v>
      </c>
      <c r="AB167" s="73">
        <f>undergrid!W167</f>
        <v>0</v>
      </c>
      <c r="AC167" s="75">
        <f t="shared" si="40"/>
        <v>0</v>
      </c>
      <c r="AD167" s="73">
        <f>undergrid!Y167</f>
        <v>0</v>
      </c>
      <c r="AE167" s="75">
        <f t="shared" si="41"/>
        <v>0</v>
      </c>
      <c r="AF167" s="109">
        <f>undergrid!AA167</f>
        <v>0</v>
      </c>
      <c r="AG167" s="110">
        <f>undergrid!AE167</f>
        <v>0</v>
      </c>
      <c r="AH167" s="93">
        <f t="shared" si="42"/>
        <v>0</v>
      </c>
      <c r="AI167" s="93">
        <f t="shared" si="43"/>
        <v>0</v>
      </c>
      <c r="AJ167" s="93">
        <f t="shared" si="44"/>
        <v>0</v>
      </c>
      <c r="AK167" s="93">
        <f>IF(AH167&gt;0.00001,undergrid!$AM$4,IF(Costs!AI167&gt;0.0001,((undergrid!$AQ$7*W167+undergrid!$AQ$8*undergrid!$AQ$9)*undergrid!$AQ$6)/W167,IF(Costs!AJ167&gt;0.0001,Costs!L167,0)))</f>
        <v>0</v>
      </c>
      <c r="AL167" s="1">
        <v>166</v>
      </c>
      <c r="AM167" s="121">
        <f t="shared" si="49"/>
        <v>2.2509800000000002</v>
      </c>
      <c r="AN167" s="122">
        <f t="shared" si="45"/>
        <v>-2.1631111108266664E-5</v>
      </c>
      <c r="AO167" s="123">
        <f t="shared" si="46"/>
        <v>2.2509583688888921</v>
      </c>
      <c r="AR167" s="114">
        <f t="shared" si="47"/>
        <v>4.867</v>
      </c>
      <c r="AS167" s="32">
        <f t="shared" si="48"/>
        <v>5.4077777770666664</v>
      </c>
      <c r="AT167" s="33">
        <f t="shared" si="50"/>
        <v>0.54077777706666641</v>
      </c>
    </row>
    <row r="168" spans="1:46" x14ac:dyDescent="0.3">
      <c r="A168" s="4" t="str">
        <f>undergrid!B168</f>
        <v>h167</v>
      </c>
      <c r="B168" s="73">
        <f>undergrid!C168*2</f>
        <v>5.16</v>
      </c>
      <c r="C168" s="74">
        <f>undergrid!$AQ$2*Costs!B168</f>
        <v>2.58</v>
      </c>
      <c r="D168" s="74">
        <f t="shared" si="36"/>
        <v>5.16</v>
      </c>
      <c r="E168" s="75">
        <f>D168*undergrid!$AQ$2</f>
        <v>2.58</v>
      </c>
      <c r="F168" s="73">
        <f>undergrid!E168</f>
        <v>1.5980000000000001</v>
      </c>
      <c r="G168" s="74">
        <f>F168*undergrid!$AQ$3</f>
        <v>0.22372000000000003</v>
      </c>
      <c r="H168" s="74">
        <f t="shared" si="37"/>
        <v>1.5980000000000001</v>
      </c>
      <c r="I168" s="75">
        <f>H168*undergrid!$AQ$3</f>
        <v>0.22372000000000003</v>
      </c>
      <c r="J168" s="73">
        <f>undergrid!G168</f>
        <v>0.08</v>
      </c>
      <c r="K168" s="75">
        <f t="shared" si="38"/>
        <v>0</v>
      </c>
      <c r="L168" s="73">
        <f>undergrid!I168</f>
        <v>0.1</v>
      </c>
      <c r="M168" s="75">
        <f t="shared" si="39"/>
        <v>0.67598812983521572</v>
      </c>
      <c r="N168" s="81">
        <f>undergrid!K168</f>
        <v>2</v>
      </c>
      <c r="O168" s="82"/>
      <c r="P168" s="81">
        <f>undergrid!M168</f>
        <v>6.3999999999999996E-10</v>
      </c>
      <c r="Q168" s="82"/>
      <c r="R168" s="73">
        <f>undergrid!O168</f>
        <v>1.6799999999967952E-3</v>
      </c>
      <c r="S168" s="74">
        <f>R168*undergrid!$AQ$5</f>
        <v>6.7199999999871803E-9</v>
      </c>
      <c r="T168" s="75">
        <f>R168*(1-Graphs!$AD$1)</f>
        <v>8.3999999999839832E-5</v>
      </c>
      <c r="U168" s="73">
        <f>undergrid!Q168</f>
        <v>0</v>
      </c>
      <c r="V168" s="75">
        <f>IF(U168&lt;0.001,0,P168*undergrid!$AQ$4)</f>
        <v>0</v>
      </c>
      <c r="W168" s="73">
        <f>undergrid!S168</f>
        <v>0</v>
      </c>
      <c r="X168" s="106">
        <f>IF(undergrid!AI168&gt;0,(undergrid!$AQ$7*W168+undergrid!$AQ$8*undergrid!$AQ$9)*undergrid!$AQ$6,0)+undergrid!AG168*undergrid!$AQ$10</f>
        <v>0</v>
      </c>
      <c r="Y168" s="73">
        <f>undergrid!U168</f>
        <v>0</v>
      </c>
      <c r="Z168" s="74">
        <f>Y168*undergrid!$AQ$5</f>
        <v>0</v>
      </c>
      <c r="AA168" s="75">
        <f>Y168*(1-Graphs!$AD$2)</f>
        <v>0</v>
      </c>
      <c r="AB168" s="73">
        <f>undergrid!W168</f>
        <v>6.7598812983521572</v>
      </c>
      <c r="AC168" s="75">
        <f t="shared" si="40"/>
        <v>0.67598812983521572</v>
      </c>
      <c r="AD168" s="73">
        <f>undergrid!Y168</f>
        <v>0</v>
      </c>
      <c r="AE168" s="75">
        <f t="shared" si="41"/>
        <v>0</v>
      </c>
      <c r="AF168" s="109">
        <f>undergrid!AA168</f>
        <v>0</v>
      </c>
      <c r="AG168" s="110">
        <f>undergrid!AE168</f>
        <v>0</v>
      </c>
      <c r="AH168" s="93">
        <f t="shared" si="42"/>
        <v>0</v>
      </c>
      <c r="AI168" s="93">
        <f t="shared" si="43"/>
        <v>0</v>
      </c>
      <c r="AJ168" s="93">
        <f t="shared" si="44"/>
        <v>1.8812983521570015E-3</v>
      </c>
      <c r="AK168" s="93">
        <f>IF(AH168&gt;0.00001,undergrid!$AM$4,IF(Costs!AI168&gt;0.0001,((undergrid!$AQ$7*W168+undergrid!$AQ$8*undergrid!$AQ$9)*undergrid!$AQ$6)/W168,IF(Costs!AJ168&gt;0.0001,Costs!L168,0)))</f>
        <v>0.1</v>
      </c>
      <c r="AL168" s="1">
        <v>167</v>
      </c>
      <c r="AM168" s="121">
        <f t="shared" si="49"/>
        <v>2.8037200000000002</v>
      </c>
      <c r="AN168" s="122">
        <f t="shared" si="45"/>
        <v>-0.67598813655521572</v>
      </c>
      <c r="AO168" s="123">
        <f t="shared" si="46"/>
        <v>2.1277318634447844</v>
      </c>
      <c r="AR168" s="114">
        <f t="shared" si="47"/>
        <v>6.7596799999999968</v>
      </c>
      <c r="AS168" s="32">
        <f t="shared" si="48"/>
        <v>6.7598812983521572</v>
      </c>
      <c r="AT168" s="33">
        <f t="shared" si="50"/>
        <v>2.0129835216042835E-4</v>
      </c>
    </row>
    <row r="169" spans="1:46" ht="15" thickBot="1" x14ac:dyDescent="0.35">
      <c r="A169" s="4" t="str">
        <f>undergrid!B169</f>
        <v>h168</v>
      </c>
      <c r="B169" s="76">
        <f>undergrid!C169*2</f>
        <v>3.62</v>
      </c>
      <c r="C169" s="77">
        <f>undergrid!$AQ$2*Costs!B169</f>
        <v>1.81</v>
      </c>
      <c r="D169" s="77">
        <f t="shared" si="36"/>
        <v>3.62</v>
      </c>
      <c r="E169" s="78">
        <f>D169*undergrid!$AQ$2</f>
        <v>1.81</v>
      </c>
      <c r="F169" s="76">
        <f>undergrid!E169</f>
        <v>1.4219999999999999</v>
      </c>
      <c r="G169" s="77">
        <f>F169*undergrid!$AQ$3</f>
        <v>0.19908000000000001</v>
      </c>
      <c r="H169" s="74">
        <f t="shared" si="37"/>
        <v>1.4219999999999999</v>
      </c>
      <c r="I169" s="75">
        <f>H169*undergrid!$AQ$3</f>
        <v>0.19908000000000001</v>
      </c>
      <c r="J169" s="76">
        <f>undergrid!G169</f>
        <v>0.08</v>
      </c>
      <c r="K169" s="78">
        <f t="shared" si="38"/>
        <v>0</v>
      </c>
      <c r="L169" s="76">
        <f>undergrid!I169</f>
        <v>0.1</v>
      </c>
      <c r="M169" s="78">
        <f t="shared" si="39"/>
        <v>0.50438812983521575</v>
      </c>
      <c r="N169" s="81">
        <f>undergrid!K169</f>
        <v>2</v>
      </c>
      <c r="O169" s="82"/>
      <c r="P169" s="81">
        <f>undergrid!M169</f>
        <v>6.3999999999999996E-10</v>
      </c>
      <c r="Q169" s="82"/>
      <c r="R169" s="76">
        <f>undergrid!O169</f>
        <v>1.6799999999967952E-3</v>
      </c>
      <c r="S169" s="77">
        <f>R169*undergrid!$AQ$5</f>
        <v>6.7199999999871803E-9</v>
      </c>
      <c r="T169" s="78">
        <f>R169*(1-Graphs!$AD$1)</f>
        <v>8.3999999999839832E-5</v>
      </c>
      <c r="U169" s="76">
        <f>undergrid!Q169</f>
        <v>0</v>
      </c>
      <c r="V169" s="78">
        <f>IF(U169&lt;0.001,0,P169*undergrid!$AQ$4)</f>
        <v>0</v>
      </c>
      <c r="W169" s="76">
        <f>undergrid!S169</f>
        <v>0</v>
      </c>
      <c r="X169" s="106">
        <f>IF(undergrid!AI169&gt;0,(undergrid!$AQ$7*W169+undergrid!$AQ$8*undergrid!$AQ$9)*undergrid!$AQ$6,0)+undergrid!AG169*undergrid!$AQ$10</f>
        <v>0</v>
      </c>
      <c r="Y169" s="76">
        <f>undergrid!U169</f>
        <v>0</v>
      </c>
      <c r="Z169" s="77">
        <f>Y169*undergrid!$AQ$5</f>
        <v>0</v>
      </c>
      <c r="AA169" s="78">
        <f>Y169*(1-Graphs!$AD$2)</f>
        <v>0</v>
      </c>
      <c r="AB169" s="76">
        <f>undergrid!W169</f>
        <v>5.043881298352157</v>
      </c>
      <c r="AC169" s="78">
        <f t="shared" si="40"/>
        <v>0.50438812983521575</v>
      </c>
      <c r="AD169" s="76">
        <f>undergrid!Y169</f>
        <v>0</v>
      </c>
      <c r="AE169" s="78">
        <f t="shared" si="41"/>
        <v>0</v>
      </c>
      <c r="AF169" s="111">
        <f>undergrid!AA169</f>
        <v>0</v>
      </c>
      <c r="AG169" s="112">
        <f>undergrid!AE169</f>
        <v>0</v>
      </c>
      <c r="AH169" s="93">
        <f t="shared" si="42"/>
        <v>0</v>
      </c>
      <c r="AI169" s="93">
        <f t="shared" si="43"/>
        <v>0</v>
      </c>
      <c r="AJ169" s="93">
        <f t="shared" si="44"/>
        <v>1.8812983521570015E-3</v>
      </c>
      <c r="AK169" s="93">
        <f>IF(AH169&gt;0.00001,undergrid!$AM$4,IF(Costs!AI169&gt;0.0001,((undergrid!$AQ$7*W169+undergrid!$AQ$8*undergrid!$AQ$9)*undergrid!$AQ$6)/W169,IF(Costs!AJ169&gt;0.0001,Costs!L169,0)))</f>
        <v>0.1</v>
      </c>
      <c r="AL169" s="1">
        <v>168</v>
      </c>
      <c r="AM169" s="124">
        <f t="shared" si="49"/>
        <v>2.00908</v>
      </c>
      <c r="AN169" s="122">
        <f t="shared" si="45"/>
        <v>-0.50438813655521575</v>
      </c>
      <c r="AO169" s="123">
        <f t="shared" si="46"/>
        <v>1.5046918634447843</v>
      </c>
      <c r="AR169" s="114">
        <f t="shared" si="47"/>
        <v>5.0436799999999966</v>
      </c>
      <c r="AS169" s="32">
        <f t="shared" si="48"/>
        <v>5.043881298352157</v>
      </c>
      <c r="AT169" s="36">
        <f t="shared" si="50"/>
        <v>2.0129835216042835E-4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D9F6-B0D4-4E1A-9A20-A94BE86B81D8}">
  <sheetPr codeName="Sheet3"/>
  <dimension ref="A1:CB173"/>
  <sheetViews>
    <sheetView topLeftCell="AJ1" zoomScale="85" zoomScaleNormal="85" workbookViewId="0">
      <selection activeCell="BS35" sqref="BS35"/>
    </sheetView>
  </sheetViews>
  <sheetFormatPr defaultColWidth="8.88671875" defaultRowHeight="14.4" x14ac:dyDescent="0.3"/>
  <cols>
    <col min="1" max="4" width="8.33203125" style="10" customWidth="1"/>
    <col min="5" max="5" width="10.33203125" style="10" customWidth="1"/>
    <col min="6" max="12" width="10.33203125" customWidth="1"/>
    <col min="13" max="23" width="10.88671875" customWidth="1"/>
    <col min="24" max="24" width="10.88671875" style="21" customWidth="1"/>
    <col min="25" max="25" width="8.88671875" style="19"/>
    <col min="26" max="26" width="13.109375" style="19" customWidth="1"/>
    <col min="27" max="27" width="13.33203125" style="19" customWidth="1"/>
    <col min="28" max="28" width="10.5546875" style="19" customWidth="1"/>
    <col min="29" max="29" width="13.109375" style="19" customWidth="1"/>
    <col min="30" max="30" width="15.6640625" style="19" customWidth="1"/>
    <col min="31" max="31" width="10.5546875" style="19" customWidth="1"/>
    <col min="32" max="69" width="8.88671875" style="19"/>
    <col min="72" max="72" width="18.5546875" bestFit="1" customWidth="1"/>
    <col min="74" max="74" width="11.33203125" customWidth="1"/>
    <col min="78" max="78" width="10.33203125" customWidth="1"/>
  </cols>
  <sheetData>
    <row r="1" spans="1:80" ht="15" thickBot="1" x14ac:dyDescent="0.35">
      <c r="A1" s="23"/>
      <c r="B1" s="23"/>
      <c r="C1" s="23"/>
      <c r="D1" s="23"/>
      <c r="E1" s="23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24"/>
      <c r="Z1" s="19" t="s">
        <v>201</v>
      </c>
      <c r="AC1" s="19" t="s">
        <v>202</v>
      </c>
      <c r="AD1" s="19">
        <v>0.95</v>
      </c>
    </row>
    <row r="2" spans="1:80" ht="30.6" customHeight="1" x14ac:dyDescent="0.3">
      <c r="A2" s="23"/>
      <c r="B2" s="23"/>
      <c r="C2" s="23"/>
      <c r="D2" s="23"/>
      <c r="E2" s="143" t="s">
        <v>186</v>
      </c>
      <c r="F2" s="144"/>
      <c r="G2" s="143" t="s">
        <v>191</v>
      </c>
      <c r="H2" s="144"/>
      <c r="I2" s="37" t="s">
        <v>189</v>
      </c>
      <c r="J2" s="38"/>
      <c r="K2" s="37" t="s">
        <v>190</v>
      </c>
      <c r="L2" s="38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24"/>
      <c r="Z2" s="19" t="s">
        <v>203</v>
      </c>
      <c r="AC2" s="19" t="s">
        <v>204</v>
      </c>
      <c r="AD2" s="19">
        <v>0.9</v>
      </c>
    </row>
    <row r="3" spans="1:80" ht="18.600000000000001" thickBot="1" x14ac:dyDescent="0.4">
      <c r="A3" s="23"/>
      <c r="B3" s="23"/>
      <c r="C3" s="23"/>
      <c r="D3" s="23"/>
      <c r="E3" s="25" t="s">
        <v>187</v>
      </c>
      <c r="F3" s="26" t="s">
        <v>188</v>
      </c>
      <c r="G3" s="25" t="s">
        <v>187</v>
      </c>
      <c r="H3" s="26" t="s">
        <v>188</v>
      </c>
      <c r="I3" s="25" t="s">
        <v>187</v>
      </c>
      <c r="J3" s="26" t="s">
        <v>188</v>
      </c>
      <c r="K3" s="39" t="s">
        <v>187</v>
      </c>
      <c r="L3" s="40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24"/>
    </row>
    <row r="4" spans="1:80" x14ac:dyDescent="0.3">
      <c r="A4" s="142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Z4" s="19">
        <f>MAX(B6:B173)</f>
        <v>25.984999999999999</v>
      </c>
    </row>
    <row r="5" spans="1:80" ht="45" customHeight="1" x14ac:dyDescent="0.3">
      <c r="A5" s="15" t="s">
        <v>182</v>
      </c>
      <c r="B5" s="16" t="s">
        <v>195</v>
      </c>
      <c r="C5" s="16" t="s">
        <v>193</v>
      </c>
      <c r="D5" s="16" t="s">
        <v>194</v>
      </c>
      <c r="E5" s="16" t="s">
        <v>200</v>
      </c>
      <c r="F5" s="16" t="s">
        <v>180</v>
      </c>
      <c r="G5" s="17" t="s">
        <v>178</v>
      </c>
      <c r="H5" s="18" t="s">
        <v>297</v>
      </c>
      <c r="I5" s="18" t="s">
        <v>296</v>
      </c>
      <c r="J5" s="18" t="s">
        <v>196</v>
      </c>
      <c r="K5" s="18" t="s">
        <v>205</v>
      </c>
      <c r="L5" s="18" t="s">
        <v>197</v>
      </c>
      <c r="M5" s="18" t="str">
        <f>undergrid!Y1</f>
        <v>Grid_Export</v>
      </c>
      <c r="N5" s="17" t="s">
        <v>172</v>
      </c>
      <c r="O5" s="17" t="s">
        <v>299</v>
      </c>
      <c r="P5" s="17" t="s">
        <v>298</v>
      </c>
      <c r="Q5" s="17" t="s">
        <v>185</v>
      </c>
      <c r="R5" s="17" t="str">
        <f>Q5</f>
        <v>Grid_imp</v>
      </c>
      <c r="S5" s="17" t="s">
        <v>300</v>
      </c>
      <c r="T5" s="17" t="s">
        <v>183</v>
      </c>
      <c r="U5" s="17" t="s">
        <v>184</v>
      </c>
      <c r="V5" s="17" t="s">
        <v>298</v>
      </c>
      <c r="W5" s="17" t="s">
        <v>206</v>
      </c>
      <c r="X5" s="20" t="s">
        <v>176</v>
      </c>
    </row>
    <row r="6" spans="1:80" x14ac:dyDescent="0.3">
      <c r="A6" s="10">
        <v>1</v>
      </c>
      <c r="B6">
        <f>undergrid!C2*2+undergrid!E2</f>
        <v>5.34</v>
      </c>
      <c r="C6">
        <f>undergrid!C2*2</f>
        <v>3.5</v>
      </c>
      <c r="D6">
        <f>undergrid!E2</f>
        <v>1.84</v>
      </c>
      <c r="E6" s="11">
        <f>undergrid!G2</f>
        <v>0.08</v>
      </c>
      <c r="F6">
        <f>undergrid!AL2</f>
        <v>5.34</v>
      </c>
      <c r="G6" s="12">
        <f>undergrid!Q2</f>
        <v>0</v>
      </c>
      <c r="H6" s="12">
        <f>IF(G6&gt;C6,C6,G6)</f>
        <v>0</v>
      </c>
      <c r="I6" s="12">
        <f>G6-H6</f>
        <v>0</v>
      </c>
      <c r="J6" s="12">
        <f>undergrid!M2-Graphs!G6</f>
        <v>4.5E-10</v>
      </c>
      <c r="K6" s="12">
        <f>G6-H6</f>
        <v>0</v>
      </c>
      <c r="L6" s="12">
        <f>Costs!AF2+Costs!AG2</f>
        <v>0</v>
      </c>
      <c r="M6" s="12">
        <f>undergrid!Y2</f>
        <v>0</v>
      </c>
      <c r="N6" s="12">
        <f>undergrid!S2</f>
        <v>0</v>
      </c>
      <c r="O6" s="12">
        <f>IF(undergrid!S2&gt;0.0001,IF(C6-H6&gt;undergrid!S2,undergrid!S2,C6-H6),0)</f>
        <v>0</v>
      </c>
      <c r="P6" s="12">
        <f>undergrid!S2-O6</f>
        <v>0</v>
      </c>
      <c r="Q6" s="12">
        <f>-undergrid!W2</f>
        <v>-5.3399999995499998</v>
      </c>
      <c r="R6" s="12">
        <f>-Q6</f>
        <v>5.3399999995499998</v>
      </c>
      <c r="S6" s="22">
        <f>IF(undergrid!K2=2,1,0)</f>
        <v>1</v>
      </c>
      <c r="T6" s="12">
        <f>-undergrid!O2*$AD$1</f>
        <v>0</v>
      </c>
      <c r="U6" s="12">
        <f>undergrid!U2*$AD$2</f>
        <v>0</v>
      </c>
      <c r="V6" s="12">
        <f>undergrid!S2-N6</f>
        <v>0</v>
      </c>
      <c r="W6" s="12">
        <f>IF((H6)&lt;B6-N6,B6-N6-H6,0)</f>
        <v>5.34</v>
      </c>
      <c r="X6" s="13">
        <f>undergrid!AJ2</f>
        <v>0.5</v>
      </c>
    </row>
    <row r="7" spans="1:80" x14ac:dyDescent="0.3">
      <c r="A7" s="10">
        <v>2</v>
      </c>
      <c r="B7">
        <f>undergrid!C3*2+undergrid!E3</f>
        <v>3.6970000000000001</v>
      </c>
      <c r="C7">
        <f>undergrid!C3*2</f>
        <v>1.92</v>
      </c>
      <c r="D7">
        <f>undergrid!E3</f>
        <v>1.7769999999999999</v>
      </c>
      <c r="E7" s="11">
        <f>undergrid!G3</f>
        <v>0.08</v>
      </c>
      <c r="F7">
        <f>undergrid!AL3</f>
        <v>3.6970000000000001</v>
      </c>
      <c r="G7" s="12">
        <f>undergrid!Q3</f>
        <v>0</v>
      </c>
      <c r="H7" s="12">
        <f t="shared" ref="H7:H70" si="0">IF(G7&gt;C7,C7,G7)</f>
        <v>0</v>
      </c>
      <c r="I7" s="12">
        <f t="shared" ref="I7:I70" si="1">G7-H7</f>
        <v>0</v>
      </c>
      <c r="J7" s="12">
        <f>undergrid!M3-Graphs!G7</f>
        <v>4.5E-10</v>
      </c>
      <c r="K7" s="12">
        <f t="shared" ref="K7:K70" si="2">G7-H7</f>
        <v>0</v>
      </c>
      <c r="L7" s="12">
        <f>Costs!AF3+Costs!AG3</f>
        <v>0</v>
      </c>
      <c r="M7" s="12">
        <f>undergrid!Y3</f>
        <v>0</v>
      </c>
      <c r="N7" s="12">
        <f>undergrid!S3</f>
        <v>0</v>
      </c>
      <c r="O7" s="12">
        <f>IF(undergrid!S3&gt;0.0001,IF(C7-H7&gt;undergrid!S3,undergrid!S3,C7-H7),0)</f>
        <v>0</v>
      </c>
      <c r="P7" s="12">
        <f>undergrid!S3-O7</f>
        <v>0</v>
      </c>
      <c r="Q7" s="12">
        <f>-undergrid!W3</f>
        <v>-3.69699999955</v>
      </c>
      <c r="R7" s="12">
        <f t="shared" ref="R7:R70" si="3">-Q7</f>
        <v>3.69699999955</v>
      </c>
      <c r="S7" s="22">
        <f>IF(undergrid!K3=2,1,0)</f>
        <v>1</v>
      </c>
      <c r="T7" s="12">
        <f>-undergrid!O3*$AD$1</f>
        <v>0</v>
      </c>
      <c r="U7" s="12">
        <f>undergrid!U3*$AD$2</f>
        <v>0</v>
      </c>
      <c r="V7" s="12">
        <f>undergrid!S3-N7</f>
        <v>0</v>
      </c>
      <c r="W7" s="12">
        <f t="shared" ref="W7:W70" si="4">IF((H7)&lt;B7-N7,B7-N7-H7,0)</f>
        <v>3.6970000000000001</v>
      </c>
      <c r="X7" s="13">
        <f>undergrid!AJ3</f>
        <v>0.49997199999999997</v>
      </c>
    </row>
    <row r="8" spans="1:80" x14ac:dyDescent="0.3">
      <c r="A8" s="10">
        <v>3</v>
      </c>
      <c r="B8">
        <f>undergrid!C4*2+undergrid!E4</f>
        <v>5.4369999999999994</v>
      </c>
      <c r="C8">
        <f>undergrid!C4*2</f>
        <v>2.82</v>
      </c>
      <c r="D8">
        <f>undergrid!E4</f>
        <v>2.617</v>
      </c>
      <c r="E8" s="11">
        <f>undergrid!G4</f>
        <v>0.08</v>
      </c>
      <c r="F8">
        <f>undergrid!AL4</f>
        <v>6.2359742871401753</v>
      </c>
      <c r="G8" s="12">
        <f>undergrid!Q4</f>
        <v>0</v>
      </c>
      <c r="H8" s="12">
        <f t="shared" si="0"/>
        <v>0</v>
      </c>
      <c r="I8" s="12">
        <f t="shared" si="1"/>
        <v>0</v>
      </c>
      <c r="J8" s="12">
        <f>undergrid!M4-Graphs!G8</f>
        <v>4.5E-10</v>
      </c>
      <c r="K8" s="12">
        <f t="shared" si="2"/>
        <v>0</v>
      </c>
      <c r="L8" s="12">
        <f>Costs!AF4+Costs!AG4</f>
        <v>0</v>
      </c>
      <c r="M8" s="12">
        <f>undergrid!Y4</f>
        <v>0</v>
      </c>
      <c r="N8" s="12">
        <f>undergrid!S4</f>
        <v>0</v>
      </c>
      <c r="O8" s="12">
        <f>IF(undergrid!S4&gt;0.0001,IF(C8-H8&gt;undergrid!S4,undergrid!S4,C8-H8),0)</f>
        <v>0</v>
      </c>
      <c r="P8" s="12">
        <f>undergrid!S4-O8</f>
        <v>0</v>
      </c>
      <c r="Q8" s="12">
        <f>-undergrid!W4</f>
        <v>-6.3317080478592676</v>
      </c>
      <c r="R8" s="12">
        <f t="shared" si="3"/>
        <v>6.3317080478592676</v>
      </c>
      <c r="S8" s="22">
        <f>IF(undergrid!K4=2,1,0)</f>
        <v>1</v>
      </c>
      <c r="T8" s="12">
        <f>-undergrid!O4*$AD$1</f>
        <v>-0.75902557278316707</v>
      </c>
      <c r="U8" s="12">
        <f>undergrid!U4*$AD$2</f>
        <v>0</v>
      </c>
      <c r="V8" s="12">
        <v>20</v>
      </c>
      <c r="W8" s="12">
        <f t="shared" si="4"/>
        <v>5.4369999999999994</v>
      </c>
      <c r="X8" s="13">
        <f>undergrid!AJ4</f>
        <v>0.50793374443940176</v>
      </c>
    </row>
    <row r="9" spans="1:80" x14ac:dyDescent="0.3">
      <c r="A9" s="10">
        <v>4</v>
      </c>
      <c r="B9">
        <f>undergrid!C5*2+undergrid!E5</f>
        <v>6.6880000000000006</v>
      </c>
      <c r="C9">
        <f>undergrid!C5*2</f>
        <v>3.46</v>
      </c>
      <c r="D9">
        <f>undergrid!E5</f>
        <v>3.2280000000000002</v>
      </c>
      <c r="E9" s="11">
        <f>undergrid!G5</f>
        <v>0.08</v>
      </c>
      <c r="F9">
        <f>undergrid!AL5</f>
        <v>23.040616000401847</v>
      </c>
      <c r="G9" s="12">
        <f>undergrid!Q5</f>
        <v>0</v>
      </c>
      <c r="H9" s="12">
        <f t="shared" si="0"/>
        <v>0</v>
      </c>
      <c r="I9" s="12">
        <f t="shared" si="1"/>
        <v>0</v>
      </c>
      <c r="J9" s="12">
        <f>undergrid!M5-Graphs!G9</f>
        <v>4.5E-10</v>
      </c>
      <c r="K9" s="12">
        <f t="shared" si="2"/>
        <v>0</v>
      </c>
      <c r="L9" s="12">
        <f>Costs!AF5+Costs!AG5</f>
        <v>0</v>
      </c>
      <c r="M9" s="12">
        <f>undergrid!Y5</f>
        <v>0</v>
      </c>
      <c r="N9" s="12">
        <f>undergrid!S5</f>
        <v>0</v>
      </c>
      <c r="O9" s="12">
        <f>IF(undergrid!S5&gt;0.0001,IF(C9-H9&gt;undergrid!S5,undergrid!S5,C9-H9),0)</f>
        <v>0</v>
      </c>
      <c r="P9" s="12">
        <f>undergrid!S5-O9</f>
        <v>0</v>
      </c>
      <c r="Q9" s="12">
        <f>-undergrid!W5</f>
        <v>-25</v>
      </c>
      <c r="R9" s="12">
        <f t="shared" si="3"/>
        <v>25</v>
      </c>
      <c r="S9" s="22">
        <f>IF(undergrid!K5=2,1,0)</f>
        <v>1</v>
      </c>
      <c r="T9" s="12">
        <f>-undergrid!O5*$AD$1</f>
        <v>-15.534985200381755</v>
      </c>
      <c r="U9" s="12">
        <f>undergrid!U5*$AD$2</f>
        <v>0</v>
      </c>
      <c r="V9" s="12">
        <f>undergrid!S5-N9</f>
        <v>0</v>
      </c>
      <c r="W9" s="12">
        <f t="shared" si="4"/>
        <v>6.6880000000000006</v>
      </c>
      <c r="X9" s="13">
        <f>undergrid!AJ5</f>
        <v>0.67143146015373167</v>
      </c>
    </row>
    <row r="10" spans="1:80" x14ac:dyDescent="0.3">
      <c r="A10" s="10">
        <v>5</v>
      </c>
      <c r="B10">
        <f>undergrid!C6*2+undergrid!E6</f>
        <v>6.7219999999999995</v>
      </c>
      <c r="C10">
        <f>undergrid!C6*2</f>
        <v>3.48</v>
      </c>
      <c r="D10">
        <f>undergrid!E6</f>
        <v>3.242</v>
      </c>
      <c r="E10" s="11">
        <f>undergrid!G6</f>
        <v>0.08</v>
      </c>
      <c r="F10">
        <f>undergrid!AL6</f>
        <v>23.04425400040185</v>
      </c>
      <c r="G10" s="12">
        <f>undergrid!Q6</f>
        <v>0</v>
      </c>
      <c r="H10" s="12">
        <f t="shared" si="0"/>
        <v>0</v>
      </c>
      <c r="I10" s="12">
        <f t="shared" si="1"/>
        <v>0</v>
      </c>
      <c r="J10" s="12">
        <f>undergrid!M6-Graphs!G10</f>
        <v>4.5E-10</v>
      </c>
      <c r="K10" s="12">
        <f t="shared" si="2"/>
        <v>0</v>
      </c>
      <c r="L10" s="12">
        <f>Costs!AF6+Costs!AG6</f>
        <v>0</v>
      </c>
      <c r="M10" s="12">
        <f>undergrid!Y6</f>
        <v>0</v>
      </c>
      <c r="N10" s="12">
        <f>undergrid!S6</f>
        <v>0</v>
      </c>
      <c r="O10" s="12">
        <f>IF(undergrid!S6&gt;0.0001,IF(C10-H10&gt;undergrid!S6,undergrid!S6,C10-H10),0)</f>
        <v>0</v>
      </c>
      <c r="P10" s="12">
        <f>undergrid!S6-O10</f>
        <v>0</v>
      </c>
      <c r="Q10" s="12">
        <f>-undergrid!W6</f>
        <v>-25</v>
      </c>
      <c r="R10" s="12">
        <f t="shared" si="3"/>
        <v>25</v>
      </c>
      <c r="S10" s="22">
        <f>IF(undergrid!K6=2,1,0)</f>
        <v>1</v>
      </c>
      <c r="T10" s="12">
        <f>-undergrid!O6*$AD$1</f>
        <v>-15.506141300381755</v>
      </c>
      <c r="U10" s="12">
        <f>undergrid!U6*$AD$2</f>
        <v>0</v>
      </c>
      <c r="V10" s="12">
        <f>undergrid!S6-N10</f>
        <v>0</v>
      </c>
      <c r="W10" s="12">
        <f t="shared" si="4"/>
        <v>6.7219999999999995</v>
      </c>
      <c r="X10" s="13">
        <f>undergrid!AJ6</f>
        <v>0.83461639999598147</v>
      </c>
      <c r="BS10" t="s">
        <v>277</v>
      </c>
      <c r="BT10" t="s">
        <v>278</v>
      </c>
    </row>
    <row r="11" spans="1:80" x14ac:dyDescent="0.3">
      <c r="A11" s="10">
        <v>6</v>
      </c>
      <c r="B11">
        <f>undergrid!C7*2+undergrid!E7</f>
        <v>6.48</v>
      </c>
      <c r="C11">
        <f>undergrid!C7*2</f>
        <v>3.36</v>
      </c>
      <c r="D11">
        <f>undergrid!E7</f>
        <v>3.12</v>
      </c>
      <c r="E11" s="11">
        <f>undergrid!G7</f>
        <v>0.08</v>
      </c>
      <c r="F11">
        <f>undergrid!AL7</f>
        <v>23.018360000401852</v>
      </c>
      <c r="G11" s="12">
        <f>undergrid!Q7</f>
        <v>0</v>
      </c>
      <c r="H11" s="12">
        <f t="shared" si="0"/>
        <v>0</v>
      </c>
      <c r="I11" s="12">
        <f t="shared" si="1"/>
        <v>0</v>
      </c>
      <c r="J11" s="12">
        <v>10</v>
      </c>
      <c r="K11" s="12">
        <f t="shared" si="2"/>
        <v>0</v>
      </c>
      <c r="L11" s="12">
        <f>Costs!AF7+Costs!AG7</f>
        <v>0</v>
      </c>
      <c r="M11" s="12">
        <f>undergrid!Y7</f>
        <v>0</v>
      </c>
      <c r="N11" s="12">
        <f>undergrid!S7</f>
        <v>0</v>
      </c>
      <c r="O11" s="12">
        <f>IF(undergrid!S7&gt;0.0001,IF(C11-H11&gt;undergrid!S7,undergrid!S7,C11-H11),0)</f>
        <v>0</v>
      </c>
      <c r="P11" s="12">
        <f>undergrid!S7-O11</f>
        <v>0</v>
      </c>
      <c r="Q11" s="12">
        <f>-undergrid!W7</f>
        <v>-25</v>
      </c>
      <c r="R11" s="12">
        <f t="shared" si="3"/>
        <v>25</v>
      </c>
      <c r="S11" s="22">
        <f>IF(undergrid!K7=2,1,0)</f>
        <v>1</v>
      </c>
      <c r="T11" s="12">
        <f>-undergrid!O7*$AD$1</f>
        <v>-15.711442000381759</v>
      </c>
      <c r="U11" s="12">
        <f>undergrid!U7*$AD$2</f>
        <v>0</v>
      </c>
      <c r="V11" s="12">
        <f>undergrid!S7-N11</f>
        <v>0</v>
      </c>
      <c r="W11" s="12">
        <f t="shared" si="4"/>
        <v>6.48</v>
      </c>
      <c r="X11" s="13">
        <f>undergrid!AJ7</f>
        <v>0.99995326148160035</v>
      </c>
      <c r="BS11" s="120" t="s">
        <v>21</v>
      </c>
      <c r="BT11">
        <f>VLOOKUP(BS11,Costs!A2:AO169,41)</f>
        <v>8.8445511799972731</v>
      </c>
      <c r="BU11" s="102"/>
    </row>
    <row r="12" spans="1:80" x14ac:dyDescent="0.3">
      <c r="A12" s="10">
        <v>7</v>
      </c>
      <c r="B12">
        <f>undergrid!C8*2+undergrid!E8</f>
        <v>4.7880000000000003</v>
      </c>
      <c r="C12">
        <f>undergrid!C8*2</f>
        <v>2.48</v>
      </c>
      <c r="D12">
        <f>undergrid!E8</f>
        <v>2.3079999999999998</v>
      </c>
      <c r="E12" s="11">
        <f>undergrid!G8</f>
        <v>0.13</v>
      </c>
      <c r="F12">
        <f>undergrid!AL8</f>
        <v>4.7880000000000003</v>
      </c>
      <c r="G12" s="12">
        <f>undergrid!Q8</f>
        <v>0</v>
      </c>
      <c r="H12" s="12">
        <f t="shared" si="0"/>
        <v>0</v>
      </c>
      <c r="I12" s="12">
        <f t="shared" si="1"/>
        <v>0</v>
      </c>
      <c r="J12" s="12">
        <f>undergrid!M8-Graphs!G12</f>
        <v>4.5E-10</v>
      </c>
      <c r="K12" s="12">
        <f t="shared" si="2"/>
        <v>0</v>
      </c>
      <c r="L12" s="12">
        <f>Costs!AF8+Costs!AG8</f>
        <v>0</v>
      </c>
      <c r="M12" s="12">
        <f>-undergrid!Y8</f>
        <v>0</v>
      </c>
      <c r="N12" s="12">
        <f>undergrid!S8</f>
        <v>0</v>
      </c>
      <c r="O12" s="12">
        <f>IF(undergrid!S8&gt;0.0001,IF(C12-H12&gt;undergrid!S8,undergrid!S8,C12-H12),0)</f>
        <v>0</v>
      </c>
      <c r="P12" s="12">
        <f>undergrid!S8-O12</f>
        <v>0</v>
      </c>
      <c r="Q12" s="12">
        <f>-undergrid!W8</f>
        <v>-4.7879999995500002</v>
      </c>
      <c r="R12" s="12">
        <f t="shared" si="3"/>
        <v>4.7879999995500002</v>
      </c>
      <c r="S12" s="22">
        <f>IF(undergrid!K8=2,1,0)</f>
        <v>1</v>
      </c>
      <c r="T12" s="12">
        <f>-undergrid!O8*$AD$1</f>
        <v>0</v>
      </c>
      <c r="U12" s="12">
        <f>undergrid!U8*$AD$2</f>
        <v>0</v>
      </c>
      <c r="V12" s="12">
        <f>undergrid!S8-N12</f>
        <v>0</v>
      </c>
      <c r="W12" s="12">
        <f t="shared" si="4"/>
        <v>4.7880000000000003</v>
      </c>
      <c r="X12" s="13">
        <f>undergrid!AJ8</f>
        <v>0.99989726409895741</v>
      </c>
      <c r="BS12" s="145" t="s">
        <v>257</v>
      </c>
      <c r="BT12" s="145"/>
      <c r="BU12" s="145"/>
      <c r="BV12" s="145"/>
      <c r="BY12" s="145" t="s">
        <v>258</v>
      </c>
      <c r="BZ12" s="145"/>
      <c r="CA12" s="145"/>
      <c r="CB12" s="145"/>
    </row>
    <row r="13" spans="1:80" x14ac:dyDescent="0.3">
      <c r="A13" s="10">
        <v>8</v>
      </c>
      <c r="B13">
        <f>undergrid!C9*2+undergrid!E9</f>
        <v>4.0609999999999999</v>
      </c>
      <c r="C13">
        <f>undergrid!C9*2</f>
        <v>1.84</v>
      </c>
      <c r="D13">
        <f>undergrid!E9</f>
        <v>2.2210000000000001</v>
      </c>
      <c r="E13" s="11">
        <f>undergrid!G9</f>
        <v>0.13</v>
      </c>
      <c r="F13">
        <f>undergrid!AL9</f>
        <v>4.0609999999999999</v>
      </c>
      <c r="G13" s="12">
        <f>undergrid!Q9</f>
        <v>1.87</v>
      </c>
      <c r="H13" s="12">
        <f t="shared" si="0"/>
        <v>1.84</v>
      </c>
      <c r="I13" s="12">
        <f t="shared" si="1"/>
        <v>3.0000000000000027E-2</v>
      </c>
      <c r="J13" s="12">
        <f>undergrid!M9-Graphs!G13</f>
        <v>0</v>
      </c>
      <c r="K13" s="12">
        <f t="shared" si="2"/>
        <v>3.0000000000000027E-2</v>
      </c>
      <c r="L13" s="12">
        <f>Costs!AF9+Costs!AG9</f>
        <v>0</v>
      </c>
      <c r="M13" s="12">
        <f>-undergrid!Y9</f>
        <v>0</v>
      </c>
      <c r="N13" s="12">
        <f>undergrid!S9</f>
        <v>0</v>
      </c>
      <c r="O13" s="12">
        <f>IF(undergrid!S9&gt;0.0001,IF(C13-H13&gt;undergrid!S9,undergrid!S9,C13-H13),0)</f>
        <v>0</v>
      </c>
      <c r="P13" s="12">
        <f>undergrid!S9-O13</f>
        <v>0</v>
      </c>
      <c r="Q13" s="12">
        <f>-undergrid!W9</f>
        <v>-2.1909999999999998</v>
      </c>
      <c r="R13" s="12">
        <f t="shared" si="3"/>
        <v>2.1909999999999998</v>
      </c>
      <c r="S13" s="22">
        <f>IF(undergrid!K9=2,1,0)</f>
        <v>1</v>
      </c>
      <c r="T13" s="12">
        <f>-undergrid!O9*$AD$1</f>
        <v>0</v>
      </c>
      <c r="U13" s="12">
        <f>undergrid!U9*$AD$2</f>
        <v>0</v>
      </c>
      <c r="V13" s="12">
        <f>undergrid!S9-N13</f>
        <v>0</v>
      </c>
      <c r="W13" s="12">
        <f t="shared" si="4"/>
        <v>2.2210000000000001</v>
      </c>
      <c r="X13" s="13">
        <f>undergrid!AJ9</f>
        <v>0.99984126985216792</v>
      </c>
      <c r="BT13" s="69" t="s">
        <v>264</v>
      </c>
      <c r="BV13" s="69" t="s">
        <v>263</v>
      </c>
      <c r="BZ13" s="98" t="s">
        <v>265</v>
      </c>
      <c r="CB13" s="98" t="s">
        <v>263</v>
      </c>
    </row>
    <row r="14" spans="1:80" x14ac:dyDescent="0.3">
      <c r="A14" s="10">
        <v>9</v>
      </c>
      <c r="B14">
        <f>undergrid!C10*2+undergrid!E10</f>
        <v>4.0469999999999997</v>
      </c>
      <c r="C14">
        <f>undergrid!C10*2</f>
        <v>1.82</v>
      </c>
      <c r="D14">
        <f>undergrid!E10</f>
        <v>2.2269999999999999</v>
      </c>
      <c r="E14" s="11">
        <f>undergrid!G10</f>
        <v>0.13</v>
      </c>
      <c r="F14">
        <f>undergrid!AL10</f>
        <v>4.0469999999999997</v>
      </c>
      <c r="G14" s="12">
        <f>undergrid!Q10</f>
        <v>3.66</v>
      </c>
      <c r="H14" s="12">
        <f t="shared" si="0"/>
        <v>1.82</v>
      </c>
      <c r="I14" s="12">
        <f t="shared" si="1"/>
        <v>1.84</v>
      </c>
      <c r="J14" s="12">
        <f>undergrid!M10-Graphs!G14</f>
        <v>0</v>
      </c>
      <c r="K14" s="12">
        <f t="shared" si="2"/>
        <v>1.84</v>
      </c>
      <c r="L14" s="12">
        <f>Costs!AF10+Costs!AG10</f>
        <v>0</v>
      </c>
      <c r="M14" s="12">
        <f>-undergrid!Y10</f>
        <v>0</v>
      </c>
      <c r="N14" s="12">
        <f>undergrid!S10</f>
        <v>0</v>
      </c>
      <c r="O14" s="12">
        <f>IF(undergrid!S10&gt;0.0001,IF(C14-H14&gt;undergrid!S10,undergrid!S10,C14-H14),0)</f>
        <v>0</v>
      </c>
      <c r="P14" s="12">
        <f>undergrid!S10-O14</f>
        <v>0</v>
      </c>
      <c r="Q14" s="12">
        <f>-undergrid!W10</f>
        <v>-0.38699999999999957</v>
      </c>
      <c r="R14" s="12">
        <f t="shared" si="3"/>
        <v>0.38699999999999957</v>
      </c>
      <c r="S14" s="22">
        <f>IF(undergrid!K10=2,1,0)</f>
        <v>1</v>
      </c>
      <c r="T14" s="12">
        <f>-undergrid!O10*$AD$1</f>
        <v>0</v>
      </c>
      <c r="U14" s="12">
        <f>undergrid!U10*$AD$2</f>
        <v>0</v>
      </c>
      <c r="V14" s="12">
        <f>undergrid!S10-N14</f>
        <v>0</v>
      </c>
      <c r="W14" s="12">
        <f t="shared" si="4"/>
        <v>2.2269999999999994</v>
      </c>
      <c r="X14" s="13">
        <f>undergrid!AJ10</f>
        <v>0.99978527874105627</v>
      </c>
      <c r="BS14" t="s">
        <v>193</v>
      </c>
      <c r="BT14" s="97">
        <f>undergrid!AQ2</f>
        <v>0.5</v>
      </c>
      <c r="BU14" t="str">
        <f>BS14</f>
        <v>Load A</v>
      </c>
      <c r="BV14">
        <f>VLOOKUP(BS11,Costs!A2:AK169,4)</f>
        <v>23.28</v>
      </c>
      <c r="BY14" t="s">
        <v>259</v>
      </c>
      <c r="BZ14" s="99">
        <f>undergrid!AQ4</f>
        <v>1.9999999999999999E-6</v>
      </c>
      <c r="CA14" t="str">
        <f>BY14</f>
        <v>PV</v>
      </c>
      <c r="CB14" s="12">
        <f>VLOOKUP(BS11,Costs!A2:AK169,21)</f>
        <v>0</v>
      </c>
    </row>
    <row r="15" spans="1:80" x14ac:dyDescent="0.3">
      <c r="A15" s="10">
        <v>10</v>
      </c>
      <c r="B15">
        <f>undergrid!C11*2+undergrid!E11</f>
        <v>12.323</v>
      </c>
      <c r="C15">
        <f>undergrid!C11*2</f>
        <v>4</v>
      </c>
      <c r="D15">
        <f>undergrid!E11</f>
        <v>8.3230000000000004</v>
      </c>
      <c r="E15" s="11">
        <f>undergrid!G11</f>
        <v>0.13</v>
      </c>
      <c r="F15">
        <f>undergrid!AL11</f>
        <v>12.323</v>
      </c>
      <c r="G15" s="12">
        <f>undergrid!Q11</f>
        <v>4</v>
      </c>
      <c r="H15" s="12">
        <f t="shared" si="0"/>
        <v>4</v>
      </c>
      <c r="I15" s="12">
        <f t="shared" si="1"/>
        <v>0</v>
      </c>
      <c r="J15" s="12">
        <f>undergrid!M11-Graphs!G15</f>
        <v>0</v>
      </c>
      <c r="K15" s="12">
        <f t="shared" si="2"/>
        <v>0</v>
      </c>
      <c r="L15" s="12">
        <f>Costs!AF11+Costs!AG11</f>
        <v>0</v>
      </c>
      <c r="M15" s="12">
        <f>-undergrid!Y11</f>
        <v>0</v>
      </c>
      <c r="N15" s="12">
        <f>undergrid!S11</f>
        <v>0</v>
      </c>
      <c r="O15" s="12">
        <f>IF(undergrid!S11&gt;0.0001,IF(C15-H15&gt;undergrid!S11,undergrid!S11,C15-H15),0)</f>
        <v>0</v>
      </c>
      <c r="P15" s="12">
        <f>undergrid!S11-O15</f>
        <v>0</v>
      </c>
      <c r="Q15" s="12">
        <f>-undergrid!W11</f>
        <v>-8.3230000000000004</v>
      </c>
      <c r="R15" s="12">
        <f t="shared" si="3"/>
        <v>8.3230000000000004</v>
      </c>
      <c r="S15" s="22">
        <f>IF(undergrid!K11=2,1,0)</f>
        <v>1</v>
      </c>
      <c r="T15" s="12">
        <f>-undergrid!O11*$AD$1</f>
        <v>0</v>
      </c>
      <c r="U15" s="12">
        <f>undergrid!U11*$AD$2</f>
        <v>0</v>
      </c>
      <c r="V15" s="12">
        <f>undergrid!S11-N15</f>
        <v>0</v>
      </c>
      <c r="W15" s="12">
        <f t="shared" si="4"/>
        <v>8.3230000000000004</v>
      </c>
      <c r="X15" s="13">
        <f>undergrid!AJ11</f>
        <v>0.9997292907654467</v>
      </c>
      <c r="BS15" t="s">
        <v>194</v>
      </c>
      <c r="BT15">
        <f>undergrid!AQ3</f>
        <v>0.14000000000000001</v>
      </c>
      <c r="BU15" t="str">
        <f>BS15</f>
        <v>Load B</v>
      </c>
      <c r="BV15">
        <f>VLOOKUP(BS11,Costs!A2:AK169,8)</f>
        <v>0</v>
      </c>
      <c r="BY15" t="s">
        <v>260</v>
      </c>
      <c r="BZ15" s="98">
        <f>((undergrid!$AQ$7*7.5+undergrid!$AQ$8*undergrid!$AQ$9)*undergrid!$AQ$6)/7.5</f>
        <v>0.33332999999999996</v>
      </c>
      <c r="CA15" t="str">
        <f>BY15</f>
        <v>Genset</v>
      </c>
      <c r="CB15" s="12">
        <f>VLOOKUP(BS11,Costs!A2:AK169,23)</f>
        <v>7.7458824778439643</v>
      </c>
    </row>
    <row r="16" spans="1:80" x14ac:dyDescent="0.3">
      <c r="A16" s="10">
        <v>11</v>
      </c>
      <c r="B16">
        <f>undergrid!C12*2+undergrid!E12</f>
        <v>13.064</v>
      </c>
      <c r="C16">
        <f>undergrid!C12*2</f>
        <v>6.28</v>
      </c>
      <c r="D16">
        <f>undergrid!E12</f>
        <v>6.7839999999999998</v>
      </c>
      <c r="E16" s="11">
        <f>undergrid!G12</f>
        <v>0.13</v>
      </c>
      <c r="F16">
        <f>undergrid!AL12</f>
        <v>13.064</v>
      </c>
      <c r="G16" s="12">
        <f>undergrid!Q12</f>
        <v>5.43</v>
      </c>
      <c r="H16" s="12">
        <f t="shared" si="0"/>
        <v>5.43</v>
      </c>
      <c r="I16" s="12">
        <f t="shared" si="1"/>
        <v>0</v>
      </c>
      <c r="J16" s="12">
        <f>undergrid!M12-Graphs!G16</f>
        <v>0</v>
      </c>
      <c r="K16" s="12">
        <f t="shared" si="2"/>
        <v>0</v>
      </c>
      <c r="L16" s="12">
        <f>Costs!AF12+Costs!AG12</f>
        <v>0</v>
      </c>
      <c r="M16" s="12">
        <f>-undergrid!Y12</f>
        <v>0</v>
      </c>
      <c r="N16" s="12">
        <f>undergrid!S12</f>
        <v>0</v>
      </c>
      <c r="O16" s="12">
        <f>IF(undergrid!S12&gt;0.0001,IF(C16-H16&gt;undergrid!S12,undergrid!S12,C16-H16),0)</f>
        <v>0</v>
      </c>
      <c r="P16" s="12">
        <f>undergrid!S12-O16</f>
        <v>0</v>
      </c>
      <c r="Q16" s="12">
        <f>-undergrid!W12</f>
        <v>-7.6340000000000003</v>
      </c>
      <c r="R16" s="12">
        <f t="shared" si="3"/>
        <v>7.6340000000000003</v>
      </c>
      <c r="S16" s="22">
        <f>IF(undergrid!K12=2,1,0)</f>
        <v>1</v>
      </c>
      <c r="T16" s="12">
        <f>-undergrid!O12*$AD$1</f>
        <v>0</v>
      </c>
      <c r="U16" s="12">
        <f>undergrid!U12*$AD$2</f>
        <v>0</v>
      </c>
      <c r="V16" s="12">
        <f>undergrid!S12-N16</f>
        <v>0</v>
      </c>
      <c r="W16" s="12">
        <f t="shared" si="4"/>
        <v>7.6340000000000003</v>
      </c>
      <c r="X16" s="13">
        <f>undergrid!AJ12</f>
        <v>0.9996733059251639</v>
      </c>
      <c r="BS16" t="s">
        <v>256</v>
      </c>
      <c r="BT16">
        <f>VLOOKUP(BS11,Costs!A2:AK169,10)</f>
        <v>0.13</v>
      </c>
      <c r="BU16" t="str">
        <f>BS16</f>
        <v>Grid Exp</v>
      </c>
      <c r="BV16">
        <f>VLOOKUP(BS11,Costs!A2:AK169,30)</f>
        <v>0</v>
      </c>
      <c r="BY16" t="s">
        <v>261</v>
      </c>
      <c r="BZ16" s="98">
        <f>VLOOKUP(BS11,Costs!A2:AK169,12)</f>
        <v>0.15</v>
      </c>
      <c r="CA16" t="str">
        <f>BY16</f>
        <v>Grid Imp</v>
      </c>
      <c r="CB16" s="12">
        <f>VLOOKUP(BS11,Costs!A2:AK169,28)</f>
        <v>0</v>
      </c>
    </row>
    <row r="17" spans="1:80" x14ac:dyDescent="0.3">
      <c r="A17" s="10">
        <v>12</v>
      </c>
      <c r="B17">
        <f>undergrid!C13*2+undergrid!E13</f>
        <v>16.937000000000001</v>
      </c>
      <c r="C17">
        <f>undergrid!C13*2</f>
        <v>8.14</v>
      </c>
      <c r="D17">
        <f>undergrid!E13</f>
        <v>8.7970000000000006</v>
      </c>
      <c r="E17" s="11">
        <f>undergrid!G13</f>
        <v>0.13</v>
      </c>
      <c r="F17">
        <f>undergrid!AL13</f>
        <v>16.937000000000001</v>
      </c>
      <c r="G17" s="12">
        <f>undergrid!Q13</f>
        <v>13.81</v>
      </c>
      <c r="H17" s="12">
        <f t="shared" si="0"/>
        <v>8.14</v>
      </c>
      <c r="I17" s="12">
        <f t="shared" si="1"/>
        <v>5.67</v>
      </c>
      <c r="J17" s="12">
        <f>undergrid!M13-Graphs!G17</f>
        <v>0</v>
      </c>
      <c r="K17" s="12">
        <f t="shared" si="2"/>
        <v>5.67</v>
      </c>
      <c r="L17" s="12">
        <f>Costs!AF13+Costs!AG13</f>
        <v>0</v>
      </c>
      <c r="M17" s="12">
        <f>-undergrid!Y13</f>
        <v>0</v>
      </c>
      <c r="N17" s="12">
        <f>undergrid!S13</f>
        <v>0</v>
      </c>
      <c r="O17" s="12">
        <f>IF(undergrid!S13&gt;0.0001,IF(C17-H17&gt;undergrid!S13,undergrid!S13,C17-H17),0)</f>
        <v>0</v>
      </c>
      <c r="P17" s="12">
        <f>undergrid!S13-O17</f>
        <v>0</v>
      </c>
      <c r="Q17" s="12">
        <f>-undergrid!W13</f>
        <v>-3.1270000000000007</v>
      </c>
      <c r="R17" s="12">
        <f t="shared" si="3"/>
        <v>3.1270000000000007</v>
      </c>
      <c r="S17" s="22">
        <f>IF(undergrid!K13=2,1,0)</f>
        <v>1</v>
      </c>
      <c r="T17" s="12">
        <f>-undergrid!O13*$AD$1</f>
        <v>0</v>
      </c>
      <c r="U17" s="12">
        <f>undergrid!U13*$AD$2</f>
        <v>0</v>
      </c>
      <c r="V17" s="12">
        <f>undergrid!S13-N17</f>
        <v>0</v>
      </c>
      <c r="W17" s="12">
        <f t="shared" si="4"/>
        <v>8.7970000000000006</v>
      </c>
      <c r="X17" s="13">
        <f>undergrid!AJ13</f>
        <v>0.99961732422003213</v>
      </c>
      <c r="BS17" t="s">
        <v>266</v>
      </c>
      <c r="BT17">
        <f>-VLOOKUP(BS11,Costs!A2:AT169,37)*((1-BV19)+(1-undergrid!AQ12))</f>
        <v>0</v>
      </c>
      <c r="BU17" t="str">
        <f>BS17</f>
        <v>Bat. Charge</v>
      </c>
      <c r="BV17" s="11">
        <f>SUM(CB14:CB17)-SUM(BV14:BV16)</f>
        <v>1.7260130575173349</v>
      </c>
      <c r="BY17" t="s">
        <v>262</v>
      </c>
      <c r="BZ17" s="98">
        <f>undergrid!AQ5</f>
        <v>3.9999999999999998E-6</v>
      </c>
      <c r="CA17" t="str">
        <f>BY17</f>
        <v>Bat. Discharge</v>
      </c>
      <c r="CB17">
        <f>VLOOKUP(BS11,Costs!A2:AK169,25)</f>
        <v>17.260130579673373</v>
      </c>
    </row>
    <row r="18" spans="1:80" x14ac:dyDescent="0.3">
      <c r="A18" s="10">
        <v>13</v>
      </c>
      <c r="B18">
        <f>undergrid!C14*2+undergrid!E14</f>
        <v>9.3170000000000002</v>
      </c>
      <c r="C18">
        <f>undergrid!C14*2</f>
        <v>7.82</v>
      </c>
      <c r="D18">
        <f>undergrid!E14</f>
        <v>1.4970000000000001</v>
      </c>
      <c r="E18" s="11">
        <f>undergrid!G14</f>
        <v>0.13</v>
      </c>
      <c r="F18">
        <f>undergrid!AL14</f>
        <v>12.38</v>
      </c>
      <c r="G18" s="12">
        <f>undergrid!Q14</f>
        <v>12.38</v>
      </c>
      <c r="H18" s="12">
        <f t="shared" si="0"/>
        <v>7.82</v>
      </c>
      <c r="I18" s="12">
        <f t="shared" si="1"/>
        <v>4.5600000000000005</v>
      </c>
      <c r="J18" s="12">
        <f>-(undergrid!M14-Graphs!G18)</f>
        <v>0</v>
      </c>
      <c r="K18" s="12">
        <f t="shared" si="2"/>
        <v>4.5600000000000005</v>
      </c>
      <c r="L18" s="12">
        <f>Costs!AF14+Costs!AG14</f>
        <v>0</v>
      </c>
      <c r="M18" s="12">
        <f>-undergrid!Y14</f>
        <v>-3.0630000000000006</v>
      </c>
      <c r="N18" s="12">
        <f>undergrid!S14</f>
        <v>0</v>
      </c>
      <c r="O18" s="12">
        <f>IF(undergrid!S14&gt;0.0001,IF(C18-H18&gt;undergrid!S14,undergrid!S14,C18-H18),0)</f>
        <v>0</v>
      </c>
      <c r="P18" s="12">
        <f>undergrid!S14-O18</f>
        <v>0</v>
      </c>
      <c r="Q18" s="12">
        <f>-undergrid!W14</f>
        <v>0</v>
      </c>
      <c r="R18" s="12">
        <f t="shared" si="3"/>
        <v>0</v>
      </c>
      <c r="S18" s="22">
        <f>IF(undergrid!K14=2,1,0)</f>
        <v>1</v>
      </c>
      <c r="T18" s="12">
        <f>-undergrid!O14*$AD$1</f>
        <v>0</v>
      </c>
      <c r="U18" s="12">
        <f>undergrid!U14*$AD$2</f>
        <v>0</v>
      </c>
      <c r="V18" s="12">
        <f>undergrid!S14-N18</f>
        <v>0</v>
      </c>
      <c r="W18" s="12">
        <f t="shared" si="4"/>
        <v>1.4969999999999999</v>
      </c>
      <c r="X18" s="13">
        <f>undergrid!AJ14</f>
        <v>0.99956134564987575</v>
      </c>
      <c r="BS18" t="s">
        <v>274</v>
      </c>
      <c r="BV18" s="11">
        <f>VLOOKUP(BS11,Costs!A2:AK169,18)</f>
        <v>0</v>
      </c>
    </row>
    <row r="19" spans="1:80" x14ac:dyDescent="0.3">
      <c r="A19" s="10">
        <v>14</v>
      </c>
      <c r="B19">
        <f>undergrid!C15*2+undergrid!E15</f>
        <v>13.437999999999999</v>
      </c>
      <c r="C19">
        <f>undergrid!C15*2</f>
        <v>12.04</v>
      </c>
      <c r="D19">
        <f>undergrid!E15</f>
        <v>1.3979999999999999</v>
      </c>
      <c r="E19" s="11">
        <f>undergrid!G15</f>
        <v>0.13</v>
      </c>
      <c r="F19">
        <f>undergrid!AL15</f>
        <v>17.25</v>
      </c>
      <c r="G19" s="12">
        <f>undergrid!Q15</f>
        <v>17.25</v>
      </c>
      <c r="H19" s="12">
        <f t="shared" si="0"/>
        <v>12.04</v>
      </c>
      <c r="I19" s="12">
        <f t="shared" si="1"/>
        <v>5.2100000000000009</v>
      </c>
      <c r="J19" s="12">
        <f>-(undergrid!M15-Graphs!G19)</f>
        <v>0</v>
      </c>
      <c r="K19" s="12">
        <f t="shared" si="2"/>
        <v>5.2100000000000009</v>
      </c>
      <c r="L19" s="12">
        <f>Costs!AF15+Costs!AG15</f>
        <v>0</v>
      </c>
      <c r="M19" s="12">
        <f>-undergrid!Y15</f>
        <v>-3.8120000000000012</v>
      </c>
      <c r="N19" s="12">
        <f>undergrid!S15</f>
        <v>0</v>
      </c>
      <c r="O19" s="12">
        <f>IF(undergrid!S15&gt;0.0001,IF(C19-H19&gt;undergrid!S15,undergrid!S15,C19-H19),0)</f>
        <v>0</v>
      </c>
      <c r="P19" s="12">
        <f>undergrid!S15-O19</f>
        <v>0</v>
      </c>
      <c r="Q19" s="12">
        <f>-undergrid!W15</f>
        <v>0</v>
      </c>
      <c r="R19" s="12">
        <f t="shared" si="3"/>
        <v>0</v>
      </c>
      <c r="S19" s="22">
        <f>IF(undergrid!K15=2,1,0)</f>
        <v>1</v>
      </c>
      <c r="T19" s="12">
        <f>-undergrid!O15*$AD$1</f>
        <v>0</v>
      </c>
      <c r="U19" s="12">
        <f>undergrid!U15*$AD$2</f>
        <v>0</v>
      </c>
      <c r="V19" s="12">
        <f>undergrid!S15-N19</f>
        <v>0</v>
      </c>
      <c r="W19" s="12">
        <f t="shared" si="4"/>
        <v>1.3979999999999997</v>
      </c>
      <c r="X19" s="13">
        <f>undergrid!AJ15</f>
        <v>0.99950537021451946</v>
      </c>
      <c r="BS19" t="s">
        <v>275</v>
      </c>
      <c r="BV19" s="118">
        <f>1-(BV17-BV18)/BV17</f>
        <v>0</v>
      </c>
    </row>
    <row r="20" spans="1:80" x14ac:dyDescent="0.3">
      <c r="A20" s="10">
        <v>15</v>
      </c>
      <c r="B20">
        <f>undergrid!C16*2+undergrid!E16</f>
        <v>18.651</v>
      </c>
      <c r="C20">
        <f>undergrid!C16*2</f>
        <v>11.46</v>
      </c>
      <c r="D20">
        <f>undergrid!E16</f>
        <v>7.1909999999999998</v>
      </c>
      <c r="E20" s="11">
        <f>undergrid!G16</f>
        <v>0.13</v>
      </c>
      <c r="F20">
        <f>undergrid!AL16</f>
        <v>18.651</v>
      </c>
      <c r="G20" s="12">
        <f>undergrid!Q16</f>
        <v>15.7</v>
      </c>
      <c r="H20" s="12">
        <f t="shared" si="0"/>
        <v>11.46</v>
      </c>
      <c r="I20" s="12">
        <f t="shared" si="1"/>
        <v>4.2399999999999984</v>
      </c>
      <c r="J20" s="12">
        <f>-(undergrid!M16-Graphs!G20)</f>
        <v>0</v>
      </c>
      <c r="K20" s="12">
        <f t="shared" si="2"/>
        <v>4.2399999999999984</v>
      </c>
      <c r="L20" s="12">
        <f>Costs!AF16+Costs!AG16</f>
        <v>0</v>
      </c>
      <c r="M20" s="12">
        <f>-undergrid!Y16</f>
        <v>0</v>
      </c>
      <c r="N20" s="12">
        <f>undergrid!S16</f>
        <v>0</v>
      </c>
      <c r="O20" s="12">
        <f>IF(undergrid!S16&gt;0.0001,IF(C20-H20&gt;undergrid!S16,undergrid!S16,C20-H20),0)</f>
        <v>0</v>
      </c>
      <c r="P20" s="12">
        <f>undergrid!S16-O20</f>
        <v>0</v>
      </c>
      <c r="Q20" s="12">
        <f>-undergrid!W16</f>
        <v>-2.9510000000000005</v>
      </c>
      <c r="R20" s="12">
        <f t="shared" si="3"/>
        <v>2.9510000000000005</v>
      </c>
      <c r="S20" s="22">
        <f>IF(undergrid!K16=2,1,0)</f>
        <v>1</v>
      </c>
      <c r="T20" s="12">
        <f>-undergrid!O16*$AD$1</f>
        <v>0</v>
      </c>
      <c r="U20" s="12">
        <f>undergrid!U16*$AD$2</f>
        <v>0</v>
      </c>
      <c r="V20" s="12">
        <f>undergrid!S16-N20</f>
        <v>0</v>
      </c>
      <c r="W20" s="12">
        <f t="shared" si="4"/>
        <v>7.1909999999999989</v>
      </c>
      <c r="X20" s="13">
        <f>undergrid!AJ16</f>
        <v>0.99944939791378762</v>
      </c>
    </row>
    <row r="21" spans="1:80" x14ac:dyDescent="0.3">
      <c r="A21" s="10">
        <v>16</v>
      </c>
      <c r="B21">
        <f>undergrid!C17*2+undergrid!E17</f>
        <v>8.4860000000000007</v>
      </c>
      <c r="C21">
        <f>undergrid!C17*2</f>
        <v>4.08</v>
      </c>
      <c r="D21">
        <f>undergrid!E17</f>
        <v>4.4059999999999997</v>
      </c>
      <c r="E21" s="11">
        <f>undergrid!G17</f>
        <v>0.13</v>
      </c>
      <c r="F21">
        <f>undergrid!AL17</f>
        <v>9.6134026401764014</v>
      </c>
      <c r="G21" s="12">
        <f>undergrid!Q17</f>
        <v>9.6199999999999992</v>
      </c>
      <c r="H21" s="12">
        <f t="shared" si="0"/>
        <v>4.08</v>
      </c>
      <c r="I21" s="12">
        <f t="shared" si="1"/>
        <v>5.5399999999999991</v>
      </c>
      <c r="J21" s="12">
        <f>-(undergrid!M17-Graphs!G21)</f>
        <v>0</v>
      </c>
      <c r="K21" s="12">
        <f t="shared" si="2"/>
        <v>5.5399999999999991</v>
      </c>
      <c r="L21" s="12">
        <f>Costs!AF17+Costs!AG17</f>
        <v>0</v>
      </c>
      <c r="M21" s="12">
        <f>-undergrid!Y17</f>
        <v>-1.0723424315551586</v>
      </c>
      <c r="N21" s="12">
        <f>undergrid!S17</f>
        <v>0</v>
      </c>
      <c r="O21" s="12">
        <f>IF(undergrid!S17&gt;0.0001,IF(C21-H21&gt;undergrid!S17,undergrid!S17,C21-H21),0)</f>
        <v>0</v>
      </c>
      <c r="P21" s="12">
        <f>undergrid!S17-O21</f>
        <v>0</v>
      </c>
      <c r="Q21" s="12">
        <f>-undergrid!W17</f>
        <v>0</v>
      </c>
      <c r="R21" s="12">
        <f t="shared" si="3"/>
        <v>0</v>
      </c>
      <c r="S21" s="22">
        <f>IF(undergrid!K17=2,1,0)</f>
        <v>1</v>
      </c>
      <c r="T21" s="12">
        <f>-undergrid!O17*$AD$1</f>
        <v>-5.2307198190180058E-2</v>
      </c>
      <c r="U21" s="12">
        <f>undergrid!U17*$AD$2</f>
        <v>0</v>
      </c>
      <c r="V21" s="12">
        <f>undergrid!S17-N21</f>
        <v>0</v>
      </c>
      <c r="W21" s="12">
        <f t="shared" si="4"/>
        <v>4.4060000000000006</v>
      </c>
      <c r="X21" s="13">
        <f>undergrid!AJ17</f>
        <v>0.99994403083371697</v>
      </c>
      <c r="BT21" t="str">
        <f>BT13</f>
        <v>Price</v>
      </c>
      <c r="BU21" t="str">
        <f>BV13</f>
        <v>Energy</v>
      </c>
      <c r="BV21" t="s">
        <v>276</v>
      </c>
      <c r="BZ21" t="str">
        <f>BZ13</f>
        <v>Cost</v>
      </c>
      <c r="CA21" t="str">
        <f>CB13</f>
        <v>Energy</v>
      </c>
      <c r="CB21" t="s">
        <v>276</v>
      </c>
    </row>
    <row r="22" spans="1:80" x14ac:dyDescent="0.3">
      <c r="A22" s="10">
        <v>17</v>
      </c>
      <c r="B22">
        <f>undergrid!C18*2+undergrid!E18</f>
        <v>14.551</v>
      </c>
      <c r="C22">
        <f>undergrid!C18*2</f>
        <v>7</v>
      </c>
      <c r="D22">
        <f>undergrid!E18</f>
        <v>7.5510000000000002</v>
      </c>
      <c r="E22" s="11">
        <f>undergrid!G18</f>
        <v>0.13</v>
      </c>
      <c r="F22">
        <f>undergrid!AL18</f>
        <v>14.551</v>
      </c>
      <c r="G22" s="12">
        <f>undergrid!Q18</f>
        <v>9.92</v>
      </c>
      <c r="H22" s="12">
        <f t="shared" si="0"/>
        <v>7</v>
      </c>
      <c r="I22" s="12">
        <f t="shared" si="1"/>
        <v>2.92</v>
      </c>
      <c r="J22" s="12">
        <f>-(undergrid!M18-Graphs!G22)</f>
        <v>0</v>
      </c>
      <c r="K22" s="12">
        <f t="shared" si="2"/>
        <v>2.92</v>
      </c>
      <c r="L22" s="12">
        <f>Costs!AF18+Costs!AG18</f>
        <v>0</v>
      </c>
      <c r="M22" s="12">
        <f>-undergrid!Y18</f>
        <v>0</v>
      </c>
      <c r="N22" s="12">
        <f>undergrid!S18</f>
        <v>0</v>
      </c>
      <c r="O22" s="12">
        <f>IF(undergrid!S18&gt;0.0001,IF(C22-H22&gt;undergrid!S18,undergrid!S18,C22-H22),0)</f>
        <v>0</v>
      </c>
      <c r="P22" s="12">
        <f>undergrid!S18-O22</f>
        <v>0</v>
      </c>
      <c r="Q22" s="12">
        <f>-undergrid!W18</f>
        <v>-4.6310000000000002</v>
      </c>
      <c r="R22" s="12">
        <f t="shared" si="3"/>
        <v>4.6310000000000002</v>
      </c>
      <c r="S22" s="22">
        <f>IF(undergrid!K18=2,1,0)</f>
        <v>1</v>
      </c>
      <c r="T22" s="12">
        <f>-undergrid!O18*$AD$1</f>
        <v>0</v>
      </c>
      <c r="U22" s="12">
        <f>undergrid!U18*$AD$2</f>
        <v>0</v>
      </c>
      <c r="V22" s="12">
        <f>undergrid!S18-N22</f>
        <v>0</v>
      </c>
      <c r="W22" s="12">
        <f t="shared" si="4"/>
        <v>7.5510000000000002</v>
      </c>
      <c r="X22" s="13">
        <f>undergrid!AJ18</f>
        <v>0.99988803396799031</v>
      </c>
      <c r="BS22" t="str">
        <f>VLOOKUP(BT22,$BT$14:$BU$16,2,FALSE)</f>
        <v>Load A</v>
      </c>
      <c r="BT22" s="97">
        <f>LARGE($BT$14:$BT$16,ROWS($BT$14:BT14))</f>
        <v>0.5</v>
      </c>
      <c r="BU22" s="11">
        <f>VLOOKUP(BT22,$BT$14:$BV$16,3,FALSE)</f>
        <v>23.28</v>
      </c>
      <c r="BV22" s="11">
        <f>BT22*BU22</f>
        <v>11.64</v>
      </c>
      <c r="BY22" t="str">
        <f>VLOOKUP(BZ22,$BZ$14:$CA$17,2,FALSE)</f>
        <v>PV</v>
      </c>
      <c r="BZ22" s="101">
        <f>SMALL($BZ$14:$BZ$17,ROWS($BZ$14:BZ14))</f>
        <v>1.9999999999999999E-6</v>
      </c>
      <c r="CA22" s="11">
        <f>VLOOKUP(BZ22,$BZ$14:$CB$17,3,FALSE)</f>
        <v>0</v>
      </c>
      <c r="CB22" s="11">
        <f>BZ22*CA22</f>
        <v>0</v>
      </c>
    </row>
    <row r="23" spans="1:80" x14ac:dyDescent="0.3">
      <c r="A23" s="10">
        <v>18</v>
      </c>
      <c r="B23">
        <f>undergrid!C19*2+undergrid!E19</f>
        <v>12.445</v>
      </c>
      <c r="C23">
        <f>undergrid!C19*2</f>
        <v>6.5</v>
      </c>
      <c r="D23">
        <f>undergrid!E19</f>
        <v>5.9450000000000003</v>
      </c>
      <c r="E23" s="11">
        <f>undergrid!G19</f>
        <v>0.13</v>
      </c>
      <c r="F23">
        <f>undergrid!AL19</f>
        <v>12.456196603200972</v>
      </c>
      <c r="G23" s="12">
        <f>undergrid!Q19</f>
        <v>3.97</v>
      </c>
      <c r="H23" s="12">
        <f t="shared" si="0"/>
        <v>3.97</v>
      </c>
      <c r="I23" s="12">
        <f t="shared" si="1"/>
        <v>0</v>
      </c>
      <c r="J23" s="12">
        <f>-(undergrid!M19-Graphs!G23)</f>
        <v>0</v>
      </c>
      <c r="K23" s="12">
        <f t="shared" si="2"/>
        <v>0</v>
      </c>
      <c r="L23" s="12">
        <f>Costs!AF19+Costs!AG19</f>
        <v>0</v>
      </c>
      <c r="M23" s="12">
        <f>-undergrid!Y19</f>
        <v>0</v>
      </c>
      <c r="N23" s="12">
        <f>undergrid!S19</f>
        <v>0</v>
      </c>
      <c r="O23" s="12">
        <f>IF(undergrid!S19&gt;0.0001,IF(C23-H23&gt;undergrid!S19,undergrid!S19,C23-H23),0)</f>
        <v>0</v>
      </c>
      <c r="P23" s="12">
        <f>undergrid!S19-O23</f>
        <v>0</v>
      </c>
      <c r="Q23" s="12">
        <f>-undergrid!W19</f>
        <v>-8.4875381894747726</v>
      </c>
      <c r="R23" s="12">
        <f t="shared" si="3"/>
        <v>8.4875381894747726</v>
      </c>
      <c r="S23" s="22">
        <f>IF(undergrid!K19=2,1,0)</f>
        <v>1</v>
      </c>
      <c r="T23" s="12">
        <f>-undergrid!O19*$AD$1</f>
        <v>-1.063677304092323E-2</v>
      </c>
      <c r="U23" s="12">
        <f>undergrid!U19*$AD$2</f>
        <v>0</v>
      </c>
      <c r="V23" s="12">
        <f>undergrid!S19-N23</f>
        <v>0</v>
      </c>
      <c r="W23" s="12">
        <f t="shared" si="4"/>
        <v>8.4749999999999996</v>
      </c>
      <c r="X23" s="13">
        <f>undergrid!AJ19</f>
        <v>0.99994400627009783</v>
      </c>
      <c r="BS23" t="str">
        <f>VLOOKUP(BT23,$BT$14:$BU$16,2,FALSE)</f>
        <v>Load B</v>
      </c>
      <c r="BT23">
        <f>LARGE($BT$14:$BT$16,ROWS($BT$14:BT15))</f>
        <v>0.14000000000000001</v>
      </c>
      <c r="BU23" s="11">
        <f t="shared" ref="BU23:BU24" si="5">VLOOKUP(BT23,$BT$14:$BV$16,3,FALSE)</f>
        <v>0</v>
      </c>
      <c r="BV23" s="11">
        <f t="shared" ref="BV23:BV25" si="6">BT23*BU23</f>
        <v>0</v>
      </c>
      <c r="BY23" t="str">
        <f t="shared" ref="BY23:BY25" si="7">VLOOKUP(BZ23,$BZ$14:$CA$17,2,FALSE)</f>
        <v>Bat. Discharge</v>
      </c>
      <c r="BZ23" s="101">
        <f>SMALL($BZ$14:$BZ$17,ROWS($BZ$14:BZ15))</f>
        <v>3.9999999999999998E-6</v>
      </c>
      <c r="CA23" s="11">
        <f t="shared" ref="CA23:CA25" si="8">VLOOKUP(BZ23,$BZ$14:$CB$17,3,FALSE)</f>
        <v>17.260130579673373</v>
      </c>
      <c r="CB23" s="11">
        <f t="shared" ref="CB23:CB25" si="9">BZ23*CA23</f>
        <v>6.9040522318693481E-5</v>
      </c>
    </row>
    <row r="24" spans="1:80" x14ac:dyDescent="0.3">
      <c r="A24" s="10">
        <v>19</v>
      </c>
      <c r="B24">
        <f>undergrid!C20*2+undergrid!E20</f>
        <v>15.521000000000001</v>
      </c>
      <c r="C24">
        <f>undergrid!C20*2</f>
        <v>11.02</v>
      </c>
      <c r="D24">
        <f>undergrid!E20</f>
        <v>4.5010000000000003</v>
      </c>
      <c r="E24" s="11">
        <f>undergrid!G20</f>
        <v>0.13</v>
      </c>
      <c r="F24">
        <f>undergrid!AL20</f>
        <v>11.02</v>
      </c>
      <c r="G24" s="12">
        <f>undergrid!Q20</f>
        <v>2.06</v>
      </c>
      <c r="H24" s="12">
        <f t="shared" si="0"/>
        <v>2.06</v>
      </c>
      <c r="I24" s="12">
        <f t="shared" si="1"/>
        <v>0</v>
      </c>
      <c r="J24" s="12">
        <f>-(undergrid!M20-Graphs!G24)</f>
        <v>0</v>
      </c>
      <c r="K24" s="12">
        <f t="shared" si="2"/>
        <v>0</v>
      </c>
      <c r="L24" s="12">
        <f>Costs!AF20+Costs!AG20</f>
        <v>4.5010000000000003</v>
      </c>
      <c r="M24" s="12">
        <f>-undergrid!Y20</f>
        <v>0</v>
      </c>
      <c r="N24" s="12">
        <f>undergrid!S20</f>
        <v>0</v>
      </c>
      <c r="O24" s="12">
        <f>IF(undergrid!S20&gt;0.0001,IF(C24-H24&gt;undergrid!S20,undergrid!S20,C24-H24),0)</f>
        <v>0</v>
      </c>
      <c r="P24" s="12">
        <f>undergrid!S20-O24</f>
        <v>0</v>
      </c>
      <c r="Q24" s="12">
        <f>-undergrid!W20</f>
        <v>0</v>
      </c>
      <c r="R24" s="12">
        <f t="shared" si="3"/>
        <v>0</v>
      </c>
      <c r="S24" s="22">
        <f>IF(undergrid!K20=2,1,0)</f>
        <v>0</v>
      </c>
      <c r="T24" s="12">
        <f>-undergrid!O20*$AD$1</f>
        <v>0</v>
      </c>
      <c r="U24" s="12">
        <f>undergrid!U20*$AD$2</f>
        <v>8.9600000000000026</v>
      </c>
      <c r="V24" s="12">
        <f>undergrid!S20-N24</f>
        <v>0</v>
      </c>
      <c r="W24" s="12">
        <f t="shared" si="4"/>
        <v>13.461</v>
      </c>
      <c r="X24" s="13">
        <f>undergrid!AJ20</f>
        <v>0.90033245385019112</v>
      </c>
      <c r="BS24" t="str">
        <f>VLOOKUP(BT24,$BT$14:$BU$16,2,FALSE)</f>
        <v>Grid Exp</v>
      </c>
      <c r="BT24">
        <f>LARGE($BT$14:$BT$16,ROWS($BT$14:BT16))</f>
        <v>0.13</v>
      </c>
      <c r="BU24" s="11">
        <f t="shared" si="5"/>
        <v>0</v>
      </c>
      <c r="BV24" s="11">
        <f t="shared" si="6"/>
        <v>0</v>
      </c>
      <c r="BY24" t="str">
        <f t="shared" si="7"/>
        <v>Grid Imp</v>
      </c>
      <c r="BZ24" s="101">
        <f>SMALL($BZ$14:$BZ$17,ROWS($BZ$14:BZ16))</f>
        <v>0.15</v>
      </c>
      <c r="CA24" s="11">
        <f t="shared" si="8"/>
        <v>0</v>
      </c>
      <c r="CB24" s="11">
        <f t="shared" si="9"/>
        <v>0</v>
      </c>
    </row>
    <row r="25" spans="1:80" x14ac:dyDescent="0.3">
      <c r="A25" s="10">
        <v>20</v>
      </c>
      <c r="B25">
        <f>undergrid!C21*2+undergrid!E21</f>
        <v>9.0039999999999996</v>
      </c>
      <c r="C25">
        <f>undergrid!C21*2</f>
        <v>5.42</v>
      </c>
      <c r="D25">
        <f>undergrid!E21</f>
        <v>3.5840000000000001</v>
      </c>
      <c r="E25" s="11">
        <f>undergrid!G21</f>
        <v>0.13</v>
      </c>
      <c r="F25">
        <f>undergrid!AL21</f>
        <v>5.42</v>
      </c>
      <c r="G25" s="12">
        <f>undergrid!Q21</f>
        <v>0</v>
      </c>
      <c r="H25" s="12">
        <f t="shared" si="0"/>
        <v>0</v>
      </c>
      <c r="I25" s="12">
        <f t="shared" si="1"/>
        <v>0</v>
      </c>
      <c r="J25" s="12">
        <f>-(undergrid!M21-Graphs!G25)</f>
        <v>-4.5E-10</v>
      </c>
      <c r="K25" s="12">
        <f t="shared" si="2"/>
        <v>0</v>
      </c>
      <c r="L25" s="12">
        <f>Costs!AF21+Costs!AG21</f>
        <v>3.5840000000000001</v>
      </c>
      <c r="M25" s="12">
        <f>-undergrid!Y21</f>
        <v>0</v>
      </c>
      <c r="N25" s="12">
        <f>undergrid!S21</f>
        <v>0</v>
      </c>
      <c r="O25" s="12">
        <f>IF(undergrid!S21&gt;0.0001,IF(C25-H25&gt;undergrid!S21,undergrid!S21,C25-H25),0)</f>
        <v>0</v>
      </c>
      <c r="P25" s="12">
        <f>undergrid!S21-O25</f>
        <v>0</v>
      </c>
      <c r="Q25" s="12">
        <f>-undergrid!W21</f>
        <v>0</v>
      </c>
      <c r="R25" s="12">
        <f t="shared" si="3"/>
        <v>0</v>
      </c>
      <c r="S25" s="22">
        <f>IF(undergrid!K21=2,1,0)</f>
        <v>0</v>
      </c>
      <c r="T25" s="12">
        <f>-undergrid!O21*$AD$1</f>
        <v>0</v>
      </c>
      <c r="U25" s="12">
        <f>undergrid!U21*$AD$2</f>
        <v>5.4199999995499999</v>
      </c>
      <c r="V25" s="12">
        <f>undergrid!S21-N25</f>
        <v>0</v>
      </c>
      <c r="W25" s="12">
        <f t="shared" si="4"/>
        <v>9.0039999999999996</v>
      </c>
      <c r="X25" s="13">
        <f>undergrid!AJ21</f>
        <v>0.84005981301555332</v>
      </c>
      <c r="BS25" t="str">
        <f>BS17</f>
        <v>Bat. Charge</v>
      </c>
      <c r="BT25">
        <f>BT17</f>
        <v>0</v>
      </c>
      <c r="BU25" s="102">
        <f>BV17</f>
        <v>1.7260130575173349</v>
      </c>
      <c r="BV25" s="11">
        <f t="shared" si="6"/>
        <v>0</v>
      </c>
      <c r="BY25" t="str">
        <f t="shared" si="7"/>
        <v>Genset</v>
      </c>
      <c r="BZ25" s="101">
        <f>SMALL($BZ$14:$BZ$17,ROWS($BZ$14:BZ17))</f>
        <v>0.33332999999999996</v>
      </c>
      <c r="CA25" s="11">
        <f t="shared" si="8"/>
        <v>7.7458824778439643</v>
      </c>
      <c r="CB25" s="11">
        <f t="shared" si="9"/>
        <v>2.5819350063397284</v>
      </c>
    </row>
    <row r="26" spans="1:80" x14ac:dyDescent="0.3">
      <c r="A26" s="10">
        <v>21</v>
      </c>
      <c r="B26">
        <f>undergrid!C22*2+undergrid!E22</f>
        <v>25.151</v>
      </c>
      <c r="C26">
        <f>undergrid!C22*2</f>
        <v>21.28</v>
      </c>
      <c r="D26">
        <f>undergrid!E22</f>
        <v>3.871</v>
      </c>
      <c r="E26" s="11">
        <f>undergrid!G22</f>
        <v>0.13</v>
      </c>
      <c r="F26">
        <f>undergrid!AL22</f>
        <v>21.28</v>
      </c>
      <c r="G26" s="12">
        <f>undergrid!Q22</f>
        <v>0</v>
      </c>
      <c r="H26" s="12">
        <f t="shared" si="0"/>
        <v>0</v>
      </c>
      <c r="I26" s="12">
        <f t="shared" si="1"/>
        <v>0</v>
      </c>
      <c r="J26" s="12">
        <f>-(undergrid!M22-Graphs!G26)</f>
        <v>-4.5E-10</v>
      </c>
      <c r="K26" s="12">
        <f t="shared" si="2"/>
        <v>0</v>
      </c>
      <c r="L26" s="12">
        <f>Costs!AF22+Costs!AG22</f>
        <v>3.871</v>
      </c>
      <c r="M26" s="12">
        <f>-undergrid!Y22</f>
        <v>0</v>
      </c>
      <c r="N26" s="12">
        <f>undergrid!S22</f>
        <v>0</v>
      </c>
      <c r="O26" s="12">
        <f>IF(undergrid!S22&gt;0.0001,IF(C26-H26&gt;undergrid!S22,undergrid!S22,C26-H26),0)</f>
        <v>0</v>
      </c>
      <c r="P26" s="12">
        <f>undergrid!S22-O26</f>
        <v>0</v>
      </c>
      <c r="Q26" s="12">
        <f>-undergrid!W22</f>
        <v>0</v>
      </c>
      <c r="R26" s="12">
        <f t="shared" si="3"/>
        <v>0</v>
      </c>
      <c r="S26" s="22">
        <f>IF(undergrid!K22=2,1,0)</f>
        <v>0</v>
      </c>
      <c r="T26" s="12">
        <f>-undergrid!O22*$AD$1</f>
        <v>0</v>
      </c>
      <c r="U26" s="12">
        <f>undergrid!U22*$AD$2</f>
        <v>21.279999999550004</v>
      </c>
      <c r="V26" s="12">
        <f>undergrid!S22-N26</f>
        <v>0</v>
      </c>
      <c r="W26" s="12">
        <f t="shared" si="4"/>
        <v>25.151</v>
      </c>
      <c r="X26" s="13">
        <f>undergrid!AJ22</f>
        <v>0.6035683252265801</v>
      </c>
      <c r="BU26" s="11">
        <f>SUM(BU22:BU25)</f>
        <v>25.006013057517336</v>
      </c>
      <c r="BV26" s="11">
        <f>SUM(BV22:BV25)</f>
        <v>11.64</v>
      </c>
      <c r="BW26" s="11">
        <f>SUM(BV22:BV24)</f>
        <v>11.64</v>
      </c>
      <c r="CA26" s="11">
        <f>SUM(CA22:CA25)</f>
        <v>25.006013057517336</v>
      </c>
      <c r="CB26" s="11">
        <f>SUM(CB22:CB25)</f>
        <v>2.5820040468620471</v>
      </c>
    </row>
    <row r="27" spans="1:80" x14ac:dyDescent="0.3">
      <c r="A27" s="10">
        <v>22</v>
      </c>
      <c r="B27">
        <f>undergrid!C23*2+undergrid!E23</f>
        <v>25.984999999999999</v>
      </c>
      <c r="C27">
        <f>undergrid!C23*2</f>
        <v>23.28</v>
      </c>
      <c r="D27">
        <f>undergrid!E23</f>
        <v>2.7050000000000001</v>
      </c>
      <c r="E27" s="11">
        <f>undergrid!G23</f>
        <v>0.13</v>
      </c>
      <c r="F27">
        <f>undergrid!AL23</f>
        <v>23.28</v>
      </c>
      <c r="G27" s="12">
        <f>undergrid!Q23</f>
        <v>0</v>
      </c>
      <c r="H27" s="12">
        <f t="shared" si="0"/>
        <v>0</v>
      </c>
      <c r="I27" s="12">
        <f t="shared" si="1"/>
        <v>0</v>
      </c>
      <c r="J27" s="12">
        <f>-(undergrid!M23-Graphs!G27)</f>
        <v>-4.5E-10</v>
      </c>
      <c r="K27" s="12">
        <f t="shared" si="2"/>
        <v>0</v>
      </c>
      <c r="L27" s="12">
        <f>Costs!AF23+Costs!AG23</f>
        <v>2.7050000000000001</v>
      </c>
      <c r="M27" s="12">
        <f>-undergrid!Y23</f>
        <v>0</v>
      </c>
      <c r="N27" s="12">
        <f>undergrid!S23</f>
        <v>7.7458824778439643</v>
      </c>
      <c r="O27" s="12">
        <f>IF(undergrid!S23&gt;0.0001,IF(C27-H27&gt;undergrid!S23,undergrid!S23,C27-H27),0)</f>
        <v>7.7458824778439643</v>
      </c>
      <c r="P27" s="12">
        <f>undergrid!S23-O27</f>
        <v>0</v>
      </c>
      <c r="Q27" s="12">
        <f>-undergrid!W23</f>
        <v>0</v>
      </c>
      <c r="R27" s="12">
        <f t="shared" si="3"/>
        <v>0</v>
      </c>
      <c r="S27" s="22">
        <f>IF(undergrid!K23=2,1,0)</f>
        <v>0</v>
      </c>
      <c r="T27" s="12">
        <f>-undergrid!O23*$AD$1</f>
        <v>0</v>
      </c>
      <c r="U27" s="12">
        <f>undergrid!U23*$AD$2</f>
        <v>15.534117521706035</v>
      </c>
      <c r="V27" s="12">
        <f>undergrid!S23-N27</f>
        <v>0</v>
      </c>
      <c r="W27" s="12">
        <f t="shared" si="4"/>
        <v>18.239117522156036</v>
      </c>
      <c r="X27" s="13">
        <f>undergrid!AJ23</f>
        <v>0.43093321960363368</v>
      </c>
    </row>
    <row r="28" spans="1:80" x14ac:dyDescent="0.3">
      <c r="A28" s="10">
        <v>23</v>
      </c>
      <c r="B28">
        <f>undergrid!C24*2+undergrid!E24</f>
        <v>8.2759999999999998</v>
      </c>
      <c r="C28">
        <f>undergrid!C24*2</f>
        <v>6.32</v>
      </c>
      <c r="D28">
        <f>undergrid!E24</f>
        <v>1.956</v>
      </c>
      <c r="E28" s="11">
        <f>undergrid!G24</f>
        <v>0.08</v>
      </c>
      <c r="F28">
        <f>undergrid!AL24</f>
        <v>6.32</v>
      </c>
      <c r="G28" s="12">
        <f>undergrid!Q24</f>
        <v>0</v>
      </c>
      <c r="H28" s="12">
        <f t="shared" si="0"/>
        <v>0</v>
      </c>
      <c r="I28" s="12">
        <f t="shared" si="1"/>
        <v>0</v>
      </c>
      <c r="J28" s="12">
        <f>-(undergrid!M24-Graphs!G28)</f>
        <v>-4.5E-10</v>
      </c>
      <c r="K28" s="12">
        <f t="shared" si="2"/>
        <v>0</v>
      </c>
      <c r="L28" s="12">
        <f>Costs!AF24+Costs!AG24</f>
        <v>1.956</v>
      </c>
      <c r="M28" s="12">
        <f>-undergrid!Y24</f>
        <v>0</v>
      </c>
      <c r="N28" s="12">
        <f>undergrid!S24</f>
        <v>0</v>
      </c>
      <c r="O28" s="12">
        <f>IF(undergrid!S24&gt;0.0001,IF(C28-H28&gt;undergrid!S24,undergrid!S24,C28-H28),0)</f>
        <v>0</v>
      </c>
      <c r="P28" s="12">
        <f>undergrid!S24-O28</f>
        <v>0</v>
      </c>
      <c r="Q28" s="12">
        <f>-undergrid!W24</f>
        <v>0</v>
      </c>
      <c r="R28" s="12">
        <f t="shared" si="3"/>
        <v>0</v>
      </c>
      <c r="S28" s="22">
        <f>IF(undergrid!K24=2,1,0)</f>
        <v>0</v>
      </c>
      <c r="T28" s="12">
        <f>-undergrid!O24*$AD$1</f>
        <v>0</v>
      </c>
      <c r="U28" s="12">
        <f>undergrid!U24*$AD$2</f>
        <v>6.3199999995500002</v>
      </c>
      <c r="V28" s="12">
        <f>undergrid!S24-N28</f>
        <v>0</v>
      </c>
      <c r="W28" s="12">
        <f t="shared" si="4"/>
        <v>8.2759999999999998</v>
      </c>
      <c r="X28" s="13">
        <f>undergrid!AJ24</f>
        <v>0.3606868651261137</v>
      </c>
      <c r="BS28" s="108" t="s">
        <v>257</v>
      </c>
      <c r="BT28" s="108"/>
      <c r="BU28" s="108"/>
      <c r="BY28" s="108" t="s">
        <v>258</v>
      </c>
      <c r="BZ28" s="108"/>
      <c r="CA28" s="108"/>
    </row>
    <row r="29" spans="1:80" x14ac:dyDescent="0.3">
      <c r="A29" s="10">
        <v>24</v>
      </c>
      <c r="B29">
        <f>undergrid!C25*2+undergrid!E25</f>
        <v>7.6020000000000003</v>
      </c>
      <c r="C29">
        <f>undergrid!C25*2</f>
        <v>5.46</v>
      </c>
      <c r="D29">
        <f>undergrid!E25</f>
        <v>2.1419999999999999</v>
      </c>
      <c r="E29" s="11">
        <f>undergrid!G25</f>
        <v>0.08</v>
      </c>
      <c r="F29">
        <f>undergrid!AL25</f>
        <v>5.4600000000000009</v>
      </c>
      <c r="G29" s="12">
        <f>undergrid!Q25</f>
        <v>0</v>
      </c>
      <c r="H29" s="12">
        <f t="shared" si="0"/>
        <v>0</v>
      </c>
      <c r="I29" s="12">
        <f t="shared" si="1"/>
        <v>0</v>
      </c>
      <c r="J29" s="12">
        <f>-(undergrid!M25-Graphs!G29)</f>
        <v>-4.5E-10</v>
      </c>
      <c r="K29" s="12">
        <f t="shared" si="2"/>
        <v>0</v>
      </c>
      <c r="L29" s="12">
        <f>Costs!AF25+Costs!AG25</f>
        <v>2.1419999999999999</v>
      </c>
      <c r="M29" s="12">
        <f>-undergrid!Y25</f>
        <v>0</v>
      </c>
      <c r="N29" s="12">
        <f>undergrid!S25</f>
        <v>0</v>
      </c>
      <c r="O29" s="12">
        <f>IF(undergrid!S25&gt;0.0001,IF(C29-H29&gt;undergrid!S25,undergrid!S25,C29-H29),0)</f>
        <v>0</v>
      </c>
      <c r="P29" s="12">
        <f>undergrid!S25-O29</f>
        <v>0</v>
      </c>
      <c r="Q29" s="12">
        <f>-undergrid!W25</f>
        <v>0</v>
      </c>
      <c r="R29" s="12">
        <f t="shared" si="3"/>
        <v>0</v>
      </c>
      <c r="S29" s="22">
        <f>IF(undergrid!K25=2,1,0)</f>
        <v>0</v>
      </c>
      <c r="T29" s="12">
        <f>-undergrid!O25*$AD$1</f>
        <v>0</v>
      </c>
      <c r="U29" s="12">
        <f>undergrid!U25*$AD$2</f>
        <v>5.4599999995500008</v>
      </c>
      <c r="V29" s="12">
        <f>undergrid!S25-N29</f>
        <v>0</v>
      </c>
      <c r="W29" s="12">
        <f t="shared" si="4"/>
        <v>7.6020000000000003</v>
      </c>
      <c r="X29" s="13">
        <f>undergrid!AJ25</f>
        <v>0.3</v>
      </c>
      <c r="BS29" t="str">
        <f>BS22</f>
        <v>Load A</v>
      </c>
      <c r="BT29">
        <v>0</v>
      </c>
      <c r="BU29" s="97">
        <f>BT22</f>
        <v>0.5</v>
      </c>
      <c r="BY29" t="str">
        <f>BY22</f>
        <v>PV</v>
      </c>
      <c r="BZ29">
        <v>0</v>
      </c>
      <c r="CA29" s="97">
        <f>BZ22</f>
        <v>1.9999999999999999E-6</v>
      </c>
    </row>
    <row r="30" spans="1:80" x14ac:dyDescent="0.3">
      <c r="A30" s="10">
        <v>25</v>
      </c>
      <c r="B30">
        <f>undergrid!C26*2+undergrid!E26</f>
        <v>6.6859999999999999</v>
      </c>
      <c r="C30">
        <f>undergrid!C26*2</f>
        <v>4.38</v>
      </c>
      <c r="D30">
        <f>undergrid!E26</f>
        <v>2.306</v>
      </c>
      <c r="E30" s="11">
        <f>undergrid!G26</f>
        <v>0.08</v>
      </c>
      <c r="F30">
        <f>undergrid!AL26</f>
        <v>6.6876799999999967</v>
      </c>
      <c r="G30" s="12">
        <f>undergrid!Q26</f>
        <v>0</v>
      </c>
      <c r="H30" s="12">
        <f t="shared" si="0"/>
        <v>0</v>
      </c>
      <c r="I30" s="12">
        <f t="shared" si="1"/>
        <v>0</v>
      </c>
      <c r="J30" s="12">
        <f>-(undergrid!M26-Graphs!G30)</f>
        <v>-4.5E-10</v>
      </c>
      <c r="K30" s="12">
        <f t="shared" si="2"/>
        <v>0</v>
      </c>
      <c r="L30" s="12">
        <f>Costs!AF26+Costs!AG26</f>
        <v>0</v>
      </c>
      <c r="M30" s="12">
        <f>-undergrid!Y26</f>
        <v>0</v>
      </c>
      <c r="N30" s="12">
        <f>undergrid!S26</f>
        <v>0</v>
      </c>
      <c r="O30" s="12">
        <f>IF(undergrid!S26&gt;0.0001,IF(C30-H30&gt;undergrid!S26,undergrid!S26,C30-H30),0)</f>
        <v>0</v>
      </c>
      <c r="P30" s="12">
        <f>undergrid!S26-O30</f>
        <v>0</v>
      </c>
      <c r="Q30" s="12">
        <f>-undergrid!W26</f>
        <v>-6.6878812985421572</v>
      </c>
      <c r="R30" s="12">
        <f t="shared" si="3"/>
        <v>6.6878812985421572</v>
      </c>
      <c r="S30" s="22">
        <f>IF(undergrid!K26=2,1,0)</f>
        <v>1</v>
      </c>
      <c r="T30" s="12">
        <f>-undergrid!O26*$AD$1</f>
        <v>-1.5959999999969553E-3</v>
      </c>
      <c r="U30" s="12">
        <f>undergrid!U26*$AD$2</f>
        <v>0</v>
      </c>
      <c r="V30" s="12">
        <f>undergrid!S26-N30</f>
        <v>0</v>
      </c>
      <c r="W30" s="12">
        <f t="shared" si="4"/>
        <v>6.6859999999999999</v>
      </c>
      <c r="X30" s="13">
        <f>undergrid!AJ26</f>
        <v>0.3</v>
      </c>
      <c r="BS30" t="str">
        <f>BS29</f>
        <v>Load A</v>
      </c>
      <c r="BT30" s="11">
        <f>BU22</f>
        <v>23.28</v>
      </c>
      <c r="BU30" s="97">
        <f>BU29</f>
        <v>0.5</v>
      </c>
      <c r="BY30" t="str">
        <f>BY29</f>
        <v>PV</v>
      </c>
      <c r="BZ30" s="11">
        <f>CA22</f>
        <v>0</v>
      </c>
      <c r="CA30" s="97">
        <f>CA29</f>
        <v>1.9999999999999999E-6</v>
      </c>
    </row>
    <row r="31" spans="1:80" x14ac:dyDescent="0.3">
      <c r="A31" s="10">
        <v>26</v>
      </c>
      <c r="B31">
        <f>undergrid!C27*2+undergrid!E27</f>
        <v>3.89</v>
      </c>
      <c r="C31">
        <f>undergrid!C27*2</f>
        <v>2.02</v>
      </c>
      <c r="D31">
        <f>undergrid!E27</f>
        <v>1.87</v>
      </c>
      <c r="E31" s="11">
        <f>undergrid!G27</f>
        <v>0.08</v>
      </c>
      <c r="F31">
        <f>undergrid!AL27</f>
        <v>3.8916799999999969</v>
      </c>
      <c r="G31" s="12">
        <f>undergrid!Q27</f>
        <v>0</v>
      </c>
      <c r="H31" s="12">
        <f t="shared" si="0"/>
        <v>0</v>
      </c>
      <c r="I31" s="12">
        <f t="shared" si="1"/>
        <v>0</v>
      </c>
      <c r="J31" s="12">
        <f>-(undergrid!M27-Graphs!G31)</f>
        <v>-4.5E-10</v>
      </c>
      <c r="K31" s="12">
        <f t="shared" si="2"/>
        <v>0</v>
      </c>
      <c r="L31" s="12">
        <f>Costs!AF27+Costs!AG27</f>
        <v>0</v>
      </c>
      <c r="M31" s="12">
        <f>-undergrid!Y27</f>
        <v>0</v>
      </c>
      <c r="N31" s="12">
        <f>undergrid!S27</f>
        <v>0</v>
      </c>
      <c r="O31" s="12">
        <f>IF(undergrid!S27&gt;0.0001,IF(C31-H31&gt;undergrid!S27,undergrid!S27,C31-H31),0)</f>
        <v>0</v>
      </c>
      <c r="P31" s="12">
        <f>undergrid!S27-O31</f>
        <v>0</v>
      </c>
      <c r="Q31" s="12">
        <f>-undergrid!W27</f>
        <v>-3.8918812985421578</v>
      </c>
      <c r="R31" s="12">
        <f t="shared" si="3"/>
        <v>3.8918812985421578</v>
      </c>
      <c r="S31" s="22">
        <f>IF(undergrid!K27=2,1,0)</f>
        <v>1</v>
      </c>
      <c r="T31" s="12">
        <f>-undergrid!O27*$AD$1</f>
        <v>-1.5959999999969553E-3</v>
      </c>
      <c r="U31" s="12">
        <f>undergrid!U27*$AD$2</f>
        <v>0</v>
      </c>
      <c r="V31" s="12">
        <f>undergrid!S27-N31</f>
        <v>0</v>
      </c>
      <c r="W31" s="12">
        <f t="shared" si="4"/>
        <v>3.89</v>
      </c>
      <c r="X31" s="13">
        <f>undergrid!AJ27</f>
        <v>0.3</v>
      </c>
      <c r="BS31" t="str">
        <f>BS23</f>
        <v>Load B</v>
      </c>
      <c r="BT31">
        <f>BT30</f>
        <v>23.28</v>
      </c>
      <c r="BU31">
        <f>BT23</f>
        <v>0.14000000000000001</v>
      </c>
      <c r="BY31" t="str">
        <f>BY23</f>
        <v>Bat. Discharge</v>
      </c>
      <c r="BZ31">
        <f>BZ30</f>
        <v>0</v>
      </c>
      <c r="CA31">
        <f>BZ23</f>
        <v>3.9999999999999998E-6</v>
      </c>
    </row>
    <row r="32" spans="1:80" x14ac:dyDescent="0.3">
      <c r="A32" s="10">
        <v>27</v>
      </c>
      <c r="B32">
        <f>undergrid!C28*2+undergrid!E28</f>
        <v>1.649</v>
      </c>
      <c r="C32">
        <f>undergrid!C28*2</f>
        <v>0.86</v>
      </c>
      <c r="D32">
        <f>undergrid!E28</f>
        <v>0.78900000000000003</v>
      </c>
      <c r="E32" s="11">
        <f>undergrid!G28</f>
        <v>0.08</v>
      </c>
      <c r="F32">
        <f>undergrid!AL28</f>
        <v>15.618150923743944</v>
      </c>
      <c r="G32" s="12">
        <f>undergrid!Q28</f>
        <v>0</v>
      </c>
      <c r="H32" s="12">
        <f t="shared" si="0"/>
        <v>0</v>
      </c>
      <c r="I32" s="12">
        <f t="shared" si="1"/>
        <v>0</v>
      </c>
      <c r="J32" s="12">
        <f>-(undergrid!M28-Graphs!G32)</f>
        <v>-4.5E-10</v>
      </c>
      <c r="K32" s="12">
        <f t="shared" si="2"/>
        <v>0</v>
      </c>
      <c r="L32" s="12">
        <f>Costs!AF28+Costs!AG28</f>
        <v>0</v>
      </c>
      <c r="M32" s="12">
        <f>-undergrid!Y28</f>
        <v>0</v>
      </c>
      <c r="N32" s="12">
        <f>undergrid!S28</f>
        <v>0</v>
      </c>
      <c r="O32" s="12">
        <f>IF(undergrid!S28&gt;0.0001,IF(C32-H32&gt;undergrid!S28,undergrid!S28,C32-H32),0)</f>
        <v>0</v>
      </c>
      <c r="P32" s="12">
        <f>undergrid!S28-O32</f>
        <v>0</v>
      </c>
      <c r="Q32" s="12">
        <f>-undergrid!W28</f>
        <v>-17.291946162757107</v>
      </c>
      <c r="R32" s="12">
        <f t="shared" si="3"/>
        <v>17.291946162757107</v>
      </c>
      <c r="S32" s="22">
        <f>IF(undergrid!K28=2,1,0)</f>
        <v>1</v>
      </c>
      <c r="T32" s="12">
        <f>-undergrid!O28*$AD$1</f>
        <v>-13.270693377556745</v>
      </c>
      <c r="U32" s="12">
        <f>undergrid!U28*$AD$2</f>
        <v>0</v>
      </c>
      <c r="V32" s="12">
        <f>undergrid!S28-N32</f>
        <v>0</v>
      </c>
      <c r="W32" s="12">
        <f t="shared" si="4"/>
        <v>1.649</v>
      </c>
      <c r="X32" s="13">
        <f>undergrid!AJ28</f>
        <v>0.43967470923743945</v>
      </c>
      <c r="BS32" t="str">
        <f>BS31</f>
        <v>Load B</v>
      </c>
      <c r="BT32" s="11">
        <f>BT31+BU23</f>
        <v>23.28</v>
      </c>
      <c r="BU32">
        <f>BU31</f>
        <v>0.14000000000000001</v>
      </c>
      <c r="BY32" t="str">
        <f>BY31</f>
        <v>Bat. Discharge</v>
      </c>
      <c r="BZ32" s="11">
        <f>BZ31+CA23</f>
        <v>17.260130579673373</v>
      </c>
      <c r="CA32">
        <f>CA31</f>
        <v>3.9999999999999998E-6</v>
      </c>
    </row>
    <row r="33" spans="1:79" x14ac:dyDescent="0.3">
      <c r="A33" s="10">
        <v>28</v>
      </c>
      <c r="B33">
        <f>undergrid!C29*2+undergrid!E29</f>
        <v>5.4889999999999999</v>
      </c>
      <c r="C33">
        <f>undergrid!C29*2</f>
        <v>2.84</v>
      </c>
      <c r="D33">
        <f>undergrid!E29</f>
        <v>2.649</v>
      </c>
      <c r="E33" s="11">
        <f>undergrid!G29</f>
        <v>0.08</v>
      </c>
      <c r="F33">
        <f>undergrid!AL29</f>
        <v>22.912323000401852</v>
      </c>
      <c r="G33" s="12">
        <f>undergrid!Q29</f>
        <v>0</v>
      </c>
      <c r="H33" s="12">
        <f t="shared" si="0"/>
        <v>0</v>
      </c>
      <c r="I33" s="12">
        <f t="shared" si="1"/>
        <v>0</v>
      </c>
      <c r="J33" s="12">
        <f>-(undergrid!M29-Graphs!G33)</f>
        <v>-4.5E-10</v>
      </c>
      <c r="K33" s="12">
        <f t="shared" si="2"/>
        <v>0</v>
      </c>
      <c r="L33" s="12">
        <f>Costs!AF29+Costs!AG29</f>
        <v>0</v>
      </c>
      <c r="M33" s="12">
        <f>-undergrid!Y29</f>
        <v>0</v>
      </c>
      <c r="N33" s="12">
        <f>undergrid!S29</f>
        <v>0</v>
      </c>
      <c r="O33" s="12">
        <f>IF(undergrid!S29&gt;0.0001,IF(C33-H33&gt;undergrid!S29,undergrid!S29,C33-H33),0)</f>
        <v>0</v>
      </c>
      <c r="P33" s="12">
        <f>undergrid!S29-O33</f>
        <v>0</v>
      </c>
      <c r="Q33" s="12">
        <f>-undergrid!W29</f>
        <v>-25</v>
      </c>
      <c r="R33" s="12">
        <f t="shared" si="3"/>
        <v>25</v>
      </c>
      <c r="S33" s="22">
        <f>IF(undergrid!K29=2,1,0)</f>
        <v>1</v>
      </c>
      <c r="T33" s="12">
        <f>-undergrid!O29*$AD$1</f>
        <v>-16.552156850381756</v>
      </c>
      <c r="U33" s="12">
        <f>undergrid!U29*$AD$2</f>
        <v>0</v>
      </c>
      <c r="V33" s="12">
        <f>undergrid!S29-N33</f>
        <v>0</v>
      </c>
      <c r="W33" s="12">
        <f t="shared" si="4"/>
        <v>5.4889999999999999</v>
      </c>
      <c r="X33" s="13">
        <f>undergrid!AJ29</f>
        <v>0.61388331745774072</v>
      </c>
      <c r="BS33" t="str">
        <f>BS24</f>
        <v>Grid Exp</v>
      </c>
      <c r="BT33">
        <f>BT32</f>
        <v>23.28</v>
      </c>
      <c r="BU33">
        <f>BT24</f>
        <v>0.13</v>
      </c>
      <c r="BY33" t="str">
        <f>BY24</f>
        <v>Grid Imp</v>
      </c>
      <c r="BZ33">
        <f>BZ32</f>
        <v>17.260130579673373</v>
      </c>
      <c r="CA33">
        <f>BZ24</f>
        <v>0.15</v>
      </c>
    </row>
    <row r="34" spans="1:79" x14ac:dyDescent="0.3">
      <c r="A34" s="10">
        <v>29</v>
      </c>
      <c r="B34">
        <f>undergrid!C30*2+undergrid!E30</f>
        <v>3.1379999999999999</v>
      </c>
      <c r="C34">
        <f>undergrid!C30*2</f>
        <v>1.62</v>
      </c>
      <c r="D34">
        <f>undergrid!E30</f>
        <v>1.518</v>
      </c>
      <c r="E34" s="11">
        <f>undergrid!G30</f>
        <v>0.08</v>
      </c>
      <c r="F34">
        <f>undergrid!AL30</f>
        <v>22.66076600040185</v>
      </c>
      <c r="G34" s="12">
        <f>undergrid!Q30</f>
        <v>0</v>
      </c>
      <c r="H34" s="12">
        <f t="shared" si="0"/>
        <v>0</v>
      </c>
      <c r="I34" s="12">
        <f t="shared" si="1"/>
        <v>0</v>
      </c>
      <c r="J34" s="12">
        <f>-(undergrid!M30-Graphs!G34)</f>
        <v>-4.5E-10</v>
      </c>
      <c r="K34" s="12">
        <f t="shared" si="2"/>
        <v>0</v>
      </c>
      <c r="L34" s="12">
        <f>Costs!AF30+Costs!AG30</f>
        <v>0</v>
      </c>
      <c r="M34" s="12">
        <f>-undergrid!Y30</f>
        <v>0</v>
      </c>
      <c r="N34" s="12">
        <f>undergrid!S30</f>
        <v>0</v>
      </c>
      <c r="O34" s="12">
        <f>IF(undergrid!S30&gt;0.0001,IF(C34-H34&gt;undergrid!S30,undergrid!S30,C34-H34),0)</f>
        <v>0</v>
      </c>
      <c r="P34" s="12">
        <f>undergrid!S30-O34</f>
        <v>0</v>
      </c>
      <c r="Q34" s="12">
        <f>-undergrid!W30</f>
        <v>-25</v>
      </c>
      <c r="R34" s="12">
        <f t="shared" si="3"/>
        <v>25</v>
      </c>
      <c r="S34" s="22">
        <f>IF(undergrid!K30=2,1,0)</f>
        <v>1</v>
      </c>
      <c r="T34" s="12">
        <f>-undergrid!O30*$AD$1</f>
        <v>-18.546627700381759</v>
      </c>
      <c r="U34" s="12">
        <f>undergrid!U30*$AD$2</f>
        <v>0</v>
      </c>
      <c r="V34" s="12">
        <f>undergrid!S30-N34</f>
        <v>0</v>
      </c>
      <c r="W34" s="12">
        <f t="shared" si="4"/>
        <v>3.1379999999999999</v>
      </c>
      <c r="X34" s="13">
        <f>undergrid!AJ30</f>
        <v>0.80907659999598147</v>
      </c>
      <c r="BS34" t="str">
        <f>BS33</f>
        <v>Grid Exp</v>
      </c>
      <c r="BT34" s="11">
        <f>BT33+BU24</f>
        <v>23.28</v>
      </c>
      <c r="BU34">
        <f>BU33</f>
        <v>0.13</v>
      </c>
      <c r="BY34" t="str">
        <f>BY33</f>
        <v>Grid Imp</v>
      </c>
      <c r="BZ34" s="11">
        <f>BZ33+CA24</f>
        <v>17.260130579673373</v>
      </c>
      <c r="CA34">
        <f>CA33</f>
        <v>0.15</v>
      </c>
    </row>
    <row r="35" spans="1:79" x14ac:dyDescent="0.3">
      <c r="A35" s="10">
        <v>30</v>
      </c>
      <c r="B35">
        <f>undergrid!C31*2+undergrid!E31</f>
        <v>3.62</v>
      </c>
      <c r="C35">
        <f>undergrid!C31*2</f>
        <v>1.88</v>
      </c>
      <c r="D35">
        <f>undergrid!E31</f>
        <v>1.74</v>
      </c>
      <c r="E35" s="11">
        <f>undergrid!G31</f>
        <v>0.08</v>
      </c>
      <c r="F35">
        <f>undergrid!AL31</f>
        <v>22.712340000401852</v>
      </c>
      <c r="G35" s="12">
        <f>undergrid!Q31</f>
        <v>0</v>
      </c>
      <c r="H35" s="12">
        <f t="shared" si="0"/>
        <v>0</v>
      </c>
      <c r="I35" s="12">
        <f t="shared" si="1"/>
        <v>0</v>
      </c>
      <c r="J35" s="12">
        <f>-(undergrid!M31-Graphs!G35)</f>
        <v>-4.5E-10</v>
      </c>
      <c r="K35" s="12">
        <f t="shared" si="2"/>
        <v>0</v>
      </c>
      <c r="L35" s="12">
        <f>Costs!AF31+Costs!AG31</f>
        <v>0</v>
      </c>
      <c r="M35" s="12">
        <f>-undergrid!Y31</f>
        <v>0</v>
      </c>
      <c r="N35" s="12">
        <f>undergrid!S31</f>
        <v>0</v>
      </c>
      <c r="O35" s="12">
        <f>IF(undergrid!S31&gt;0.0001,IF(C35-H35&gt;undergrid!S31,undergrid!S31,C35-H35),0)</f>
        <v>0</v>
      </c>
      <c r="P35" s="12">
        <f>undergrid!S31-O35</f>
        <v>0</v>
      </c>
      <c r="Q35" s="12">
        <f>-undergrid!W31</f>
        <v>-25</v>
      </c>
      <c r="R35" s="12">
        <f t="shared" si="3"/>
        <v>25</v>
      </c>
      <c r="S35" s="22">
        <f>IF(undergrid!K31=2,1,0)</f>
        <v>1</v>
      </c>
      <c r="T35" s="12">
        <f>-undergrid!O31*$AD$1</f>
        <v>-18.137723000381758</v>
      </c>
      <c r="U35" s="12">
        <f>undergrid!U31*$AD$2</f>
        <v>0</v>
      </c>
      <c r="V35" s="12">
        <f>undergrid!S31-N35</f>
        <v>0</v>
      </c>
      <c r="W35" s="12">
        <f t="shared" si="4"/>
        <v>3.62</v>
      </c>
      <c r="X35" s="13">
        <f>undergrid!AJ31</f>
        <v>0.9999546917104003</v>
      </c>
      <c r="BY35" t="str">
        <f>BY25</f>
        <v>Genset</v>
      </c>
      <c r="BZ35" s="11">
        <f>BZ34</f>
        <v>17.260130579673373</v>
      </c>
      <c r="CA35" s="100">
        <f>BZ25</f>
        <v>0.33332999999999996</v>
      </c>
    </row>
    <row r="36" spans="1:79" x14ac:dyDescent="0.3">
      <c r="A36" s="10">
        <v>31</v>
      </c>
      <c r="B36">
        <f>undergrid!C32*2+undergrid!E32</f>
        <v>3.0390000000000001</v>
      </c>
      <c r="C36">
        <f>undergrid!C32*2</f>
        <v>1.58</v>
      </c>
      <c r="D36">
        <f>undergrid!E32</f>
        <v>1.4590000000000001</v>
      </c>
      <c r="E36" s="11">
        <f>undergrid!G32</f>
        <v>0.13</v>
      </c>
      <c r="F36">
        <f>undergrid!AL32</f>
        <v>27.000000000450001</v>
      </c>
      <c r="G36" s="12">
        <f>undergrid!Q32</f>
        <v>0</v>
      </c>
      <c r="H36" s="12">
        <f t="shared" si="0"/>
        <v>0</v>
      </c>
      <c r="I36" s="12">
        <f t="shared" si="1"/>
        <v>0</v>
      </c>
      <c r="J36" s="12">
        <f>-(undergrid!M32-Graphs!G36)</f>
        <v>-4.5E-10</v>
      </c>
      <c r="K36" s="12">
        <f t="shared" si="2"/>
        <v>0</v>
      </c>
      <c r="L36" s="12">
        <f>Costs!AF32+Costs!AG32</f>
        <v>0</v>
      </c>
      <c r="M36" s="12">
        <f>-undergrid!Y32</f>
        <v>-23.961000000449999</v>
      </c>
      <c r="N36" s="12">
        <f>undergrid!S32</f>
        <v>0</v>
      </c>
      <c r="O36" s="12">
        <f>IF(undergrid!S32&gt;0.0001,IF(C36-H36&gt;undergrid!S32,undergrid!S32,C36-H36),0)</f>
        <v>0</v>
      </c>
      <c r="P36" s="12">
        <f>undergrid!S32-O36</f>
        <v>0</v>
      </c>
      <c r="Q36" s="12">
        <f>-undergrid!W32</f>
        <v>0</v>
      </c>
      <c r="R36" s="12">
        <f t="shared" si="3"/>
        <v>0</v>
      </c>
      <c r="S36" s="22">
        <f>IF(undergrid!K32=2,1,0)</f>
        <v>1</v>
      </c>
      <c r="T36" s="12">
        <f>-undergrid!O32*$AD$1</f>
        <v>0</v>
      </c>
      <c r="U36" s="12">
        <f>undergrid!U32*$AD$2</f>
        <v>27</v>
      </c>
      <c r="V36" s="12">
        <f>undergrid!S32-N36</f>
        <v>0</v>
      </c>
      <c r="W36" s="12">
        <f t="shared" si="4"/>
        <v>3.0390000000000001</v>
      </c>
      <c r="X36" s="13">
        <f>undergrid!AJ32</f>
        <v>0.69989869424766449</v>
      </c>
      <c r="BS36" t="str">
        <f>BS17</f>
        <v>Bat. Charge</v>
      </c>
      <c r="BT36" s="11">
        <f>BT34</f>
        <v>23.28</v>
      </c>
      <c r="BU36">
        <f>BT25</f>
        <v>0</v>
      </c>
      <c r="BY36" t="str">
        <f>BY35</f>
        <v>Genset</v>
      </c>
      <c r="BZ36" s="11">
        <f>BZ35+CA25</f>
        <v>25.006013057517336</v>
      </c>
      <c r="CA36" s="100">
        <f>CA35</f>
        <v>0.33332999999999996</v>
      </c>
    </row>
    <row r="37" spans="1:79" x14ac:dyDescent="0.3">
      <c r="A37" s="10">
        <v>32</v>
      </c>
      <c r="B37">
        <f>undergrid!C33*2+undergrid!E33</f>
        <v>3.2569999999999997</v>
      </c>
      <c r="C37">
        <f>undergrid!C33*2</f>
        <v>1.48</v>
      </c>
      <c r="D37">
        <f>undergrid!E33</f>
        <v>1.7769999999999999</v>
      </c>
      <c r="E37" s="11">
        <f>undergrid!G33</f>
        <v>0.13</v>
      </c>
      <c r="F37">
        <f>undergrid!AL33</f>
        <v>5.9958443445182628</v>
      </c>
      <c r="G37" s="12">
        <f>undergrid!Q33</f>
        <v>4.96</v>
      </c>
      <c r="H37" s="12">
        <f t="shared" si="0"/>
        <v>1.48</v>
      </c>
      <c r="I37" s="12">
        <f t="shared" si="1"/>
        <v>3.48</v>
      </c>
      <c r="J37" s="12">
        <f>-(undergrid!M33-Graphs!G37)</f>
        <v>0</v>
      </c>
      <c r="K37" s="12">
        <f t="shared" si="2"/>
        <v>3.48</v>
      </c>
      <c r="L37" s="12">
        <f>Costs!AF33+Costs!AG33</f>
        <v>0</v>
      </c>
      <c r="M37" s="12">
        <f>-undergrid!Y33</f>
        <v>-2.7388443445182631</v>
      </c>
      <c r="N37" s="12">
        <f>undergrid!S33</f>
        <v>0</v>
      </c>
      <c r="O37" s="12">
        <f>IF(undergrid!S33&gt;0.0001,IF(C37-H37&gt;undergrid!S33,undergrid!S33,C37-H37),0)</f>
        <v>0</v>
      </c>
      <c r="P37" s="12">
        <f>undergrid!S33-O37</f>
        <v>0</v>
      </c>
      <c r="Q37" s="12">
        <f>-undergrid!W33</f>
        <v>0</v>
      </c>
      <c r="R37" s="12">
        <f t="shared" si="3"/>
        <v>0</v>
      </c>
      <c r="S37" s="22">
        <f>IF(undergrid!K33=2,1,0)</f>
        <v>1</v>
      </c>
      <c r="T37" s="12">
        <f>-undergrid!O33*$AD$1</f>
        <v>0</v>
      </c>
      <c r="U37" s="12">
        <f>undergrid!U33*$AD$2</f>
        <v>1.035844344518263</v>
      </c>
      <c r="V37" s="12">
        <f>undergrid!S33-N37</f>
        <v>0</v>
      </c>
      <c r="W37" s="12">
        <f t="shared" si="4"/>
        <v>1.7769999999999997</v>
      </c>
      <c r="X37" s="13">
        <f>undergrid!AJ33</f>
        <v>0.68835011831502824</v>
      </c>
      <c r="BS37" t="str">
        <f>BS36</f>
        <v>Bat. Charge</v>
      </c>
      <c r="BT37" s="103">
        <f>BT36+BU25</f>
        <v>25.006013057517336</v>
      </c>
      <c r="BU37" s="102">
        <f>BU36</f>
        <v>0</v>
      </c>
    </row>
    <row r="38" spans="1:79" x14ac:dyDescent="0.3">
      <c r="A38" s="10">
        <v>33</v>
      </c>
      <c r="B38">
        <f>undergrid!C34*2+undergrid!E34</f>
        <v>3.1070000000000002</v>
      </c>
      <c r="C38">
        <f>undergrid!C34*2</f>
        <v>2.62</v>
      </c>
      <c r="D38">
        <f>undergrid!E34</f>
        <v>0.48699999999999999</v>
      </c>
      <c r="E38" s="11">
        <f>undergrid!G34</f>
        <v>0.13</v>
      </c>
      <c r="F38">
        <f>undergrid!AL34</f>
        <v>7.22</v>
      </c>
      <c r="G38" s="12">
        <f>undergrid!Q34</f>
        <v>7.22</v>
      </c>
      <c r="H38" s="12">
        <f t="shared" si="0"/>
        <v>2.62</v>
      </c>
      <c r="I38" s="12">
        <f t="shared" si="1"/>
        <v>4.5999999999999996</v>
      </c>
      <c r="J38" s="12">
        <f>-(undergrid!M34-Graphs!G38)</f>
        <v>0</v>
      </c>
      <c r="K38" s="12">
        <f t="shared" si="2"/>
        <v>4.5999999999999996</v>
      </c>
      <c r="L38" s="12">
        <f>Costs!AF34+Costs!AG34</f>
        <v>0</v>
      </c>
      <c r="M38" s="12">
        <f>-undergrid!Y34</f>
        <v>-4.1129999999999995</v>
      </c>
      <c r="N38" s="12">
        <f>undergrid!S34</f>
        <v>0</v>
      </c>
      <c r="O38" s="12">
        <f>IF(undergrid!S34&gt;0.0001,IF(C38-H38&gt;undergrid!S34,undergrid!S34,C38-H38),0)</f>
        <v>0</v>
      </c>
      <c r="P38" s="12">
        <f>undergrid!S34-O38</f>
        <v>0</v>
      </c>
      <c r="Q38" s="12">
        <f>-undergrid!W34</f>
        <v>0</v>
      </c>
      <c r="R38" s="12">
        <f t="shared" si="3"/>
        <v>0</v>
      </c>
      <c r="S38" s="22">
        <f>IF(undergrid!K34=2,1,0)</f>
        <v>1</v>
      </c>
      <c r="T38" s="12">
        <f>-undergrid!O34*$AD$1</f>
        <v>0</v>
      </c>
      <c r="U38" s="12">
        <f>undergrid!U34*$AD$2</f>
        <v>0</v>
      </c>
      <c r="V38" s="12">
        <f>undergrid!S34-N38</f>
        <v>0</v>
      </c>
      <c r="W38" s="12">
        <f t="shared" si="4"/>
        <v>0.4870000000000001</v>
      </c>
      <c r="X38" s="13">
        <f>undergrid!AJ34</f>
        <v>0.68831157070840265</v>
      </c>
      <c r="BY38" t="s">
        <v>278</v>
      </c>
      <c r="BZ38" s="11">
        <f>CA26+5</f>
        <v>30.006013057517336</v>
      </c>
      <c r="CA38">
        <v>0</v>
      </c>
    </row>
    <row r="39" spans="1:79" x14ac:dyDescent="0.3">
      <c r="A39" s="10">
        <v>34</v>
      </c>
      <c r="B39">
        <f>undergrid!C35*2+undergrid!E35</f>
        <v>8.2560000000000002</v>
      </c>
      <c r="C39">
        <f>undergrid!C35*2</f>
        <v>2.68</v>
      </c>
      <c r="D39">
        <f>undergrid!E35</f>
        <v>5.5759999999999996</v>
      </c>
      <c r="E39" s="11">
        <f>undergrid!G35</f>
        <v>0.13</v>
      </c>
      <c r="F39">
        <f>undergrid!AL35</f>
        <v>16.11</v>
      </c>
      <c r="G39" s="12">
        <f>undergrid!Q35</f>
        <v>16.11</v>
      </c>
      <c r="H39" s="12">
        <f t="shared" si="0"/>
        <v>2.68</v>
      </c>
      <c r="I39" s="12">
        <f t="shared" si="1"/>
        <v>13.43</v>
      </c>
      <c r="J39" s="12">
        <f>-(undergrid!M35-Graphs!G39)</f>
        <v>0</v>
      </c>
      <c r="K39" s="12">
        <f t="shared" si="2"/>
        <v>13.43</v>
      </c>
      <c r="L39" s="12">
        <f>Costs!AF35+Costs!AG35</f>
        <v>0</v>
      </c>
      <c r="M39" s="12">
        <f>-undergrid!Y35</f>
        <v>-7.8539999999999992</v>
      </c>
      <c r="N39" s="12">
        <f>undergrid!S35</f>
        <v>0</v>
      </c>
      <c r="O39" s="12">
        <f>IF(undergrid!S35&gt;0.0001,IF(C39-H39&gt;undergrid!S35,undergrid!S35,C39-H39),0)</f>
        <v>0</v>
      </c>
      <c r="P39" s="12">
        <f>undergrid!S35-O39</f>
        <v>0</v>
      </c>
      <c r="Q39" s="12">
        <f>-undergrid!W35</f>
        <v>0</v>
      </c>
      <c r="R39" s="12">
        <f t="shared" si="3"/>
        <v>0</v>
      </c>
      <c r="S39" s="22">
        <f>IF(undergrid!K35=2,1,0)</f>
        <v>1</v>
      </c>
      <c r="T39" s="12">
        <f>-undergrid!O35*$AD$1</f>
        <v>0</v>
      </c>
      <c r="U39" s="12">
        <f>undergrid!U35*$AD$2</f>
        <v>0</v>
      </c>
      <c r="V39" s="12">
        <f>undergrid!S35-N39</f>
        <v>0</v>
      </c>
      <c r="W39" s="12">
        <f t="shared" si="4"/>
        <v>5.5760000000000005</v>
      </c>
      <c r="X39" s="13">
        <f>undergrid!AJ35</f>
        <v>0.68827302526044287</v>
      </c>
      <c r="BS39" s="108" t="s">
        <v>257</v>
      </c>
      <c r="BT39" s="108"/>
      <c r="BU39" s="108"/>
      <c r="BZ39" s="11">
        <f>BZ38</f>
        <v>30.006013057517336</v>
      </c>
      <c r="CA39">
        <f>BT11</f>
        <v>8.8445511799972731</v>
      </c>
    </row>
    <row r="40" spans="1:79" x14ac:dyDescent="0.3">
      <c r="A40" s="10">
        <v>35</v>
      </c>
      <c r="B40">
        <f>undergrid!C36*2+undergrid!E36</f>
        <v>8.4329999999999998</v>
      </c>
      <c r="C40">
        <f>undergrid!C36*2</f>
        <v>4.0599999999999996</v>
      </c>
      <c r="D40">
        <f>undergrid!E36</f>
        <v>4.3730000000000002</v>
      </c>
      <c r="E40" s="11">
        <f>undergrid!G36</f>
        <v>0.13</v>
      </c>
      <c r="F40">
        <f>undergrid!AL36</f>
        <v>30</v>
      </c>
      <c r="G40" s="12">
        <f>undergrid!Q36</f>
        <v>30</v>
      </c>
      <c r="H40" s="12">
        <f t="shared" si="0"/>
        <v>4.0599999999999996</v>
      </c>
      <c r="I40" s="12">
        <f t="shared" si="1"/>
        <v>25.94</v>
      </c>
      <c r="J40" s="12">
        <f>-(undergrid!M36-Graphs!G40)</f>
        <v>-1.9999999999999574E-2</v>
      </c>
      <c r="K40" s="12">
        <f t="shared" si="2"/>
        <v>25.94</v>
      </c>
      <c r="L40" s="12">
        <f>Costs!AF36+Costs!AG36</f>
        <v>0</v>
      </c>
      <c r="M40" s="12">
        <f>-undergrid!Y36</f>
        <v>-21.567</v>
      </c>
      <c r="N40" s="12">
        <f>undergrid!S36</f>
        <v>0</v>
      </c>
      <c r="O40" s="12">
        <f>IF(undergrid!S36&gt;0.0001,IF(C40-H40&gt;undergrid!S36,undergrid!S36,C40-H40),0)</f>
        <v>0</v>
      </c>
      <c r="P40" s="12">
        <f>undergrid!S36-O40</f>
        <v>0</v>
      </c>
      <c r="Q40" s="12">
        <f>-undergrid!W36</f>
        <v>0</v>
      </c>
      <c r="R40" s="12">
        <f t="shared" si="3"/>
        <v>0</v>
      </c>
      <c r="S40" s="22">
        <f>IF(undergrid!K36=2,1,0)</f>
        <v>1</v>
      </c>
      <c r="T40" s="12">
        <f>-undergrid!O36*$AD$1</f>
        <v>0</v>
      </c>
      <c r="U40" s="12">
        <f>undergrid!U36*$AD$2</f>
        <v>0</v>
      </c>
      <c r="V40" s="12">
        <f>undergrid!S36-N40</f>
        <v>0</v>
      </c>
      <c r="W40" s="12">
        <f t="shared" si="4"/>
        <v>4.3730000000000002</v>
      </c>
      <c r="X40" s="13">
        <f>undergrid!AJ36</f>
        <v>0.68823448197102832</v>
      </c>
      <c r="BS40" t="str">
        <f>BS29</f>
        <v>Load A</v>
      </c>
      <c r="BT40">
        <f>BT29</f>
        <v>0</v>
      </c>
      <c r="BU40" s="97">
        <f>BU29</f>
        <v>0.5</v>
      </c>
    </row>
    <row r="41" spans="1:79" x14ac:dyDescent="0.3">
      <c r="A41" s="10">
        <v>36</v>
      </c>
      <c r="B41">
        <f>undergrid!C37*2+undergrid!E37</f>
        <v>9.6980000000000004</v>
      </c>
      <c r="C41">
        <f>undergrid!C37*2</f>
        <v>4.66</v>
      </c>
      <c r="D41">
        <f>undergrid!E37</f>
        <v>5.0380000000000003</v>
      </c>
      <c r="E41" s="11">
        <f>undergrid!G37</f>
        <v>0.13</v>
      </c>
      <c r="F41">
        <f>undergrid!AL37</f>
        <v>30</v>
      </c>
      <c r="G41" s="12">
        <f>undergrid!Q37</f>
        <v>30</v>
      </c>
      <c r="H41" s="12">
        <f t="shared" si="0"/>
        <v>4.66</v>
      </c>
      <c r="I41" s="12">
        <f t="shared" si="1"/>
        <v>25.34</v>
      </c>
      <c r="J41" s="12">
        <f>-(undergrid!M37-Graphs!G41)</f>
        <v>-4.8400000000000034</v>
      </c>
      <c r="K41" s="12">
        <f t="shared" si="2"/>
        <v>25.34</v>
      </c>
      <c r="L41" s="12">
        <f>Costs!AF37+Costs!AG37</f>
        <v>0</v>
      </c>
      <c r="M41" s="12">
        <f>-undergrid!Y37</f>
        <v>-20.302</v>
      </c>
      <c r="N41" s="12">
        <f>undergrid!S37</f>
        <v>0</v>
      </c>
      <c r="O41" s="12">
        <f>IF(undergrid!S37&gt;0.0001,IF(C41-H41&gt;undergrid!S37,undergrid!S37,C41-H41),0)</f>
        <v>0</v>
      </c>
      <c r="P41" s="12">
        <f>undergrid!S37-O41</f>
        <v>0</v>
      </c>
      <c r="Q41" s="12">
        <f>-undergrid!W37</f>
        <v>0</v>
      </c>
      <c r="R41" s="12">
        <f t="shared" si="3"/>
        <v>0</v>
      </c>
      <c r="S41" s="22">
        <f>IF(undergrid!K37=2,1,0)</f>
        <v>1</v>
      </c>
      <c r="T41" s="12">
        <f>-undergrid!O37*$AD$1</f>
        <v>0</v>
      </c>
      <c r="U41" s="12">
        <f>undergrid!U37*$AD$2</f>
        <v>0</v>
      </c>
      <c r="V41" s="12">
        <f>undergrid!S37-N41</f>
        <v>0</v>
      </c>
      <c r="W41" s="12">
        <f t="shared" si="4"/>
        <v>5.0380000000000003</v>
      </c>
      <c r="X41" s="13">
        <f>undergrid!AJ37</f>
        <v>0.68819594084003799</v>
      </c>
      <c r="Y41" s="19">
        <f>T41*0.11</f>
        <v>0</v>
      </c>
      <c r="BS41" t="str">
        <f t="shared" ref="BS41:BS48" si="10">BS30</f>
        <v>Load A</v>
      </c>
      <c r="BT41" s="11">
        <f>BU26</f>
        <v>25.006013057517336</v>
      </c>
      <c r="BU41" s="97">
        <f t="shared" ref="BU41:BU48" si="11">BU30</f>
        <v>0.5</v>
      </c>
    </row>
    <row r="42" spans="1:79" x14ac:dyDescent="0.3">
      <c r="A42" s="10">
        <v>37</v>
      </c>
      <c r="B42">
        <f>undergrid!C38*2+undergrid!E38</f>
        <v>7.1709999999999994</v>
      </c>
      <c r="C42">
        <f>undergrid!C38*2</f>
        <v>6.02</v>
      </c>
      <c r="D42">
        <f>undergrid!E38</f>
        <v>1.151</v>
      </c>
      <c r="E42" s="11">
        <f>undergrid!G38</f>
        <v>0.13</v>
      </c>
      <c r="F42">
        <f>undergrid!AL38</f>
        <v>30</v>
      </c>
      <c r="G42" s="12">
        <f>undergrid!Q38</f>
        <v>30</v>
      </c>
      <c r="H42" s="12">
        <f t="shared" si="0"/>
        <v>6.02</v>
      </c>
      <c r="I42" s="12">
        <f t="shared" si="1"/>
        <v>23.98</v>
      </c>
      <c r="J42" s="12">
        <f>-(undergrid!M38-Graphs!G42)</f>
        <v>-0.94999999999999929</v>
      </c>
      <c r="K42" s="12">
        <f t="shared" si="2"/>
        <v>23.98</v>
      </c>
      <c r="L42" s="12">
        <f>Costs!AF38+Costs!AG38</f>
        <v>0</v>
      </c>
      <c r="M42" s="12">
        <f>-undergrid!Y38</f>
        <v>-22.829000000000001</v>
      </c>
      <c r="N42" s="12">
        <f>undergrid!S38</f>
        <v>0</v>
      </c>
      <c r="O42" s="12">
        <f>IF(undergrid!S38&gt;0.0001,IF(C42-H42&gt;undergrid!S38,undergrid!S38,C42-H42),0)</f>
        <v>0</v>
      </c>
      <c r="P42" s="12">
        <f>undergrid!S38-O42</f>
        <v>0</v>
      </c>
      <c r="Q42" s="12">
        <f>-undergrid!W38</f>
        <v>0</v>
      </c>
      <c r="R42" s="12">
        <f t="shared" si="3"/>
        <v>0</v>
      </c>
      <c r="S42" s="22">
        <f>IF(undergrid!K38=2,1,0)</f>
        <v>1</v>
      </c>
      <c r="T42" s="12">
        <f>-undergrid!O38*$AD$1</f>
        <v>0</v>
      </c>
      <c r="U42" s="12">
        <f>undergrid!U38*$AD$2</f>
        <v>0</v>
      </c>
      <c r="V42" s="12">
        <f>undergrid!S38-N42</f>
        <v>0</v>
      </c>
      <c r="W42" s="12">
        <f t="shared" si="4"/>
        <v>1.1509999999999998</v>
      </c>
      <c r="X42" s="13">
        <f>undergrid!AJ38</f>
        <v>0.68815740186735097</v>
      </c>
      <c r="Y42" s="41">
        <f>-T41+C41</f>
        <v>4.66</v>
      </c>
      <c r="BS42" t="str">
        <f t="shared" si="10"/>
        <v>Load B</v>
      </c>
      <c r="BT42">
        <f>BT40</f>
        <v>0</v>
      </c>
      <c r="BU42" s="97">
        <f t="shared" si="11"/>
        <v>0.14000000000000001</v>
      </c>
    </row>
    <row r="43" spans="1:79" x14ac:dyDescent="0.3">
      <c r="A43" s="10">
        <v>38</v>
      </c>
      <c r="B43">
        <f>undergrid!C39*2+undergrid!E39</f>
        <v>13.058999999999999</v>
      </c>
      <c r="C43">
        <f>undergrid!C39*2</f>
        <v>11.7</v>
      </c>
      <c r="D43">
        <f>undergrid!E39</f>
        <v>1.359</v>
      </c>
      <c r="E43" s="11">
        <f>undergrid!G39</f>
        <v>0.13</v>
      </c>
      <c r="F43">
        <f>undergrid!AL39</f>
        <v>24.052723</v>
      </c>
      <c r="G43" s="12">
        <f>undergrid!Q39</f>
        <v>25.37</v>
      </c>
      <c r="H43" s="12">
        <f t="shared" si="0"/>
        <v>11.7</v>
      </c>
      <c r="I43" s="12">
        <f t="shared" si="1"/>
        <v>13.670000000000002</v>
      </c>
      <c r="J43" s="12">
        <f>-(undergrid!M39-Graphs!G43)</f>
        <v>0</v>
      </c>
      <c r="K43" s="12">
        <f t="shared" si="2"/>
        <v>13.670000000000002</v>
      </c>
      <c r="L43" s="12">
        <f>Costs!AF39+Costs!AG39</f>
        <v>0</v>
      </c>
      <c r="M43" s="12">
        <f>-undergrid!Y39</f>
        <v>0</v>
      </c>
      <c r="N43" s="12">
        <f>undergrid!S39</f>
        <v>0</v>
      </c>
      <c r="O43" s="12">
        <f>IF(undergrid!S39&gt;0.0001,IF(C43-H43&gt;undergrid!S39,undergrid!S39,C43-H43),0)</f>
        <v>0</v>
      </c>
      <c r="P43" s="12">
        <f>undergrid!S39-O43</f>
        <v>0</v>
      </c>
      <c r="Q43" s="12">
        <f>-undergrid!W39</f>
        <v>0</v>
      </c>
      <c r="R43" s="12">
        <f t="shared" si="3"/>
        <v>0</v>
      </c>
      <c r="S43" s="22">
        <f>IF(undergrid!K39=2,1,0)</f>
        <v>0</v>
      </c>
      <c r="T43" s="12">
        <f>-undergrid!O39*$AD$1</f>
        <v>-10.44403685</v>
      </c>
      <c r="U43" s="12">
        <f>undergrid!U39*$AD$2</f>
        <v>0</v>
      </c>
      <c r="V43" s="12">
        <f>undergrid!S39-N43</f>
        <v>0</v>
      </c>
      <c r="W43" s="12">
        <f t="shared" si="4"/>
        <v>1.359</v>
      </c>
      <c r="X43" s="13">
        <f>undergrid!AJ39</f>
        <v>0.79805609505284636</v>
      </c>
      <c r="BS43" t="str">
        <f t="shared" si="10"/>
        <v>Load B</v>
      </c>
      <c r="BT43" s="11">
        <f>BT41</f>
        <v>25.006013057517336</v>
      </c>
      <c r="BU43" s="97">
        <f t="shared" si="11"/>
        <v>0.14000000000000001</v>
      </c>
    </row>
    <row r="44" spans="1:79" x14ac:dyDescent="0.3">
      <c r="A44" s="10">
        <v>39</v>
      </c>
      <c r="B44">
        <f>undergrid!C40*2+undergrid!E40</f>
        <v>19.658999999999999</v>
      </c>
      <c r="C44">
        <f>undergrid!C40*2</f>
        <v>12.08</v>
      </c>
      <c r="D44">
        <f>undergrid!E40</f>
        <v>7.5789999999999997</v>
      </c>
      <c r="E44" s="11">
        <f>undergrid!G40</f>
        <v>0.13</v>
      </c>
      <c r="F44">
        <f>undergrid!AL40</f>
        <v>22.160293000000003</v>
      </c>
      <c r="G44" s="12">
        <f>undergrid!Q40</f>
        <v>22.46</v>
      </c>
      <c r="H44" s="12">
        <f t="shared" si="0"/>
        <v>12.08</v>
      </c>
      <c r="I44" s="12">
        <f t="shared" si="1"/>
        <v>10.38</v>
      </c>
      <c r="J44" s="12">
        <f>-(undergrid!M40-Graphs!G44)</f>
        <v>0</v>
      </c>
      <c r="K44" s="12">
        <f t="shared" si="2"/>
        <v>10.38</v>
      </c>
      <c r="L44" s="12">
        <f>Costs!AF40+Costs!AG40</f>
        <v>0</v>
      </c>
      <c r="M44" s="12">
        <f>-undergrid!Y40</f>
        <v>0</v>
      </c>
      <c r="N44" s="12">
        <f>undergrid!S40</f>
        <v>0</v>
      </c>
      <c r="O44" s="12">
        <f>IF(undergrid!S40&gt;0.0001,IF(C44-H44&gt;undergrid!S40,undergrid!S40,C44-H44),0)</f>
        <v>0</v>
      </c>
      <c r="P44" s="12">
        <f>undergrid!S40-O44</f>
        <v>0</v>
      </c>
      <c r="Q44" s="12">
        <f>-undergrid!W40</f>
        <v>0</v>
      </c>
      <c r="R44" s="12">
        <f t="shared" si="3"/>
        <v>0</v>
      </c>
      <c r="S44" s="22">
        <f>IF(undergrid!K40=2,1,0)</f>
        <v>0</v>
      </c>
      <c r="T44" s="12">
        <f>-undergrid!O40*$AD$1</f>
        <v>-2.3762283500000039</v>
      </c>
      <c r="U44" s="12">
        <f>undergrid!U40*$AD$2</f>
        <v>0</v>
      </c>
      <c r="V44" s="12">
        <f>undergrid!S40-N44</f>
        <v>0</v>
      </c>
      <c r="W44" s="12">
        <f t="shared" si="4"/>
        <v>7.5789999999999988</v>
      </c>
      <c r="X44" s="13">
        <f>undergrid!AJ40</f>
        <v>0.82302433391152352</v>
      </c>
      <c r="BS44" t="str">
        <f t="shared" si="10"/>
        <v>Grid Exp</v>
      </c>
      <c r="BT44">
        <f>BT40</f>
        <v>0</v>
      </c>
      <c r="BU44" s="97">
        <f t="shared" si="11"/>
        <v>0.13</v>
      </c>
    </row>
    <row r="45" spans="1:79" x14ac:dyDescent="0.3">
      <c r="A45" s="10">
        <v>40</v>
      </c>
      <c r="B45">
        <f>undergrid!C41*2+undergrid!E41</f>
        <v>11.02</v>
      </c>
      <c r="C45">
        <f>undergrid!C41*2</f>
        <v>5.3</v>
      </c>
      <c r="D45">
        <f>undergrid!E41</f>
        <v>5.72</v>
      </c>
      <c r="E45" s="11">
        <f>undergrid!G41</f>
        <v>0.13</v>
      </c>
      <c r="F45">
        <f>undergrid!AL41</f>
        <v>21.68242</v>
      </c>
      <c r="G45" s="12">
        <f>undergrid!Q41</f>
        <v>22.96</v>
      </c>
      <c r="H45" s="12">
        <f t="shared" si="0"/>
        <v>5.3</v>
      </c>
      <c r="I45" s="12">
        <f t="shared" si="1"/>
        <v>17.66</v>
      </c>
      <c r="J45" s="12">
        <f>-(undergrid!M41-Graphs!G45)</f>
        <v>0</v>
      </c>
      <c r="K45" s="12">
        <f t="shared" si="2"/>
        <v>17.66</v>
      </c>
      <c r="L45" s="12">
        <f>Costs!AF41+Costs!AG41</f>
        <v>0</v>
      </c>
      <c r="M45" s="12">
        <f>-undergrid!Y41</f>
        <v>0</v>
      </c>
      <c r="N45" s="12">
        <f>undergrid!S41</f>
        <v>0</v>
      </c>
      <c r="O45" s="12">
        <f>IF(undergrid!S41&gt;0.0001,IF(C45-H45&gt;undergrid!S41,undergrid!S41,C45-H45),0)</f>
        <v>0</v>
      </c>
      <c r="P45" s="12">
        <f>undergrid!S41-O45</f>
        <v>0</v>
      </c>
      <c r="Q45" s="12">
        <f>-undergrid!W41</f>
        <v>0</v>
      </c>
      <c r="R45" s="12">
        <f t="shared" si="3"/>
        <v>0</v>
      </c>
      <c r="S45" s="22">
        <f>IF(undergrid!K41=2,1,0)</f>
        <v>0</v>
      </c>
      <c r="T45" s="12">
        <f>-undergrid!O41*$AD$1</f>
        <v>-10.129299</v>
      </c>
      <c r="U45" s="12">
        <f>undergrid!U41*$AD$2</f>
        <v>0</v>
      </c>
      <c r="V45" s="12">
        <f>undergrid!S41-N45</f>
        <v>0</v>
      </c>
      <c r="W45" s="12">
        <f t="shared" si="4"/>
        <v>5.72</v>
      </c>
      <c r="X45" s="13">
        <f>undergrid!AJ41</f>
        <v>0.92960244454882457</v>
      </c>
      <c r="BS45" t="str">
        <f t="shared" si="10"/>
        <v>Grid Exp</v>
      </c>
      <c r="BT45" s="11">
        <f>BT43</f>
        <v>25.006013057517336</v>
      </c>
      <c r="BU45" s="97">
        <f t="shared" si="11"/>
        <v>0.13</v>
      </c>
    </row>
    <row r="46" spans="1:79" x14ac:dyDescent="0.3">
      <c r="A46" s="10">
        <v>41</v>
      </c>
      <c r="B46">
        <f>undergrid!C42*2+undergrid!E42</f>
        <v>12.731999999999999</v>
      </c>
      <c r="C46">
        <f>undergrid!C42*2</f>
        <v>6.12</v>
      </c>
      <c r="D46">
        <f>undergrid!E42</f>
        <v>6.6120000000000001</v>
      </c>
      <c r="E46" s="11">
        <f>undergrid!G42</f>
        <v>0.13</v>
      </c>
      <c r="F46">
        <f>undergrid!AL42</f>
        <v>13.007043999999999</v>
      </c>
      <c r="G46" s="12">
        <f>undergrid!Q42</f>
        <v>13.04</v>
      </c>
      <c r="H46" s="12">
        <f t="shared" si="0"/>
        <v>6.12</v>
      </c>
      <c r="I46" s="12">
        <f t="shared" si="1"/>
        <v>6.919999999999999</v>
      </c>
      <c r="J46" s="12">
        <f>-(undergrid!M42-Graphs!G46)</f>
        <v>0</v>
      </c>
      <c r="K46" s="12">
        <f t="shared" si="2"/>
        <v>6.919999999999999</v>
      </c>
      <c r="L46" s="12">
        <f>Costs!AF42+Costs!AG42</f>
        <v>0</v>
      </c>
      <c r="M46" s="12">
        <f>-undergrid!Y42</f>
        <v>0</v>
      </c>
      <c r="N46" s="12">
        <f>undergrid!S42</f>
        <v>0</v>
      </c>
      <c r="O46" s="12">
        <f>IF(undergrid!S42&gt;0.0001,IF(C46-H46&gt;undergrid!S42,undergrid!S42,C46-H46),0)</f>
        <v>0</v>
      </c>
      <c r="P46" s="12">
        <f>undergrid!S42-O46</f>
        <v>0</v>
      </c>
      <c r="Q46" s="12">
        <f>-undergrid!W42</f>
        <v>0</v>
      </c>
      <c r="R46" s="12">
        <f t="shared" si="3"/>
        <v>0</v>
      </c>
      <c r="S46" s="22">
        <f>IF(undergrid!K42=2,1,0)</f>
        <v>0</v>
      </c>
      <c r="T46" s="12">
        <f>-undergrid!O42*$AD$1</f>
        <v>-0.26129179999999941</v>
      </c>
      <c r="U46" s="12">
        <f>undergrid!U42*$AD$2</f>
        <v>0</v>
      </c>
      <c r="V46" s="12">
        <f>undergrid!S42-N46</f>
        <v>0</v>
      </c>
      <c r="W46" s="12">
        <f t="shared" si="4"/>
        <v>6.6119999999999992</v>
      </c>
      <c r="X46" s="13">
        <f>undergrid!AJ42</f>
        <v>0.93230082681192983</v>
      </c>
    </row>
    <row r="47" spans="1:79" x14ac:dyDescent="0.3">
      <c r="A47" s="10">
        <v>42</v>
      </c>
      <c r="B47">
        <f>undergrid!C43*2+undergrid!E43</f>
        <v>15.163</v>
      </c>
      <c r="C47">
        <f>undergrid!C43*2</f>
        <v>7.92</v>
      </c>
      <c r="D47">
        <f>undergrid!E43</f>
        <v>7.2430000000000003</v>
      </c>
      <c r="E47" s="11">
        <f>undergrid!G43</f>
        <v>0.13</v>
      </c>
      <c r="F47">
        <f>undergrid!AL43</f>
        <v>15.163</v>
      </c>
      <c r="G47" s="12">
        <f>undergrid!Q43</f>
        <v>8.49</v>
      </c>
      <c r="H47" s="12">
        <f t="shared" si="0"/>
        <v>7.92</v>
      </c>
      <c r="I47" s="12">
        <f t="shared" si="1"/>
        <v>0.57000000000000028</v>
      </c>
      <c r="J47" s="12">
        <f>-(undergrid!M43-Graphs!G47)</f>
        <v>0</v>
      </c>
      <c r="K47" s="12">
        <f t="shared" si="2"/>
        <v>0.57000000000000028</v>
      </c>
      <c r="L47" s="12">
        <f>Costs!AF43+Costs!AG43</f>
        <v>0</v>
      </c>
      <c r="M47" s="12">
        <f>-undergrid!Y43</f>
        <v>0</v>
      </c>
      <c r="N47" s="12">
        <f>undergrid!S43</f>
        <v>0</v>
      </c>
      <c r="O47" s="12">
        <f>IF(undergrid!S43&gt;0.0001,IF(C47-H47&gt;undergrid!S43,undergrid!S43,C47-H47),0)</f>
        <v>0</v>
      </c>
      <c r="P47" s="12">
        <f>undergrid!S43-O47</f>
        <v>0</v>
      </c>
      <c r="Q47" s="12">
        <f>-undergrid!W43</f>
        <v>0</v>
      </c>
      <c r="R47" s="12">
        <f t="shared" si="3"/>
        <v>0</v>
      </c>
      <c r="S47" s="22">
        <f>IF(undergrid!K43=2,1,0)</f>
        <v>0</v>
      </c>
      <c r="T47" s="12">
        <f>-undergrid!O43*$AD$1</f>
        <v>0</v>
      </c>
      <c r="U47" s="12">
        <f>undergrid!U43*$AD$2</f>
        <v>6.6730000000000009</v>
      </c>
      <c r="V47" s="12">
        <f>undergrid!S43-N47</f>
        <v>0</v>
      </c>
      <c r="W47" s="12">
        <f t="shared" si="4"/>
        <v>7.2430000000000003</v>
      </c>
      <c r="X47" s="13">
        <f>undergrid!AJ43</f>
        <v>0.85810417352118395</v>
      </c>
      <c r="BS47" t="str">
        <f t="shared" si="10"/>
        <v>Bat. Charge</v>
      </c>
      <c r="BT47" s="11">
        <f>BT44</f>
        <v>0</v>
      </c>
      <c r="BU47" s="97">
        <f t="shared" si="11"/>
        <v>0</v>
      </c>
    </row>
    <row r="48" spans="1:79" x14ac:dyDescent="0.3">
      <c r="A48" s="10">
        <v>43</v>
      </c>
      <c r="B48">
        <f>undergrid!C44*2+undergrid!E44</f>
        <v>8.5949999999999989</v>
      </c>
      <c r="C48">
        <f>undergrid!C44*2</f>
        <v>6.1</v>
      </c>
      <c r="D48">
        <f>undergrid!E44</f>
        <v>2.4950000000000001</v>
      </c>
      <c r="E48" s="11">
        <f>undergrid!G44</f>
        <v>0.13</v>
      </c>
      <c r="F48">
        <f>undergrid!AL44</f>
        <v>8.5949999999999989</v>
      </c>
      <c r="G48" s="12">
        <f>undergrid!Q44</f>
        <v>2.61</v>
      </c>
      <c r="H48" s="12">
        <f t="shared" si="0"/>
        <v>2.61</v>
      </c>
      <c r="I48" s="12">
        <f t="shared" si="1"/>
        <v>0</v>
      </c>
      <c r="J48" s="12">
        <f>-(undergrid!M44-Graphs!G48)</f>
        <v>0</v>
      </c>
      <c r="K48" s="12">
        <f t="shared" si="2"/>
        <v>0</v>
      </c>
      <c r="L48" s="12">
        <f>Costs!AF44+Costs!AG44</f>
        <v>0</v>
      </c>
      <c r="M48" s="12">
        <f>-undergrid!Y44</f>
        <v>0</v>
      </c>
      <c r="N48" s="12">
        <f>undergrid!S44</f>
        <v>0</v>
      </c>
      <c r="O48" s="12">
        <f>IF(undergrid!S44&gt;0.0001,IF(C48-H48&gt;undergrid!S44,undergrid!S44,C48-H48),0)</f>
        <v>0</v>
      </c>
      <c r="P48" s="12">
        <f>undergrid!S44-O48</f>
        <v>0</v>
      </c>
      <c r="Q48" s="12">
        <f>-undergrid!W44</f>
        <v>0</v>
      </c>
      <c r="R48" s="12">
        <f t="shared" si="3"/>
        <v>0</v>
      </c>
      <c r="S48" s="22">
        <f>IF(undergrid!K44=2,1,0)</f>
        <v>1</v>
      </c>
      <c r="T48" s="12">
        <f>-undergrid!O44*$AD$1</f>
        <v>0</v>
      </c>
      <c r="U48" s="12">
        <f>undergrid!U44*$AD$2</f>
        <v>5.9849999999999985</v>
      </c>
      <c r="V48" s="12">
        <f>undergrid!S44-N48</f>
        <v>0</v>
      </c>
      <c r="W48" s="12">
        <f t="shared" si="4"/>
        <v>5.9849999999999994</v>
      </c>
      <c r="X48" s="13">
        <f>undergrid!AJ44</f>
        <v>0.79155611968746686</v>
      </c>
      <c r="BS48" t="str">
        <f t="shared" si="10"/>
        <v>Bat. Charge</v>
      </c>
      <c r="BT48" s="103">
        <f>BT45</f>
        <v>25.006013057517336</v>
      </c>
      <c r="BU48" s="97">
        <f t="shared" si="11"/>
        <v>0</v>
      </c>
    </row>
    <row r="49" spans="1:24" x14ac:dyDescent="0.3">
      <c r="A49" s="10">
        <v>44</v>
      </c>
      <c r="B49">
        <f>undergrid!C45*2+undergrid!E45</f>
        <v>6.4190000000000005</v>
      </c>
      <c r="C49">
        <f>undergrid!C45*2</f>
        <v>3.86</v>
      </c>
      <c r="D49">
        <f>undergrid!E45</f>
        <v>2.5590000000000002</v>
      </c>
      <c r="E49" s="11">
        <f>undergrid!G45</f>
        <v>0.13</v>
      </c>
      <c r="F49">
        <f>undergrid!AL45</f>
        <v>6.4190000000000005</v>
      </c>
      <c r="G49" s="12">
        <f>undergrid!Q45</f>
        <v>0</v>
      </c>
      <c r="H49" s="12">
        <f t="shared" si="0"/>
        <v>0</v>
      </c>
      <c r="I49" s="12">
        <f t="shared" si="1"/>
        <v>0</v>
      </c>
      <c r="J49" s="12">
        <f>-(undergrid!M45-Graphs!G49)</f>
        <v>-6.3999999999999996E-10</v>
      </c>
      <c r="K49" s="12">
        <f t="shared" si="2"/>
        <v>0</v>
      </c>
      <c r="L49" s="12">
        <f>Costs!AF45+Costs!AG45</f>
        <v>0</v>
      </c>
      <c r="M49" s="12">
        <f>-undergrid!Y45</f>
        <v>0</v>
      </c>
      <c r="N49" s="12">
        <f>undergrid!S45</f>
        <v>0</v>
      </c>
      <c r="O49" s="12">
        <f>IF(undergrid!S45&gt;0.0001,IF(C49-H49&gt;undergrid!S45,undergrid!S45,C49-H49),0)</f>
        <v>0</v>
      </c>
      <c r="P49" s="12">
        <f>undergrid!S45-O49</f>
        <v>0</v>
      </c>
      <c r="Q49" s="12">
        <f>-undergrid!W45</f>
        <v>0</v>
      </c>
      <c r="R49" s="12">
        <f t="shared" si="3"/>
        <v>0</v>
      </c>
      <c r="S49" s="22">
        <f>IF(undergrid!K45=2,1,0)</f>
        <v>1</v>
      </c>
      <c r="T49" s="12">
        <f>-undergrid!O45*$AD$1</f>
        <v>0</v>
      </c>
      <c r="U49" s="12">
        <f>undergrid!U45*$AD$2</f>
        <v>6.4189999993600013</v>
      </c>
      <c r="V49" s="12">
        <f>undergrid!S45-N49</f>
        <v>0</v>
      </c>
      <c r="W49" s="12">
        <f t="shared" si="4"/>
        <v>6.4190000000000005</v>
      </c>
      <c r="X49" s="13">
        <f>undergrid!AJ45</f>
        <v>0.72018957032965314</v>
      </c>
    </row>
    <row r="50" spans="1:24" x14ac:dyDescent="0.3">
      <c r="A50" s="10">
        <v>45</v>
      </c>
      <c r="B50">
        <f>undergrid!C46*2+undergrid!E46</f>
        <v>18.837</v>
      </c>
      <c r="C50">
        <f>undergrid!C46*2</f>
        <v>15.94</v>
      </c>
      <c r="D50">
        <f>undergrid!E46</f>
        <v>2.8969999999999998</v>
      </c>
      <c r="E50" s="11">
        <f>undergrid!G46</f>
        <v>0.13</v>
      </c>
      <c r="F50">
        <f>undergrid!AL46</f>
        <v>18.837</v>
      </c>
      <c r="G50" s="12">
        <f>undergrid!Q46</f>
        <v>0</v>
      </c>
      <c r="H50" s="12">
        <f t="shared" si="0"/>
        <v>0</v>
      </c>
      <c r="I50" s="12">
        <f t="shared" si="1"/>
        <v>0</v>
      </c>
      <c r="J50" s="12">
        <f>-(undergrid!M46-Graphs!G50)</f>
        <v>-6.3999999999999996E-10</v>
      </c>
      <c r="K50" s="12">
        <f t="shared" si="2"/>
        <v>0</v>
      </c>
      <c r="L50" s="12">
        <f>Costs!AF46+Costs!AG46</f>
        <v>0</v>
      </c>
      <c r="M50" s="12">
        <f>-undergrid!Y46</f>
        <v>0</v>
      </c>
      <c r="N50" s="12">
        <f>undergrid!S46</f>
        <v>0</v>
      </c>
      <c r="O50" s="12">
        <f>IF(undergrid!S46&gt;0.0001,IF(C50-H50&gt;undergrid!S46,undergrid!S46,C50-H50),0)</f>
        <v>0</v>
      </c>
      <c r="P50" s="12">
        <f>undergrid!S46-O50</f>
        <v>0</v>
      </c>
      <c r="Q50" s="12">
        <f>-undergrid!W46</f>
        <v>0</v>
      </c>
      <c r="R50" s="12">
        <f t="shared" si="3"/>
        <v>0</v>
      </c>
      <c r="S50" s="22">
        <f>IF(undergrid!K46=2,1,0)</f>
        <v>0</v>
      </c>
      <c r="T50" s="12">
        <f>-undergrid!O46*$AD$1</f>
        <v>0</v>
      </c>
      <c r="U50" s="12">
        <f>undergrid!U46*$AD$2</f>
        <v>18.83699999936</v>
      </c>
      <c r="V50" s="12">
        <f>undergrid!S46-N50</f>
        <v>0</v>
      </c>
      <c r="W50" s="12">
        <f t="shared" si="4"/>
        <v>18.837</v>
      </c>
      <c r="X50" s="13">
        <f>undergrid!AJ46</f>
        <v>0.51084923972082596</v>
      </c>
    </row>
    <row r="51" spans="1:24" x14ac:dyDescent="0.3">
      <c r="A51" s="10">
        <v>46</v>
      </c>
      <c r="B51">
        <f>undergrid!C47*2+undergrid!E47</f>
        <v>12.815000000000001</v>
      </c>
      <c r="C51">
        <f>undergrid!C47*2</f>
        <v>11.48</v>
      </c>
      <c r="D51">
        <f>undergrid!E47</f>
        <v>1.335</v>
      </c>
      <c r="E51" s="11">
        <f>undergrid!G47</f>
        <v>0.13</v>
      </c>
      <c r="F51">
        <f>undergrid!AL47</f>
        <v>12.815000000000001</v>
      </c>
      <c r="G51" s="12">
        <f>undergrid!Q47</f>
        <v>0</v>
      </c>
      <c r="H51" s="12">
        <f t="shared" si="0"/>
        <v>0</v>
      </c>
      <c r="I51" s="12">
        <f t="shared" si="1"/>
        <v>0</v>
      </c>
      <c r="J51" s="12">
        <f>-(undergrid!M47-Graphs!G51)</f>
        <v>-6.3999999999999996E-10</v>
      </c>
      <c r="K51" s="12">
        <f t="shared" si="2"/>
        <v>0</v>
      </c>
      <c r="L51" s="12">
        <f>Costs!AF47+Costs!AG47</f>
        <v>0</v>
      </c>
      <c r="M51" s="12">
        <f>-undergrid!Y47</f>
        <v>0</v>
      </c>
      <c r="N51" s="12">
        <f>undergrid!S47</f>
        <v>0</v>
      </c>
      <c r="O51" s="12">
        <f>IF(undergrid!S47&gt;0.0001,IF(C51-H51&gt;undergrid!S47,undergrid!S47,C51-H51),0)</f>
        <v>0</v>
      </c>
      <c r="P51" s="12">
        <f>undergrid!S47-O51</f>
        <v>0</v>
      </c>
      <c r="Q51" s="12">
        <f>-undergrid!W47</f>
        <v>0</v>
      </c>
      <c r="R51" s="12">
        <f t="shared" si="3"/>
        <v>0</v>
      </c>
      <c r="S51" s="22">
        <f>IF(undergrid!K47=2,1,0)</f>
        <v>0</v>
      </c>
      <c r="T51" s="12">
        <f>-undergrid!O47*$AD$1</f>
        <v>0</v>
      </c>
      <c r="U51" s="12">
        <f>undergrid!U47*$AD$2</f>
        <v>12.814999999360001</v>
      </c>
      <c r="V51" s="12">
        <f>undergrid!S47-N51</f>
        <v>0</v>
      </c>
      <c r="W51" s="12">
        <f t="shared" si="4"/>
        <v>12.815000000000001</v>
      </c>
      <c r="X51" s="13">
        <f>undergrid!AJ47</f>
        <v>0.36843174328162376</v>
      </c>
    </row>
    <row r="52" spans="1:24" x14ac:dyDescent="0.3">
      <c r="A52" s="10">
        <v>47</v>
      </c>
      <c r="B52">
        <f>undergrid!C48*2+undergrid!E48</f>
        <v>6.157</v>
      </c>
      <c r="C52">
        <f>undergrid!C48*2</f>
        <v>4.7</v>
      </c>
      <c r="D52">
        <f>undergrid!E48</f>
        <v>1.4570000000000001</v>
      </c>
      <c r="E52" s="11">
        <f>undergrid!G48</f>
        <v>0.08</v>
      </c>
      <c r="F52">
        <f>undergrid!AL48</f>
        <v>6.157</v>
      </c>
      <c r="G52" s="12">
        <f>undergrid!Q48</f>
        <v>0</v>
      </c>
      <c r="H52" s="12">
        <f t="shared" si="0"/>
        <v>0</v>
      </c>
      <c r="I52" s="12">
        <f t="shared" si="1"/>
        <v>0</v>
      </c>
      <c r="J52" s="12">
        <f>-(undergrid!M48-Graphs!G52)</f>
        <v>-6.3999999999999996E-10</v>
      </c>
      <c r="K52" s="12">
        <f t="shared" si="2"/>
        <v>0</v>
      </c>
      <c r="L52" s="12">
        <f>Costs!AF48+Costs!AG48</f>
        <v>0</v>
      </c>
      <c r="M52" s="12">
        <f>-undergrid!Y48</f>
        <v>0</v>
      </c>
      <c r="N52" s="12">
        <f>undergrid!S48</f>
        <v>0</v>
      </c>
      <c r="O52" s="12">
        <f>IF(undergrid!S48&gt;0.0001,IF(C52-H52&gt;undergrid!S48,undergrid!S48,C52-H52),0)</f>
        <v>0</v>
      </c>
      <c r="P52" s="12">
        <f>undergrid!S48-O52</f>
        <v>0</v>
      </c>
      <c r="Q52" s="12">
        <f>-undergrid!W48</f>
        <v>0</v>
      </c>
      <c r="R52" s="12">
        <f t="shared" si="3"/>
        <v>0</v>
      </c>
      <c r="S52" s="22">
        <f>IF(undergrid!K48=2,1,0)</f>
        <v>0</v>
      </c>
      <c r="T52" s="12">
        <f>-undergrid!O48*$AD$1</f>
        <v>0</v>
      </c>
      <c r="U52" s="12">
        <f>undergrid!U48*$AD$2</f>
        <v>6.15699999936</v>
      </c>
      <c r="V52" s="12">
        <f>undergrid!S48-N52</f>
        <v>0</v>
      </c>
      <c r="W52" s="12">
        <f t="shared" si="4"/>
        <v>6.157</v>
      </c>
      <c r="X52" s="13">
        <f>undergrid!AJ48</f>
        <v>0.3</v>
      </c>
    </row>
    <row r="53" spans="1:24" x14ac:dyDescent="0.3">
      <c r="A53" s="10">
        <v>48</v>
      </c>
      <c r="B53">
        <f>undergrid!C49*2+undergrid!E49</f>
        <v>7.8</v>
      </c>
      <c r="C53">
        <f>undergrid!C49*2</f>
        <v>5.6</v>
      </c>
      <c r="D53">
        <f>undergrid!E49</f>
        <v>2.2000000000000002</v>
      </c>
      <c r="E53" s="11">
        <f>undergrid!G49</f>
        <v>0.08</v>
      </c>
      <c r="F53">
        <f>undergrid!AL49</f>
        <v>7.8016799999999966</v>
      </c>
      <c r="G53" s="12">
        <f>undergrid!Q49</f>
        <v>0</v>
      </c>
      <c r="H53" s="12">
        <f t="shared" si="0"/>
        <v>0</v>
      </c>
      <c r="I53" s="12">
        <f t="shared" si="1"/>
        <v>0</v>
      </c>
      <c r="J53" s="12">
        <f>-(undergrid!M49-Graphs!G53)</f>
        <v>-6.3999999999999996E-10</v>
      </c>
      <c r="K53" s="12">
        <f t="shared" si="2"/>
        <v>0</v>
      </c>
      <c r="L53" s="12">
        <f>Costs!AF49+Costs!AG49</f>
        <v>0</v>
      </c>
      <c r="M53" s="12">
        <f>-undergrid!Y49</f>
        <v>0</v>
      </c>
      <c r="N53" s="12">
        <f>undergrid!S49</f>
        <v>0</v>
      </c>
      <c r="O53" s="12">
        <f>IF(undergrid!S49&gt;0.0001,IF(C53-H53&gt;undergrid!S49,undergrid!S49,C53-H53),0)</f>
        <v>0</v>
      </c>
      <c r="P53" s="12">
        <f>undergrid!S49-O53</f>
        <v>0</v>
      </c>
      <c r="Q53" s="12">
        <f>-undergrid!W49</f>
        <v>-7.801881298352157</v>
      </c>
      <c r="R53" s="12">
        <f t="shared" si="3"/>
        <v>7.801881298352157</v>
      </c>
      <c r="S53" s="22">
        <f>IF(undergrid!K49=2,1,0)</f>
        <v>1</v>
      </c>
      <c r="T53" s="12">
        <f>-undergrid!O49*$AD$1</f>
        <v>-1.5959999999969553E-3</v>
      </c>
      <c r="U53" s="12">
        <f>undergrid!U49*$AD$2</f>
        <v>0</v>
      </c>
      <c r="V53" s="12">
        <f>undergrid!S49-N53</f>
        <v>0</v>
      </c>
      <c r="W53" s="12">
        <f t="shared" si="4"/>
        <v>7.8</v>
      </c>
      <c r="X53" s="13">
        <f>undergrid!AJ49</f>
        <v>0.3</v>
      </c>
    </row>
    <row r="54" spans="1:24" x14ac:dyDescent="0.3">
      <c r="A54" s="10">
        <v>49</v>
      </c>
      <c r="B54">
        <f>undergrid!C50*2+undergrid!E50</f>
        <v>7.4250000000000007</v>
      </c>
      <c r="C54">
        <f>undergrid!C50*2</f>
        <v>4.8600000000000003</v>
      </c>
      <c r="D54">
        <f>undergrid!E50</f>
        <v>2.5649999999999999</v>
      </c>
      <c r="E54" s="11">
        <f>undergrid!G50</f>
        <v>0.08</v>
      </c>
      <c r="F54">
        <f>undergrid!AL50</f>
        <v>7.4266799999999975</v>
      </c>
      <c r="G54" s="12">
        <f>undergrid!Q50</f>
        <v>0</v>
      </c>
      <c r="H54" s="12">
        <f t="shared" si="0"/>
        <v>0</v>
      </c>
      <c r="I54" s="12">
        <f t="shared" si="1"/>
        <v>0</v>
      </c>
      <c r="J54" s="12">
        <f>-(undergrid!M50-Graphs!G54)</f>
        <v>-6.3999999999999996E-10</v>
      </c>
      <c r="K54" s="12">
        <f t="shared" si="2"/>
        <v>0</v>
      </c>
      <c r="L54" s="12">
        <f>Costs!AF50+Costs!AG50</f>
        <v>0</v>
      </c>
      <c r="M54" s="12">
        <f>-undergrid!Y50</f>
        <v>0</v>
      </c>
      <c r="N54" s="12">
        <f>undergrid!S50</f>
        <v>0</v>
      </c>
      <c r="O54" s="12">
        <f>IF(undergrid!S50&gt;0.0001,IF(C54-H54&gt;undergrid!S50,undergrid!S50,C54-H54),0)</f>
        <v>0</v>
      </c>
      <c r="P54" s="12">
        <f>undergrid!S50-O54</f>
        <v>0</v>
      </c>
      <c r="Q54" s="12">
        <f>-undergrid!W50</f>
        <v>-7.4268812983521579</v>
      </c>
      <c r="R54" s="12">
        <f t="shared" si="3"/>
        <v>7.4268812983521579</v>
      </c>
      <c r="S54" s="22">
        <f>IF(undergrid!K50=2,1,0)</f>
        <v>1</v>
      </c>
      <c r="T54" s="12">
        <f>-undergrid!O50*$AD$1</f>
        <v>-1.5959999999969553E-3</v>
      </c>
      <c r="U54" s="12">
        <f>undergrid!U50*$AD$2</f>
        <v>0</v>
      </c>
      <c r="V54" s="12">
        <f>undergrid!S50-N54</f>
        <v>0</v>
      </c>
      <c r="W54" s="12">
        <f t="shared" si="4"/>
        <v>7.4250000000000007</v>
      </c>
      <c r="X54" s="13">
        <f>undergrid!AJ50</f>
        <v>0.3</v>
      </c>
    </row>
    <row r="55" spans="1:24" x14ac:dyDescent="0.3">
      <c r="A55" s="10">
        <v>50</v>
      </c>
      <c r="B55">
        <f>undergrid!C51*2+undergrid!E51</f>
        <v>3.8970000000000002</v>
      </c>
      <c r="C55">
        <f>undergrid!C51*2</f>
        <v>2.02</v>
      </c>
      <c r="D55">
        <f>undergrid!E51</f>
        <v>1.877</v>
      </c>
      <c r="E55" s="11">
        <f>undergrid!G51</f>
        <v>0.08</v>
      </c>
      <c r="F55">
        <f>undergrid!AL51</f>
        <v>3.9714698203121639</v>
      </c>
      <c r="G55" s="12">
        <f>undergrid!Q51</f>
        <v>0</v>
      </c>
      <c r="H55" s="12">
        <f t="shared" si="0"/>
        <v>0</v>
      </c>
      <c r="I55" s="12">
        <f t="shared" si="1"/>
        <v>0</v>
      </c>
      <c r="J55" s="12">
        <f>-(undergrid!M51-Graphs!G55)</f>
        <v>-6.3999999999999996E-10</v>
      </c>
      <c r="K55" s="12">
        <f t="shared" si="2"/>
        <v>0</v>
      </c>
      <c r="L55" s="12">
        <f>Costs!AF51+Costs!AG51</f>
        <v>0</v>
      </c>
      <c r="M55" s="12">
        <f>-undergrid!Y51</f>
        <v>0</v>
      </c>
      <c r="N55" s="12">
        <f>undergrid!S51</f>
        <v>0</v>
      </c>
      <c r="O55" s="12">
        <f>IF(undergrid!S51&gt;0.0001,IF(C55-H55&gt;undergrid!S51,undergrid!S51,C55-H55),0)</f>
        <v>0</v>
      </c>
      <c r="P55" s="12">
        <f>undergrid!S51-O55</f>
        <v>0</v>
      </c>
      <c r="Q55" s="12">
        <f>-undergrid!W51</f>
        <v>-3.9803928552526808</v>
      </c>
      <c r="R55" s="12">
        <f t="shared" si="3"/>
        <v>3.9803928552526808</v>
      </c>
      <c r="S55" s="22">
        <f>IF(undergrid!K51=2,1,0)</f>
        <v>1</v>
      </c>
      <c r="T55" s="12">
        <f>-undergrid!O51*$AD$1</f>
        <v>-7.0746329296555457E-2</v>
      </c>
      <c r="U55" s="12">
        <f>undergrid!U51*$AD$2</f>
        <v>0</v>
      </c>
      <c r="V55" s="12">
        <f>undergrid!S51-N55</f>
        <v>0</v>
      </c>
      <c r="W55" s="12">
        <f t="shared" si="4"/>
        <v>3.8970000000000002</v>
      </c>
      <c r="X55" s="13">
        <f>undergrid!AJ51</f>
        <v>0.30072789820312168</v>
      </c>
    </row>
    <row r="56" spans="1:24" x14ac:dyDescent="0.3">
      <c r="A56" s="10">
        <v>51</v>
      </c>
      <c r="B56">
        <f>undergrid!C52*2+undergrid!E52</f>
        <v>4.1590000000000007</v>
      </c>
      <c r="C56">
        <f>undergrid!C52*2</f>
        <v>2.16</v>
      </c>
      <c r="D56">
        <f>undergrid!E52</f>
        <v>1.9990000000000001</v>
      </c>
      <c r="E56" s="11">
        <f>undergrid!G52</f>
        <v>0.08</v>
      </c>
      <c r="F56">
        <f>undergrid!AL52</f>
        <v>22.770013000571517</v>
      </c>
      <c r="G56" s="12">
        <f>undergrid!Q52</f>
        <v>0</v>
      </c>
      <c r="H56" s="12">
        <f t="shared" si="0"/>
        <v>0</v>
      </c>
      <c r="I56" s="12">
        <f t="shared" si="1"/>
        <v>0</v>
      </c>
      <c r="J56" s="12">
        <f>-(undergrid!M52-Graphs!G56)</f>
        <v>-6.3999999999999996E-10</v>
      </c>
      <c r="K56" s="12">
        <f t="shared" si="2"/>
        <v>0</v>
      </c>
      <c r="L56" s="12">
        <f>Costs!AF52+Costs!AG52</f>
        <v>0</v>
      </c>
      <c r="M56" s="12">
        <f>-undergrid!Y52</f>
        <v>0</v>
      </c>
      <c r="N56" s="12">
        <f>undergrid!S52</f>
        <v>0</v>
      </c>
      <c r="O56" s="12">
        <f>IF(undergrid!S52&gt;0.0001,IF(C56-H56&gt;undergrid!S52,undergrid!S52,C56-H56),0)</f>
        <v>0</v>
      </c>
      <c r="P56" s="12">
        <f>undergrid!S52-O56</f>
        <v>0</v>
      </c>
      <c r="Q56" s="12">
        <f>-undergrid!W52</f>
        <v>-25</v>
      </c>
      <c r="R56" s="12">
        <f t="shared" si="3"/>
        <v>25</v>
      </c>
      <c r="S56" s="22">
        <f>IF(undergrid!K52=2,1,0)</f>
        <v>1</v>
      </c>
      <c r="T56" s="12">
        <f>-undergrid!O52*$AD$1</f>
        <v>-17.680462350542943</v>
      </c>
      <c r="U56" s="12">
        <f>undergrid!U52*$AD$2</f>
        <v>0</v>
      </c>
      <c r="V56" s="12">
        <f>undergrid!S52-N56</f>
        <v>0</v>
      </c>
      <c r="W56" s="12">
        <f t="shared" si="4"/>
        <v>4.1590000000000007</v>
      </c>
      <c r="X56" s="13">
        <f>undergrid!AJ52</f>
        <v>0.48682118744653752</v>
      </c>
    </row>
    <row r="57" spans="1:24" x14ac:dyDescent="0.3">
      <c r="A57" s="10">
        <v>52</v>
      </c>
      <c r="B57">
        <f>undergrid!C53*2+undergrid!E53</f>
        <v>6.0329999999999995</v>
      </c>
      <c r="C57">
        <f>undergrid!C53*2</f>
        <v>3.12</v>
      </c>
      <c r="D57">
        <f>undergrid!E53</f>
        <v>2.9129999999999998</v>
      </c>
      <c r="E57" s="11">
        <f>undergrid!G53</f>
        <v>0.08</v>
      </c>
      <c r="F57">
        <f>undergrid!AL53</f>
        <v>22.970531000571519</v>
      </c>
      <c r="G57" s="12">
        <f>undergrid!Q53</f>
        <v>0</v>
      </c>
      <c r="H57" s="12">
        <f t="shared" si="0"/>
        <v>0</v>
      </c>
      <c r="I57" s="12">
        <f t="shared" si="1"/>
        <v>0</v>
      </c>
      <c r="J57" s="12">
        <f>-(undergrid!M53-Graphs!G57)</f>
        <v>-6.3999999999999996E-10</v>
      </c>
      <c r="K57" s="12">
        <f t="shared" si="2"/>
        <v>0</v>
      </c>
      <c r="L57" s="12">
        <f>Costs!AF53+Costs!AG53</f>
        <v>0</v>
      </c>
      <c r="M57" s="12">
        <f>-undergrid!Y53</f>
        <v>0</v>
      </c>
      <c r="N57" s="12">
        <f>undergrid!S53</f>
        <v>0</v>
      </c>
      <c r="O57" s="12">
        <f>IF(undergrid!S53&gt;0.0001,IF(C57-H57&gt;undergrid!S53,undergrid!S53,C57-H57),0)</f>
        <v>0</v>
      </c>
      <c r="P57" s="12">
        <f>undergrid!S53-O57</f>
        <v>0</v>
      </c>
      <c r="Q57" s="12">
        <f>-undergrid!W53</f>
        <v>-25</v>
      </c>
      <c r="R57" s="12">
        <f t="shared" si="3"/>
        <v>25</v>
      </c>
      <c r="S57" s="22">
        <f>IF(undergrid!K53=2,1,0)</f>
        <v>1</v>
      </c>
      <c r="T57" s="12">
        <f>-undergrid!O53*$AD$1</f>
        <v>-16.090654450542942</v>
      </c>
      <c r="U57" s="12">
        <f>undergrid!U53*$AD$2</f>
        <v>0</v>
      </c>
      <c r="V57" s="12">
        <f>undergrid!S53-N57</f>
        <v>0</v>
      </c>
      <c r="W57" s="12">
        <f t="shared" si="4"/>
        <v>6.0329999999999995</v>
      </c>
      <c r="X57" s="13">
        <f>undergrid!AJ53</f>
        <v>0.65616923546575578</v>
      </c>
    </row>
    <row r="58" spans="1:24" x14ac:dyDescent="0.3">
      <c r="A58" s="10">
        <v>53</v>
      </c>
      <c r="B58">
        <f>undergrid!C54*2+undergrid!E54</f>
        <v>5.3309999999999995</v>
      </c>
      <c r="C58">
        <f>undergrid!C54*2</f>
        <v>2.76</v>
      </c>
      <c r="D58">
        <f>undergrid!E54</f>
        <v>2.5710000000000002</v>
      </c>
      <c r="E58" s="11">
        <f>undergrid!G54</f>
        <v>0.08</v>
      </c>
      <c r="F58">
        <f>undergrid!AL54</f>
        <v>22.89541700057152</v>
      </c>
      <c r="G58" s="12">
        <f>undergrid!Q54</f>
        <v>0</v>
      </c>
      <c r="H58" s="12">
        <f t="shared" si="0"/>
        <v>0</v>
      </c>
      <c r="I58" s="12">
        <f t="shared" si="1"/>
        <v>0</v>
      </c>
      <c r="J58" s="12">
        <f>-(undergrid!M54-Graphs!G58)</f>
        <v>-6.3999999999999996E-10</v>
      </c>
      <c r="K58" s="12">
        <f t="shared" si="2"/>
        <v>0</v>
      </c>
      <c r="L58" s="12">
        <f>Costs!AF54+Costs!AG54</f>
        <v>0</v>
      </c>
      <c r="M58" s="12">
        <f>-undergrid!Y54</f>
        <v>0</v>
      </c>
      <c r="N58" s="12">
        <f>undergrid!S54</f>
        <v>0</v>
      </c>
      <c r="O58" s="12">
        <f>IF(undergrid!S54&gt;0.0001,IF(C58-H58&gt;undergrid!S54,undergrid!S54,C58-H58),0)</f>
        <v>0</v>
      </c>
      <c r="P58" s="12">
        <f>undergrid!S54-O58</f>
        <v>0</v>
      </c>
      <c r="Q58" s="12">
        <f>-undergrid!W54</f>
        <v>-25</v>
      </c>
      <c r="R58" s="12">
        <f t="shared" si="3"/>
        <v>25</v>
      </c>
      <c r="S58" s="22">
        <f>IF(undergrid!K54=2,1,0)</f>
        <v>1</v>
      </c>
      <c r="T58" s="12">
        <f>-undergrid!O54*$AD$1</f>
        <v>-16.686196150542944</v>
      </c>
      <c r="U58" s="12">
        <f>undergrid!U54*$AD$2</f>
        <v>0</v>
      </c>
      <c r="V58" s="12">
        <f>undergrid!S54-N58</f>
        <v>0</v>
      </c>
      <c r="W58" s="12">
        <f t="shared" si="4"/>
        <v>5.3309999999999995</v>
      </c>
      <c r="X58" s="13">
        <f>undergrid!AJ54</f>
        <v>0.83177665999428485</v>
      </c>
    </row>
    <row r="59" spans="1:24" x14ac:dyDescent="0.3">
      <c r="A59" s="10">
        <v>54</v>
      </c>
      <c r="B59">
        <f>undergrid!C55*2+undergrid!E55</f>
        <v>6.1620000000000008</v>
      </c>
      <c r="C59">
        <f>undergrid!C55*2</f>
        <v>3.2</v>
      </c>
      <c r="D59">
        <f>undergrid!E55</f>
        <v>2.9620000000000002</v>
      </c>
      <c r="E59" s="11">
        <f>undergrid!G55</f>
        <v>0.08</v>
      </c>
      <c r="F59">
        <f>undergrid!AL55</f>
        <v>22.984334000571522</v>
      </c>
      <c r="G59" s="12">
        <f>undergrid!Q55</f>
        <v>0</v>
      </c>
      <c r="H59" s="12">
        <f t="shared" si="0"/>
        <v>0</v>
      </c>
      <c r="I59" s="12">
        <f t="shared" si="1"/>
        <v>0</v>
      </c>
      <c r="J59" s="12">
        <f>-(undergrid!M55-Graphs!G59)</f>
        <v>-6.3999999999999996E-10</v>
      </c>
      <c r="K59" s="12">
        <f t="shared" si="2"/>
        <v>0</v>
      </c>
      <c r="L59" s="12">
        <f>Costs!AF55+Costs!AG55</f>
        <v>0</v>
      </c>
      <c r="M59" s="12">
        <f>-undergrid!Y55</f>
        <v>0</v>
      </c>
      <c r="N59" s="12">
        <f>undergrid!S55</f>
        <v>0</v>
      </c>
      <c r="O59" s="12">
        <f>IF(undergrid!S55&gt;0.0001,IF(C59-H59&gt;undergrid!S55,undergrid!S55,C59-H59),0)</f>
        <v>0</v>
      </c>
      <c r="P59" s="12">
        <f>undergrid!S55-O59</f>
        <v>0</v>
      </c>
      <c r="Q59" s="12">
        <f>-undergrid!W55</f>
        <v>-25</v>
      </c>
      <c r="R59" s="12">
        <f t="shared" si="3"/>
        <v>25</v>
      </c>
      <c r="S59" s="22">
        <f>IF(undergrid!K55=2,1,0)</f>
        <v>1</v>
      </c>
      <c r="T59" s="12">
        <f>-undergrid!O55*$AD$1</f>
        <v>-15.981217300542943</v>
      </c>
      <c r="U59" s="12">
        <f>undergrid!U55*$AD$2</f>
        <v>0</v>
      </c>
      <c r="V59" s="12">
        <f>undergrid!S55-N59</f>
        <v>0</v>
      </c>
      <c r="W59" s="12">
        <f t="shared" si="4"/>
        <v>6.1620000000000008</v>
      </c>
      <c r="X59" s="13">
        <f>undergrid!AJ55</f>
        <v>0.99995342050704039</v>
      </c>
    </row>
    <row r="60" spans="1:24" x14ac:dyDescent="0.3">
      <c r="A60" s="10">
        <v>55</v>
      </c>
      <c r="B60">
        <f>undergrid!C56*2+undergrid!E56</f>
        <v>4.6669999999999998</v>
      </c>
      <c r="C60">
        <f>undergrid!C56*2</f>
        <v>2.42</v>
      </c>
      <c r="D60">
        <f>undergrid!E56</f>
        <v>2.2469999999999999</v>
      </c>
      <c r="E60" s="11">
        <f>undergrid!G56</f>
        <v>0.13</v>
      </c>
      <c r="F60">
        <f>undergrid!AL56</f>
        <v>4.6669999999999998</v>
      </c>
      <c r="G60" s="12">
        <f>undergrid!Q56</f>
        <v>0</v>
      </c>
      <c r="H60" s="12">
        <f t="shared" si="0"/>
        <v>0</v>
      </c>
      <c r="I60" s="12">
        <f t="shared" si="1"/>
        <v>0</v>
      </c>
      <c r="J60" s="12">
        <f>-(undergrid!M56-Graphs!G60)</f>
        <v>-6.3999999999999996E-10</v>
      </c>
      <c r="K60" s="12">
        <f t="shared" si="2"/>
        <v>0</v>
      </c>
      <c r="L60" s="12">
        <f>Costs!AF56+Costs!AG56</f>
        <v>0</v>
      </c>
      <c r="M60" s="12">
        <f>-undergrid!Y56</f>
        <v>0</v>
      </c>
      <c r="N60" s="12">
        <f>undergrid!S56</f>
        <v>0</v>
      </c>
      <c r="O60" s="12">
        <f>IF(undergrid!S56&gt;0.0001,IF(C60-H60&gt;undergrid!S56,undergrid!S56,C60-H60),0)</f>
        <v>0</v>
      </c>
      <c r="P60" s="12">
        <f>undergrid!S56-O60</f>
        <v>0</v>
      </c>
      <c r="Q60" s="12">
        <f>-undergrid!W56</f>
        <v>0</v>
      </c>
      <c r="R60" s="12">
        <f t="shared" si="3"/>
        <v>0</v>
      </c>
      <c r="S60" s="22">
        <f>IF(undergrid!K56=2,1,0)</f>
        <v>1</v>
      </c>
      <c r="T60" s="12">
        <f>-undergrid!O56*$AD$1</f>
        <v>0</v>
      </c>
      <c r="U60" s="12">
        <f>undergrid!U56*$AD$2</f>
        <v>4.6669999993599998</v>
      </c>
      <c r="V60" s="12">
        <f>undergrid!S56-N60</f>
        <v>0</v>
      </c>
      <c r="W60" s="12">
        <f t="shared" si="4"/>
        <v>4.6669999999999998</v>
      </c>
      <c r="X60" s="13">
        <f>undergrid!AJ56</f>
        <v>0.94804186756704767</v>
      </c>
    </row>
    <row r="61" spans="1:24" x14ac:dyDescent="0.3">
      <c r="A61" s="10">
        <v>56</v>
      </c>
      <c r="B61">
        <f>undergrid!C57*2+undergrid!E57</f>
        <v>3.0510000000000002</v>
      </c>
      <c r="C61">
        <f>undergrid!C57*2</f>
        <v>1.38</v>
      </c>
      <c r="D61">
        <f>undergrid!E57</f>
        <v>1.671</v>
      </c>
      <c r="E61" s="11">
        <f>undergrid!G57</f>
        <v>0.13</v>
      </c>
      <c r="F61">
        <f>undergrid!AL57</f>
        <v>3.0510000000000002</v>
      </c>
      <c r="G61" s="12">
        <f>undergrid!Q57</f>
        <v>0</v>
      </c>
      <c r="H61" s="12">
        <f t="shared" si="0"/>
        <v>0</v>
      </c>
      <c r="I61" s="12">
        <f t="shared" si="1"/>
        <v>0</v>
      </c>
      <c r="J61" s="12">
        <f>-(undergrid!M57-Graphs!G61)</f>
        <v>-6.8000000000000003E-10</v>
      </c>
      <c r="K61" s="12">
        <f t="shared" si="2"/>
        <v>0</v>
      </c>
      <c r="L61" s="12">
        <f>Costs!AF57+Costs!AG57</f>
        <v>0</v>
      </c>
      <c r="M61" s="12">
        <f>-undergrid!Y57</f>
        <v>0</v>
      </c>
      <c r="N61" s="12">
        <f>undergrid!S57</f>
        <v>0</v>
      </c>
      <c r="O61" s="12">
        <f>IF(undergrid!S57&gt;0.0001,IF(C61-H61&gt;undergrid!S57,undergrid!S57,C61-H61),0)</f>
        <v>0</v>
      </c>
      <c r="P61" s="12">
        <f>undergrid!S57-O61</f>
        <v>0</v>
      </c>
      <c r="Q61" s="12">
        <f>-undergrid!W57</f>
        <v>0</v>
      </c>
      <c r="R61" s="12">
        <f t="shared" si="3"/>
        <v>0</v>
      </c>
      <c r="S61" s="22">
        <f>IF(undergrid!K57=2,1,0)</f>
        <v>1</v>
      </c>
      <c r="T61" s="12">
        <f>-undergrid!O57*$AD$1</f>
        <v>0</v>
      </c>
      <c r="U61" s="12">
        <f>undergrid!U57*$AD$2</f>
        <v>3.0509999993200001</v>
      </c>
      <c r="V61" s="12">
        <f>undergrid!S57-N61</f>
        <v>0</v>
      </c>
      <c r="W61" s="12">
        <f t="shared" si="4"/>
        <v>3.0510000000000002</v>
      </c>
      <c r="X61" s="13">
        <f>undergrid!AJ57</f>
        <v>0.91408877723001969</v>
      </c>
    </row>
    <row r="62" spans="1:24" x14ac:dyDescent="0.3">
      <c r="A62" s="10">
        <v>57</v>
      </c>
      <c r="B62">
        <f>undergrid!C58*2+undergrid!E58</f>
        <v>4.0840000000000005</v>
      </c>
      <c r="C62">
        <f>undergrid!C58*2</f>
        <v>1.84</v>
      </c>
      <c r="D62">
        <f>undergrid!E58</f>
        <v>2.2440000000000002</v>
      </c>
      <c r="E62" s="11">
        <f>undergrid!G58</f>
        <v>0.13</v>
      </c>
      <c r="F62">
        <f>undergrid!AL58</f>
        <v>7.59</v>
      </c>
      <c r="G62" s="12">
        <f>undergrid!Q58</f>
        <v>7.59</v>
      </c>
      <c r="H62" s="12">
        <f t="shared" si="0"/>
        <v>1.84</v>
      </c>
      <c r="I62" s="12">
        <f t="shared" si="1"/>
        <v>5.75</v>
      </c>
      <c r="J62" s="12">
        <f>-(undergrid!M58-Graphs!G62)</f>
        <v>0</v>
      </c>
      <c r="K62" s="12">
        <f t="shared" si="2"/>
        <v>5.75</v>
      </c>
      <c r="L62" s="12">
        <f>Costs!AF58+Costs!AG58</f>
        <v>0</v>
      </c>
      <c r="M62" s="12">
        <f>-undergrid!Y58</f>
        <v>-3.5059999999999993</v>
      </c>
      <c r="N62" s="12">
        <f>undergrid!S58</f>
        <v>0</v>
      </c>
      <c r="O62" s="12">
        <f>IF(undergrid!S58&gt;0.0001,IF(C62-H62&gt;undergrid!S58,undergrid!S58,C62-H62),0)</f>
        <v>0</v>
      </c>
      <c r="P62" s="12">
        <f>undergrid!S58-O62</f>
        <v>0</v>
      </c>
      <c r="Q62" s="12">
        <f>-undergrid!W58</f>
        <v>0</v>
      </c>
      <c r="R62" s="12">
        <f t="shared" si="3"/>
        <v>0</v>
      </c>
      <c r="S62" s="22">
        <f>IF(undergrid!K58=2,1,0)</f>
        <v>1</v>
      </c>
      <c r="T62" s="12">
        <f>-undergrid!O58*$AD$1</f>
        <v>0</v>
      </c>
      <c r="U62" s="12">
        <f>undergrid!U58*$AD$2</f>
        <v>0</v>
      </c>
      <c r="V62" s="12">
        <f>undergrid!S58-N62</f>
        <v>0</v>
      </c>
      <c r="W62" s="12">
        <f t="shared" si="4"/>
        <v>2.2440000000000007</v>
      </c>
      <c r="X62" s="13">
        <f>undergrid!AJ58</f>
        <v>0.91403758825849479</v>
      </c>
    </row>
    <row r="63" spans="1:24" x14ac:dyDescent="0.3">
      <c r="A63" s="10">
        <v>58</v>
      </c>
      <c r="B63">
        <f>undergrid!C59*2+undergrid!E59</f>
        <v>11.42</v>
      </c>
      <c r="C63">
        <f>undergrid!C59*2</f>
        <v>3.7</v>
      </c>
      <c r="D63">
        <f>undergrid!E59</f>
        <v>7.72</v>
      </c>
      <c r="E63" s="11">
        <f>undergrid!G59</f>
        <v>0.13</v>
      </c>
      <c r="F63">
        <f>undergrid!AL59</f>
        <v>11.42</v>
      </c>
      <c r="G63" s="12">
        <f>undergrid!Q59</f>
        <v>7.15</v>
      </c>
      <c r="H63" s="12">
        <f t="shared" si="0"/>
        <v>3.7</v>
      </c>
      <c r="I63" s="12">
        <f t="shared" si="1"/>
        <v>3.45</v>
      </c>
      <c r="J63" s="12">
        <f>-(undergrid!M59-Graphs!G63)</f>
        <v>0</v>
      </c>
      <c r="K63" s="12">
        <f t="shared" si="2"/>
        <v>3.45</v>
      </c>
      <c r="L63" s="12">
        <f>Costs!AF59+Costs!AG59</f>
        <v>0</v>
      </c>
      <c r="M63" s="12">
        <f>-undergrid!Y59</f>
        <v>0</v>
      </c>
      <c r="N63" s="12">
        <f>undergrid!S59</f>
        <v>0</v>
      </c>
      <c r="O63" s="12">
        <f>IF(undergrid!S59&gt;0.0001,IF(C63-H63&gt;undergrid!S59,undergrid!S59,C63-H63),0)</f>
        <v>0</v>
      </c>
      <c r="P63" s="12">
        <f>undergrid!S59-O63</f>
        <v>0</v>
      </c>
      <c r="Q63" s="12">
        <f>-undergrid!W59</f>
        <v>-2.8384346848337589</v>
      </c>
      <c r="R63" s="12">
        <f t="shared" si="3"/>
        <v>2.8384346848337589</v>
      </c>
      <c r="S63" s="22">
        <f>IF(undergrid!K59=2,1,0)</f>
        <v>1</v>
      </c>
      <c r="T63" s="12">
        <f>-undergrid!O59*$AD$1</f>
        <v>0</v>
      </c>
      <c r="U63" s="12">
        <f>undergrid!U59*$AD$2</f>
        <v>1.4315653151662404</v>
      </c>
      <c r="V63" s="12">
        <f>undergrid!S59-N63</f>
        <v>0</v>
      </c>
      <c r="W63" s="12">
        <f t="shared" si="4"/>
        <v>7.72</v>
      </c>
      <c r="X63" s="13">
        <f>undergrid!AJ59</f>
        <v>0.89808012087392752</v>
      </c>
    </row>
    <row r="64" spans="1:24" x14ac:dyDescent="0.3">
      <c r="A64" s="10">
        <v>59</v>
      </c>
      <c r="B64">
        <f>undergrid!C60*2+undergrid!E60</f>
        <v>13.649000000000001</v>
      </c>
      <c r="C64">
        <f>undergrid!C60*2</f>
        <v>6.56</v>
      </c>
      <c r="D64">
        <f>undergrid!E60</f>
        <v>7.0890000000000004</v>
      </c>
      <c r="E64" s="11">
        <f>undergrid!G60</f>
        <v>0.13</v>
      </c>
      <c r="F64">
        <f>undergrid!AL60</f>
        <v>13.649000000000001</v>
      </c>
      <c r="G64" s="12">
        <f>undergrid!Q60</f>
        <v>9.9499999999999993</v>
      </c>
      <c r="H64" s="12">
        <f t="shared" si="0"/>
        <v>6.56</v>
      </c>
      <c r="I64" s="12">
        <f t="shared" si="1"/>
        <v>3.3899999999999997</v>
      </c>
      <c r="J64" s="12">
        <f>-(undergrid!M60-Graphs!G64)</f>
        <v>0</v>
      </c>
      <c r="K64" s="12">
        <f t="shared" si="2"/>
        <v>3.3899999999999997</v>
      </c>
      <c r="L64" s="12">
        <f>Costs!AF60+Costs!AG60</f>
        <v>0</v>
      </c>
      <c r="M64" s="12">
        <f>-undergrid!Y60</f>
        <v>0</v>
      </c>
      <c r="N64" s="12">
        <f>undergrid!S60</f>
        <v>0</v>
      </c>
      <c r="O64" s="12">
        <f>IF(undergrid!S60&gt;0.0001,IF(C64-H64&gt;undergrid!S60,undergrid!S60,C64-H64),0)</f>
        <v>0</v>
      </c>
      <c r="P64" s="12">
        <f>undergrid!S60-O64</f>
        <v>0</v>
      </c>
      <c r="Q64" s="12">
        <f>-undergrid!W60</f>
        <v>0</v>
      </c>
      <c r="R64" s="12">
        <f t="shared" si="3"/>
        <v>0</v>
      </c>
      <c r="S64" s="22">
        <f>IF(undergrid!K60=2,1,0)</f>
        <v>0</v>
      </c>
      <c r="T64" s="12">
        <f>-undergrid!O60*$AD$1</f>
        <v>0</v>
      </c>
      <c r="U64" s="12">
        <f>undergrid!U60*$AD$2</f>
        <v>3.6990000000000012</v>
      </c>
      <c r="V64" s="12">
        <f>undergrid!S60-N64</f>
        <v>0</v>
      </c>
      <c r="W64" s="12">
        <f t="shared" si="4"/>
        <v>7.0890000000000013</v>
      </c>
      <c r="X64" s="13">
        <f>undergrid!AJ60</f>
        <v>0.85692982838715859</v>
      </c>
    </row>
    <row r="65" spans="1:24" x14ac:dyDescent="0.3">
      <c r="A65" s="10">
        <v>60</v>
      </c>
      <c r="B65">
        <f>undergrid!C61*2+undergrid!E61</f>
        <v>18.292999999999999</v>
      </c>
      <c r="C65">
        <f>undergrid!C61*2</f>
        <v>8.8000000000000007</v>
      </c>
      <c r="D65">
        <f>undergrid!E61</f>
        <v>9.4930000000000003</v>
      </c>
      <c r="E65" s="11">
        <f>undergrid!G61</f>
        <v>0.13</v>
      </c>
      <c r="F65">
        <f>undergrid!AL61</f>
        <v>18.292999999999999</v>
      </c>
      <c r="G65" s="12">
        <f>undergrid!Q61</f>
        <v>10.63</v>
      </c>
      <c r="H65" s="12">
        <f t="shared" si="0"/>
        <v>8.8000000000000007</v>
      </c>
      <c r="I65" s="12">
        <f t="shared" si="1"/>
        <v>1.83</v>
      </c>
      <c r="J65" s="12">
        <f>-(undergrid!M61-Graphs!G65)</f>
        <v>0</v>
      </c>
      <c r="K65" s="12">
        <f t="shared" si="2"/>
        <v>1.83</v>
      </c>
      <c r="L65" s="12">
        <f>Costs!AF61+Costs!AG61</f>
        <v>0</v>
      </c>
      <c r="M65" s="12">
        <f>-undergrid!Y61</f>
        <v>0</v>
      </c>
      <c r="N65" s="12">
        <f>undergrid!S61</f>
        <v>0</v>
      </c>
      <c r="O65" s="12">
        <f>IF(undergrid!S61&gt;0.0001,IF(C65-H65&gt;undergrid!S61,undergrid!S61,C65-H65),0)</f>
        <v>0</v>
      </c>
      <c r="P65" s="12">
        <f>undergrid!S61-O65</f>
        <v>0</v>
      </c>
      <c r="Q65" s="12">
        <f>-undergrid!W61</f>
        <v>0</v>
      </c>
      <c r="R65" s="12">
        <f t="shared" si="3"/>
        <v>0</v>
      </c>
      <c r="S65" s="22">
        <f>IF(undergrid!K61=2,1,0)</f>
        <v>0</v>
      </c>
      <c r="T65" s="12">
        <f>-undergrid!O61*$AD$1</f>
        <v>0</v>
      </c>
      <c r="U65" s="12">
        <f>undergrid!U61*$AD$2</f>
        <v>7.6630000000000003</v>
      </c>
      <c r="V65" s="12">
        <f>undergrid!S61-N65</f>
        <v>0</v>
      </c>
      <c r="W65" s="12">
        <f t="shared" si="4"/>
        <v>9.4929999999999986</v>
      </c>
      <c r="X65" s="13">
        <f>undergrid!AJ61</f>
        <v>0.77173739587232448</v>
      </c>
    </row>
    <row r="66" spans="1:24" x14ac:dyDescent="0.3">
      <c r="A66" s="10">
        <v>61</v>
      </c>
      <c r="B66">
        <f>undergrid!C62*2+undergrid!E62</f>
        <v>7.2679999999999998</v>
      </c>
      <c r="C66">
        <f>undergrid!C62*2</f>
        <v>6.1</v>
      </c>
      <c r="D66">
        <f>undergrid!E62</f>
        <v>1.1679999999999999</v>
      </c>
      <c r="E66" s="11">
        <f>undergrid!G62</f>
        <v>0.13</v>
      </c>
      <c r="F66">
        <f>undergrid!AL62</f>
        <v>10.297056000000001</v>
      </c>
      <c r="G66" s="12">
        <f>undergrid!Q62</f>
        <v>10.66</v>
      </c>
      <c r="H66" s="12">
        <f t="shared" si="0"/>
        <v>6.1</v>
      </c>
      <c r="I66" s="12">
        <f t="shared" si="1"/>
        <v>4.5600000000000005</v>
      </c>
      <c r="J66" s="12">
        <f>-(undergrid!M62-Graphs!G66)</f>
        <v>0</v>
      </c>
      <c r="K66" s="12">
        <f t="shared" si="2"/>
        <v>4.5600000000000005</v>
      </c>
      <c r="L66" s="12">
        <f>Costs!AF62+Costs!AG62</f>
        <v>0</v>
      </c>
      <c r="M66" s="12">
        <f>-undergrid!Y62</f>
        <v>0</v>
      </c>
      <c r="N66" s="12">
        <f>undergrid!S62</f>
        <v>0</v>
      </c>
      <c r="O66" s="12">
        <f>IF(undergrid!S62&gt;0.0001,IF(C66-H66&gt;undergrid!S62,undergrid!S62,C66-H66),0)</f>
        <v>0</v>
      </c>
      <c r="P66" s="12">
        <f>undergrid!S62-O66</f>
        <v>0</v>
      </c>
      <c r="Q66" s="12">
        <f>-undergrid!W62</f>
        <v>0</v>
      </c>
      <c r="R66" s="12">
        <f t="shared" si="3"/>
        <v>0</v>
      </c>
      <c r="S66" s="22">
        <f>IF(undergrid!K62=2,1,0)</f>
        <v>0</v>
      </c>
      <c r="T66" s="12">
        <f>-undergrid!O62*$AD$1</f>
        <v>-2.8776032000000002</v>
      </c>
      <c r="U66" s="12">
        <f>undergrid!U62*$AD$2</f>
        <v>0</v>
      </c>
      <c r="V66" s="12">
        <f>undergrid!S62-N66</f>
        <v>0</v>
      </c>
      <c r="W66" s="12">
        <f t="shared" si="4"/>
        <v>1.1680000000000001</v>
      </c>
      <c r="X66" s="13">
        <f>undergrid!AJ62</f>
        <v>0.80198473857815566</v>
      </c>
    </row>
    <row r="67" spans="1:24" x14ac:dyDescent="0.3">
      <c r="A67" s="10">
        <v>62</v>
      </c>
      <c r="B67">
        <f>undergrid!C63*2+undergrid!E63</f>
        <v>12.077999999999999</v>
      </c>
      <c r="C67">
        <f>undergrid!C63*2</f>
        <v>10.82</v>
      </c>
      <c r="D67">
        <f>undergrid!E63</f>
        <v>1.258</v>
      </c>
      <c r="E67" s="11">
        <f>undergrid!G63</f>
        <v>0.13</v>
      </c>
      <c r="F67">
        <f>undergrid!AL63</f>
        <v>12.077999999999999</v>
      </c>
      <c r="G67" s="12">
        <f>undergrid!Q63</f>
        <v>11.91</v>
      </c>
      <c r="H67" s="12">
        <f t="shared" si="0"/>
        <v>10.82</v>
      </c>
      <c r="I67" s="12">
        <f t="shared" si="1"/>
        <v>1.0899999999999999</v>
      </c>
      <c r="J67" s="12">
        <f>-(undergrid!M63-Graphs!G67)</f>
        <v>0</v>
      </c>
      <c r="K67" s="12">
        <f t="shared" si="2"/>
        <v>1.0899999999999999</v>
      </c>
      <c r="L67" s="12">
        <f>Costs!AF63+Costs!AG63</f>
        <v>0</v>
      </c>
      <c r="M67" s="12">
        <f>-undergrid!Y63</f>
        <v>0</v>
      </c>
      <c r="N67" s="12">
        <f>undergrid!S63</f>
        <v>0</v>
      </c>
      <c r="O67" s="12">
        <f>IF(undergrid!S63&gt;0.0001,IF(C67-H67&gt;undergrid!S63,undergrid!S63,C67-H67),0)</f>
        <v>0</v>
      </c>
      <c r="P67" s="12">
        <f>undergrid!S63-O67</f>
        <v>0</v>
      </c>
      <c r="Q67" s="12">
        <f>-undergrid!W63</f>
        <v>0</v>
      </c>
      <c r="R67" s="12">
        <f t="shared" si="3"/>
        <v>0</v>
      </c>
      <c r="S67" s="22">
        <f>IF(undergrid!K63=2,1,0)</f>
        <v>0</v>
      </c>
      <c r="T67" s="12">
        <f>-undergrid!O63*$AD$1</f>
        <v>0</v>
      </c>
      <c r="U67" s="12">
        <f>undergrid!U63*$AD$2</f>
        <v>0.16799999999999909</v>
      </c>
      <c r="V67" s="12">
        <f>undergrid!S63-N67</f>
        <v>0</v>
      </c>
      <c r="W67" s="12">
        <f t="shared" si="4"/>
        <v>1.2579999999999991</v>
      </c>
      <c r="X67" s="13">
        <f>undergrid!AJ63</f>
        <v>0.80007316076612878</v>
      </c>
    </row>
    <row r="68" spans="1:24" x14ac:dyDescent="0.3">
      <c r="A68" s="10">
        <v>63</v>
      </c>
      <c r="B68">
        <f>undergrid!C64*2+undergrid!E64</f>
        <v>17.155999999999999</v>
      </c>
      <c r="C68">
        <f>undergrid!C64*2</f>
        <v>10.54</v>
      </c>
      <c r="D68">
        <f>undergrid!E64</f>
        <v>6.6159999999999997</v>
      </c>
      <c r="E68" s="11">
        <f>undergrid!G64</f>
        <v>0.13</v>
      </c>
      <c r="F68">
        <f>undergrid!AL64</f>
        <v>17.155999999999999</v>
      </c>
      <c r="G68" s="12">
        <f>undergrid!Q64</f>
        <v>11.57</v>
      </c>
      <c r="H68" s="12">
        <f t="shared" si="0"/>
        <v>10.54</v>
      </c>
      <c r="I68" s="12">
        <f t="shared" si="1"/>
        <v>1.0300000000000011</v>
      </c>
      <c r="J68" s="12">
        <f>-(undergrid!M64-Graphs!G68)</f>
        <v>0</v>
      </c>
      <c r="K68" s="12">
        <f t="shared" si="2"/>
        <v>1.0300000000000011</v>
      </c>
      <c r="L68" s="12">
        <f>Costs!AF64+Costs!AG64</f>
        <v>0</v>
      </c>
      <c r="M68" s="12">
        <f>-undergrid!Y64</f>
        <v>0</v>
      </c>
      <c r="N68" s="12">
        <f>undergrid!S64</f>
        <v>0</v>
      </c>
      <c r="O68" s="12">
        <f>IF(undergrid!S64&gt;0.0001,IF(C68-H68&gt;undergrid!S64,undergrid!S64,C68-H68),0)</f>
        <v>0</v>
      </c>
      <c r="P68" s="12">
        <f>undergrid!S64-O68</f>
        <v>0</v>
      </c>
      <c r="Q68" s="12">
        <f>-undergrid!W64</f>
        <v>-5.5859999999999985</v>
      </c>
      <c r="R68" s="12">
        <f t="shared" si="3"/>
        <v>5.5859999999999985</v>
      </c>
      <c r="S68" s="22">
        <f>IF(undergrid!K64=2,1,0)</f>
        <v>1</v>
      </c>
      <c r="T68" s="12">
        <f>-undergrid!O64*$AD$1</f>
        <v>0</v>
      </c>
      <c r="U68" s="12">
        <f>undergrid!U64*$AD$2</f>
        <v>0</v>
      </c>
      <c r="V68" s="12">
        <f>undergrid!S64-N68</f>
        <v>0</v>
      </c>
      <c r="W68" s="12">
        <f t="shared" si="4"/>
        <v>6.6159999999999997</v>
      </c>
      <c r="X68" s="13">
        <f>undergrid!AJ64</f>
        <v>0.80002835666912586</v>
      </c>
    </row>
    <row r="69" spans="1:24" x14ac:dyDescent="0.3">
      <c r="A69" s="10">
        <v>64</v>
      </c>
      <c r="B69">
        <f>undergrid!C65*2+undergrid!E65</f>
        <v>15.552</v>
      </c>
      <c r="C69">
        <f>undergrid!C65*2</f>
        <v>7.48</v>
      </c>
      <c r="D69">
        <f>undergrid!E65</f>
        <v>8.0719999999999992</v>
      </c>
      <c r="E69" s="11">
        <f>undergrid!G65</f>
        <v>0.13</v>
      </c>
      <c r="F69">
        <f>undergrid!AL65</f>
        <v>15.552</v>
      </c>
      <c r="G69" s="12">
        <f>undergrid!Q65</f>
        <v>5.25</v>
      </c>
      <c r="H69" s="12">
        <f t="shared" si="0"/>
        <v>5.25</v>
      </c>
      <c r="I69" s="12">
        <f t="shared" si="1"/>
        <v>0</v>
      </c>
      <c r="J69" s="12">
        <f>-(undergrid!M65-Graphs!G69)</f>
        <v>0</v>
      </c>
      <c r="K69" s="12">
        <f t="shared" si="2"/>
        <v>0</v>
      </c>
      <c r="L69" s="12">
        <f>Costs!AF65+Costs!AG65</f>
        <v>0</v>
      </c>
      <c r="M69" s="12">
        <f>-undergrid!Y65</f>
        <v>0</v>
      </c>
      <c r="N69" s="12">
        <f>undergrid!S65</f>
        <v>0</v>
      </c>
      <c r="O69" s="12">
        <f>IF(undergrid!S65&gt;0.0001,IF(C69-H69&gt;undergrid!S65,undergrid!S65,C69-H69),0)</f>
        <v>0</v>
      </c>
      <c r="P69" s="12">
        <f>undergrid!S65-O69</f>
        <v>0</v>
      </c>
      <c r="Q69" s="12">
        <f>-undergrid!W65</f>
        <v>-10.302</v>
      </c>
      <c r="R69" s="12">
        <f t="shared" si="3"/>
        <v>10.302</v>
      </c>
      <c r="S69" s="22">
        <f>IF(undergrid!K65=2,1,0)</f>
        <v>1</v>
      </c>
      <c r="T69" s="12">
        <f>-undergrid!O65*$AD$1</f>
        <v>0</v>
      </c>
      <c r="U69" s="12">
        <f>undergrid!U65*$AD$2</f>
        <v>0</v>
      </c>
      <c r="V69" s="12">
        <f>undergrid!S65-N69</f>
        <v>0</v>
      </c>
      <c r="W69" s="12">
        <f t="shared" si="4"/>
        <v>10.302</v>
      </c>
      <c r="X69" s="13">
        <f>undergrid!AJ65</f>
        <v>0.79998355508115238</v>
      </c>
    </row>
    <row r="70" spans="1:24" x14ac:dyDescent="0.3">
      <c r="A70" s="10">
        <v>65</v>
      </c>
      <c r="B70">
        <f>undergrid!C66*2+undergrid!E66</f>
        <v>14.882999999999999</v>
      </c>
      <c r="C70">
        <f>undergrid!C66*2</f>
        <v>7.16</v>
      </c>
      <c r="D70">
        <f>undergrid!E66</f>
        <v>7.7229999999999999</v>
      </c>
      <c r="E70" s="11">
        <f>undergrid!G66</f>
        <v>0.13</v>
      </c>
      <c r="F70">
        <f>undergrid!AL66</f>
        <v>14.882999999999999</v>
      </c>
      <c r="G70" s="12">
        <f>undergrid!Q66</f>
        <v>5.15</v>
      </c>
      <c r="H70" s="12">
        <f t="shared" si="0"/>
        <v>5.15</v>
      </c>
      <c r="I70" s="12">
        <f t="shared" si="1"/>
        <v>0</v>
      </c>
      <c r="J70" s="12">
        <f>-(undergrid!M66-Graphs!G70)</f>
        <v>0</v>
      </c>
      <c r="K70" s="12">
        <f t="shared" si="2"/>
        <v>0</v>
      </c>
      <c r="L70" s="12">
        <f>Costs!AF66+Costs!AG66</f>
        <v>0</v>
      </c>
      <c r="M70" s="12">
        <f>-undergrid!Y66</f>
        <v>0</v>
      </c>
      <c r="N70" s="12">
        <f>undergrid!S66</f>
        <v>0</v>
      </c>
      <c r="O70" s="12">
        <f>IF(undergrid!S66&gt;0.0001,IF(C70-H70&gt;undergrid!S66,undergrid!S66,C70-H70),0)</f>
        <v>0</v>
      </c>
      <c r="P70" s="12">
        <f>undergrid!S66-O70</f>
        <v>0</v>
      </c>
      <c r="Q70" s="12">
        <f>-undergrid!W66</f>
        <v>-9.7329999999999988</v>
      </c>
      <c r="R70" s="12">
        <f t="shared" si="3"/>
        <v>9.7329999999999988</v>
      </c>
      <c r="S70" s="22">
        <f>IF(undergrid!K66=2,1,0)</f>
        <v>1</v>
      </c>
      <c r="T70" s="12">
        <f>-undergrid!O66*$AD$1</f>
        <v>0</v>
      </c>
      <c r="U70" s="12">
        <f>undergrid!U66*$AD$2</f>
        <v>0</v>
      </c>
      <c r="V70" s="12">
        <f>undergrid!S66-N70</f>
        <v>0</v>
      </c>
      <c r="W70" s="12">
        <f t="shared" si="4"/>
        <v>9.7329999999999988</v>
      </c>
      <c r="X70" s="13">
        <f>undergrid!AJ66</f>
        <v>0.79993875600206787</v>
      </c>
    </row>
    <row r="71" spans="1:24" x14ac:dyDescent="0.3">
      <c r="A71" s="10">
        <v>66</v>
      </c>
      <c r="B71">
        <f>undergrid!C67*2+undergrid!E67</f>
        <v>21.795999999999999</v>
      </c>
      <c r="C71">
        <f>undergrid!C67*2</f>
        <v>11.38</v>
      </c>
      <c r="D71">
        <f>undergrid!E67</f>
        <v>10.416</v>
      </c>
      <c r="E71" s="11">
        <f>undergrid!G67</f>
        <v>0.13</v>
      </c>
      <c r="F71">
        <f>undergrid!AL67</f>
        <v>21.795999999999999</v>
      </c>
      <c r="G71" s="12">
        <f>undergrid!Q67</f>
        <v>5.38</v>
      </c>
      <c r="H71" s="12">
        <f t="shared" ref="H71:H134" si="12">IF(G71&gt;C71,C71,G71)</f>
        <v>5.38</v>
      </c>
      <c r="I71" s="12">
        <f t="shared" ref="I71:I134" si="13">G71-H71</f>
        <v>0</v>
      </c>
      <c r="J71" s="12">
        <f>-(undergrid!M67-Graphs!G71)</f>
        <v>0</v>
      </c>
      <c r="K71" s="12">
        <f t="shared" ref="K71:K134" si="14">G71-H71</f>
        <v>0</v>
      </c>
      <c r="L71" s="12">
        <f>Costs!AF67+Costs!AG67</f>
        <v>0</v>
      </c>
      <c r="M71" s="12">
        <f>-undergrid!Y67</f>
        <v>0</v>
      </c>
      <c r="N71" s="12">
        <f>undergrid!S67</f>
        <v>0</v>
      </c>
      <c r="O71" s="12">
        <f>IF(undergrid!S67&gt;0.0001,IF(C71-H71&gt;undergrid!S67,undergrid!S67,C71-H71),0)</f>
        <v>0</v>
      </c>
      <c r="P71" s="12">
        <f>undergrid!S67-O71</f>
        <v>0</v>
      </c>
      <c r="Q71" s="12">
        <f>-undergrid!W67</f>
        <v>-16.416</v>
      </c>
      <c r="R71" s="12">
        <f t="shared" ref="R71:R134" si="15">-Q71</f>
        <v>16.416</v>
      </c>
      <c r="S71" s="22">
        <f>IF(undergrid!K67=2,1,0)</f>
        <v>1</v>
      </c>
      <c r="T71" s="12">
        <f>-undergrid!O67*$AD$1</f>
        <v>0</v>
      </c>
      <c r="U71" s="12">
        <f>undergrid!U67*$AD$2</f>
        <v>0</v>
      </c>
      <c r="V71" s="12">
        <f>undergrid!S67-N71</f>
        <v>0</v>
      </c>
      <c r="W71" s="12">
        <f t="shared" ref="W71:W134" si="16">IF((H71)&lt;B71-N71,B71-N71-H71,0)</f>
        <v>16.416</v>
      </c>
      <c r="X71" s="13">
        <f>undergrid!AJ67</f>
        <v>0.7998939594317318</v>
      </c>
    </row>
    <row r="72" spans="1:24" x14ac:dyDescent="0.3">
      <c r="A72" s="10">
        <v>67</v>
      </c>
      <c r="B72">
        <f>undergrid!C68*2+undergrid!E68</f>
        <v>16.169</v>
      </c>
      <c r="C72">
        <f>undergrid!C68*2</f>
        <v>11.48</v>
      </c>
      <c r="D72">
        <f>undergrid!E68</f>
        <v>4.6890000000000001</v>
      </c>
      <c r="E72" s="11">
        <f>undergrid!G68</f>
        <v>0.13</v>
      </c>
      <c r="F72">
        <f>undergrid!AL68</f>
        <v>16.169</v>
      </c>
      <c r="G72" s="12">
        <f>undergrid!Q68</f>
        <v>0</v>
      </c>
      <c r="H72" s="12">
        <f t="shared" si="12"/>
        <v>0</v>
      </c>
      <c r="I72" s="12">
        <f t="shared" si="13"/>
        <v>0</v>
      </c>
      <c r="J72" s="12">
        <f>-(undergrid!M68-Graphs!G72)</f>
        <v>-6.3999999999999996E-10</v>
      </c>
      <c r="K72" s="12">
        <f t="shared" si="14"/>
        <v>0</v>
      </c>
      <c r="L72" s="12">
        <f>Costs!AF68+Costs!AG68</f>
        <v>0</v>
      </c>
      <c r="M72" s="12">
        <f>-undergrid!Y68</f>
        <v>0</v>
      </c>
      <c r="N72" s="12">
        <f>undergrid!S68</f>
        <v>0</v>
      </c>
      <c r="O72" s="12">
        <f>IF(undergrid!S68&gt;0.0001,IF(C72-H72&gt;undergrid!S68,undergrid!S68,C72-H72),0)</f>
        <v>0</v>
      </c>
      <c r="P72" s="12">
        <f>undergrid!S68-O72</f>
        <v>0</v>
      </c>
      <c r="Q72" s="12">
        <f>-undergrid!W68</f>
        <v>0</v>
      </c>
      <c r="R72" s="12">
        <f t="shared" si="15"/>
        <v>0</v>
      </c>
      <c r="S72" s="22">
        <f>IF(undergrid!K68=2,1,0)</f>
        <v>0</v>
      </c>
      <c r="T72" s="12">
        <f>-undergrid!O68*$AD$1</f>
        <v>0</v>
      </c>
      <c r="U72" s="12">
        <f>undergrid!U68*$AD$2</f>
        <v>16.16899999936</v>
      </c>
      <c r="V72" s="12">
        <f>undergrid!S68-N72</f>
        <v>0</v>
      </c>
      <c r="W72" s="12">
        <f t="shared" si="16"/>
        <v>16.169</v>
      </c>
      <c r="X72" s="13">
        <f>undergrid!AJ68</f>
        <v>0.62019360982155924</v>
      </c>
    </row>
    <row r="73" spans="1:24" x14ac:dyDescent="0.3">
      <c r="A73" s="10">
        <v>68</v>
      </c>
      <c r="B73">
        <f>undergrid!C69*2+undergrid!E69</f>
        <v>6.0460000000000003</v>
      </c>
      <c r="C73">
        <f>undergrid!C69*2</f>
        <v>3.64</v>
      </c>
      <c r="D73">
        <f>undergrid!E69</f>
        <v>2.4060000000000001</v>
      </c>
      <c r="E73" s="11">
        <f>undergrid!G69</f>
        <v>0.13</v>
      </c>
      <c r="F73">
        <f>undergrid!AL69</f>
        <v>6.0460000000000003</v>
      </c>
      <c r="G73" s="12">
        <f>undergrid!Q69</f>
        <v>0</v>
      </c>
      <c r="H73" s="12">
        <f t="shared" si="12"/>
        <v>0</v>
      </c>
      <c r="I73" s="12">
        <f t="shared" si="13"/>
        <v>0</v>
      </c>
      <c r="J73" s="12">
        <f>-(undergrid!M69-Graphs!G73)</f>
        <v>-6.3999999999999996E-10</v>
      </c>
      <c r="K73" s="12">
        <f t="shared" si="14"/>
        <v>0</v>
      </c>
      <c r="L73" s="12">
        <f>Costs!AF69+Costs!AG69</f>
        <v>0</v>
      </c>
      <c r="M73" s="12">
        <f>-undergrid!Y69</f>
        <v>0</v>
      </c>
      <c r="N73" s="12">
        <f>undergrid!S69</f>
        <v>0</v>
      </c>
      <c r="O73" s="12">
        <f>IF(undergrid!S69&gt;0.0001,IF(C73-H73&gt;undergrid!S69,undergrid!S69,C73-H73),0)</f>
        <v>0</v>
      </c>
      <c r="P73" s="12">
        <f>undergrid!S69-O73</f>
        <v>0</v>
      </c>
      <c r="Q73" s="12">
        <f>-undergrid!W69</f>
        <v>0</v>
      </c>
      <c r="R73" s="12">
        <f t="shared" si="15"/>
        <v>0</v>
      </c>
      <c r="S73" s="22">
        <f>IF(undergrid!K69=2,1,0)</f>
        <v>0</v>
      </c>
      <c r="T73" s="12">
        <f>-undergrid!O69*$AD$1</f>
        <v>0</v>
      </c>
      <c r="U73" s="12">
        <f>undergrid!U69*$AD$2</f>
        <v>6.0459999993600002</v>
      </c>
      <c r="V73" s="12">
        <f>undergrid!S69-N73</f>
        <v>0</v>
      </c>
      <c r="W73" s="12">
        <f t="shared" si="16"/>
        <v>6.0460000000000003</v>
      </c>
      <c r="X73" s="13">
        <f>undergrid!AJ69</f>
        <v>0.55298110120874255</v>
      </c>
    </row>
    <row r="74" spans="1:24" x14ac:dyDescent="0.3">
      <c r="A74" s="10">
        <v>69</v>
      </c>
      <c r="B74">
        <f>undergrid!C70*2+undergrid!E70</f>
        <v>22.764000000000003</v>
      </c>
      <c r="C74">
        <f>undergrid!C70*2</f>
        <v>19.260000000000002</v>
      </c>
      <c r="D74">
        <f>undergrid!E70</f>
        <v>3.504</v>
      </c>
      <c r="E74" s="11">
        <f>undergrid!G70</f>
        <v>0.13</v>
      </c>
      <c r="F74">
        <f>undergrid!AL70</f>
        <v>22.764000000000003</v>
      </c>
      <c r="G74" s="12">
        <f>undergrid!Q70</f>
        <v>0</v>
      </c>
      <c r="H74" s="12">
        <f t="shared" si="12"/>
        <v>0</v>
      </c>
      <c r="I74" s="12">
        <f t="shared" si="13"/>
        <v>0</v>
      </c>
      <c r="J74" s="12">
        <f>-(undergrid!M70-Graphs!G74)</f>
        <v>-6.3999999999999996E-10</v>
      </c>
      <c r="K74" s="12">
        <f t="shared" si="14"/>
        <v>0</v>
      </c>
      <c r="L74" s="12">
        <f>Costs!AF70+Costs!AG70</f>
        <v>0</v>
      </c>
      <c r="M74" s="12">
        <f>-undergrid!Y70</f>
        <v>0</v>
      </c>
      <c r="N74" s="12">
        <f>undergrid!S70</f>
        <v>0</v>
      </c>
      <c r="O74" s="12">
        <f>IF(undergrid!S70&gt;0.0001,IF(C74-H74&gt;undergrid!S70,undergrid!S70,C74-H74),0)</f>
        <v>0</v>
      </c>
      <c r="P74" s="12">
        <f>undergrid!S70-O74</f>
        <v>0</v>
      </c>
      <c r="Q74" s="12">
        <f>-undergrid!W70</f>
        <v>0</v>
      </c>
      <c r="R74" s="12">
        <f t="shared" si="15"/>
        <v>0</v>
      </c>
      <c r="S74" s="22">
        <f>IF(undergrid!K70=2,1,0)</f>
        <v>0</v>
      </c>
      <c r="T74" s="12">
        <f>-undergrid!O70*$AD$1</f>
        <v>0</v>
      </c>
      <c r="U74" s="12">
        <f>undergrid!U70*$AD$2</f>
        <v>22.763999999360003</v>
      </c>
      <c r="V74" s="12">
        <f>undergrid!S70-N74</f>
        <v>0</v>
      </c>
      <c r="W74" s="12">
        <f t="shared" si="16"/>
        <v>22.764000000000003</v>
      </c>
      <c r="X74" s="13">
        <f>undergrid!AJ70</f>
        <v>0.30001680094085265</v>
      </c>
    </row>
    <row r="75" spans="1:24" x14ac:dyDescent="0.3">
      <c r="A75" s="10">
        <v>70</v>
      </c>
      <c r="B75">
        <f>undergrid!C71*2+undergrid!E71</f>
        <v>22.970999999999997</v>
      </c>
      <c r="C75">
        <f>undergrid!C71*2</f>
        <v>20.58</v>
      </c>
      <c r="D75">
        <f>undergrid!E71</f>
        <v>2.391</v>
      </c>
      <c r="E75" s="11">
        <f>undergrid!G71</f>
        <v>0.13</v>
      </c>
      <c r="F75">
        <f>undergrid!AL71</f>
        <v>22.970999999999997</v>
      </c>
      <c r="G75" s="12">
        <f>undergrid!Q71</f>
        <v>0</v>
      </c>
      <c r="H75" s="12">
        <f t="shared" si="12"/>
        <v>0</v>
      </c>
      <c r="I75" s="12">
        <f t="shared" si="13"/>
        <v>0</v>
      </c>
      <c r="J75" s="12">
        <f>-(undergrid!M71-Graphs!G75)</f>
        <v>-6.3999999999999996E-10</v>
      </c>
      <c r="K75" s="12">
        <f t="shared" si="14"/>
        <v>0</v>
      </c>
      <c r="L75" s="12">
        <f>Costs!AF71+Costs!AG71</f>
        <v>0</v>
      </c>
      <c r="M75" s="12">
        <f>-undergrid!Y71</f>
        <v>0</v>
      </c>
      <c r="N75" s="12">
        <f>undergrid!S71</f>
        <v>0</v>
      </c>
      <c r="O75" s="12">
        <f>IF(undergrid!S71&gt;0.0001,IF(C75-H75&gt;undergrid!S71,undergrid!S71,C75-H75),0)</f>
        <v>0</v>
      </c>
      <c r="P75" s="12">
        <f>undergrid!S71-O75</f>
        <v>0</v>
      </c>
      <c r="Q75" s="12">
        <f>-undergrid!W71</f>
        <v>-22.970999999359996</v>
      </c>
      <c r="R75" s="12">
        <f t="shared" si="15"/>
        <v>22.970999999359996</v>
      </c>
      <c r="S75" s="22">
        <f>IF(undergrid!K71=2,1,0)</f>
        <v>1</v>
      </c>
      <c r="T75" s="12">
        <f>-undergrid!O71*$AD$1</f>
        <v>0</v>
      </c>
      <c r="U75" s="12">
        <f>undergrid!U71*$AD$2</f>
        <v>0</v>
      </c>
      <c r="V75" s="12">
        <f>undergrid!S71-N75</f>
        <v>0</v>
      </c>
      <c r="W75" s="12">
        <f t="shared" si="16"/>
        <v>22.970999999999997</v>
      </c>
      <c r="X75" s="13">
        <f>undergrid!AJ71</f>
        <v>0.3</v>
      </c>
    </row>
    <row r="76" spans="1:24" x14ac:dyDescent="0.3">
      <c r="A76" s="10">
        <v>71</v>
      </c>
      <c r="B76">
        <f>undergrid!C72*2+undergrid!E72</f>
        <v>12.862</v>
      </c>
      <c r="C76">
        <f>undergrid!C72*2</f>
        <v>9.82</v>
      </c>
      <c r="D76">
        <f>undergrid!E72</f>
        <v>3.0419999999999998</v>
      </c>
      <c r="E76" s="11">
        <f>undergrid!G72</f>
        <v>0.08</v>
      </c>
      <c r="F76">
        <f>undergrid!AL72</f>
        <v>12.863679999999997</v>
      </c>
      <c r="G76" s="12">
        <f>undergrid!Q72</f>
        <v>0</v>
      </c>
      <c r="H76" s="12">
        <f t="shared" si="12"/>
        <v>0</v>
      </c>
      <c r="I76" s="12">
        <f t="shared" si="13"/>
        <v>0</v>
      </c>
      <c r="J76" s="12">
        <f>-(undergrid!M72-Graphs!G76)</f>
        <v>-6.3999999999999996E-10</v>
      </c>
      <c r="K76" s="12">
        <f t="shared" si="14"/>
        <v>0</v>
      </c>
      <c r="L76" s="12">
        <f>Costs!AF72+Costs!AG72</f>
        <v>0</v>
      </c>
      <c r="M76" s="12">
        <f>-undergrid!Y72</f>
        <v>0</v>
      </c>
      <c r="N76" s="12">
        <f>undergrid!S72</f>
        <v>0</v>
      </c>
      <c r="O76" s="12">
        <f>IF(undergrid!S72&gt;0.0001,IF(C76-H76&gt;undergrid!S72,undergrid!S72,C76-H76),0)</f>
        <v>0</v>
      </c>
      <c r="P76" s="12">
        <f>undergrid!S72-O76</f>
        <v>0</v>
      </c>
      <c r="Q76" s="12">
        <f>-undergrid!W72</f>
        <v>-12.863881298352158</v>
      </c>
      <c r="R76" s="12">
        <f t="shared" si="15"/>
        <v>12.863881298352158</v>
      </c>
      <c r="S76" s="22">
        <f>IF(undergrid!K72=2,1,0)</f>
        <v>1</v>
      </c>
      <c r="T76" s="12">
        <f>-undergrid!O72*$AD$1</f>
        <v>-1.5959999999969553E-3</v>
      </c>
      <c r="U76" s="12">
        <f>undergrid!U72*$AD$2</f>
        <v>0</v>
      </c>
      <c r="V76" s="12">
        <f>undergrid!S72-N76</f>
        <v>0</v>
      </c>
      <c r="W76" s="12">
        <f t="shared" si="16"/>
        <v>12.862</v>
      </c>
      <c r="X76" s="13">
        <f>undergrid!AJ72</f>
        <v>0.3</v>
      </c>
    </row>
    <row r="77" spans="1:24" x14ac:dyDescent="0.3">
      <c r="A77" s="10">
        <v>72</v>
      </c>
      <c r="B77">
        <f>undergrid!C73*2+undergrid!E73</f>
        <v>9.27</v>
      </c>
      <c r="C77">
        <f>undergrid!C73*2</f>
        <v>6.66</v>
      </c>
      <c r="D77">
        <f>undergrid!E73</f>
        <v>2.61</v>
      </c>
      <c r="E77" s="11">
        <f>undergrid!G73</f>
        <v>0.08</v>
      </c>
      <c r="F77">
        <f>undergrid!AL73</f>
        <v>9.2716799999999964</v>
      </c>
      <c r="G77" s="12">
        <f>undergrid!Q73</f>
        <v>0</v>
      </c>
      <c r="H77" s="12">
        <f t="shared" si="12"/>
        <v>0</v>
      </c>
      <c r="I77" s="12">
        <f t="shared" si="13"/>
        <v>0</v>
      </c>
      <c r="J77" s="12">
        <f>-(undergrid!M73-Graphs!G77)</f>
        <v>-6.3999999999999996E-10</v>
      </c>
      <c r="K77" s="12">
        <f t="shared" si="14"/>
        <v>0</v>
      </c>
      <c r="L77" s="12">
        <f>Costs!AF73+Costs!AG73</f>
        <v>0</v>
      </c>
      <c r="M77" s="12">
        <f>-undergrid!Y73</f>
        <v>0</v>
      </c>
      <c r="N77" s="12">
        <f>undergrid!S73</f>
        <v>0</v>
      </c>
      <c r="O77" s="12">
        <f>IF(undergrid!S73&gt;0.0001,IF(C77-H77&gt;undergrid!S73,undergrid!S73,C77-H77),0)</f>
        <v>0</v>
      </c>
      <c r="P77" s="12">
        <f>undergrid!S73-O77</f>
        <v>0</v>
      </c>
      <c r="Q77" s="12">
        <f>-undergrid!W73</f>
        <v>-9.2718812983521577</v>
      </c>
      <c r="R77" s="12">
        <f t="shared" si="15"/>
        <v>9.2718812983521577</v>
      </c>
      <c r="S77" s="22">
        <f>IF(undergrid!K73=2,1,0)</f>
        <v>1</v>
      </c>
      <c r="T77" s="12">
        <f>-undergrid!O73*$AD$1</f>
        <v>-1.5959999999969553E-3</v>
      </c>
      <c r="U77" s="12">
        <f>undergrid!U73*$AD$2</f>
        <v>0</v>
      </c>
      <c r="V77" s="12">
        <f>undergrid!S73-N77</f>
        <v>0</v>
      </c>
      <c r="W77" s="12">
        <f t="shared" si="16"/>
        <v>9.27</v>
      </c>
      <c r="X77" s="13">
        <f>undergrid!AJ73</f>
        <v>0.3</v>
      </c>
    </row>
    <row r="78" spans="1:24" x14ac:dyDescent="0.3">
      <c r="A78" s="10">
        <v>73</v>
      </c>
      <c r="B78">
        <f>undergrid!C74*2+undergrid!E74</f>
        <v>5.77</v>
      </c>
      <c r="C78">
        <f>undergrid!C74*2</f>
        <v>3.78</v>
      </c>
      <c r="D78">
        <f>undergrid!E74</f>
        <v>1.99</v>
      </c>
      <c r="E78" s="11">
        <f>undergrid!G74</f>
        <v>0.08</v>
      </c>
      <c r="F78">
        <f>undergrid!AL74</f>
        <v>5.7716799999999964</v>
      </c>
      <c r="G78" s="12">
        <f>undergrid!Q74</f>
        <v>0</v>
      </c>
      <c r="H78" s="12">
        <f t="shared" si="12"/>
        <v>0</v>
      </c>
      <c r="I78" s="12">
        <f t="shared" si="13"/>
        <v>0</v>
      </c>
      <c r="J78" s="12">
        <f>-(undergrid!M74-Graphs!G78)</f>
        <v>-6.3999999999999996E-10</v>
      </c>
      <c r="K78" s="12">
        <f t="shared" si="14"/>
        <v>0</v>
      </c>
      <c r="L78" s="12">
        <f>Costs!AF74+Costs!AG74</f>
        <v>0</v>
      </c>
      <c r="M78" s="12">
        <f>-undergrid!Y74</f>
        <v>0</v>
      </c>
      <c r="N78" s="12">
        <f>undergrid!S74</f>
        <v>0</v>
      </c>
      <c r="O78" s="12">
        <f>IF(undergrid!S74&gt;0.0001,IF(C78-H78&gt;undergrid!S74,undergrid!S74,C78-H78),0)</f>
        <v>0</v>
      </c>
      <c r="P78" s="12">
        <f>undergrid!S74-O78</f>
        <v>0</v>
      </c>
      <c r="Q78" s="12">
        <f>-undergrid!W74</f>
        <v>-5.7718812983521568</v>
      </c>
      <c r="R78" s="12">
        <f t="shared" si="15"/>
        <v>5.7718812983521568</v>
      </c>
      <c r="S78" s="22">
        <f>IF(undergrid!K74=2,1,0)</f>
        <v>1</v>
      </c>
      <c r="T78" s="12">
        <f>-undergrid!O74*$AD$1</f>
        <v>-1.5959999999969553E-3</v>
      </c>
      <c r="U78" s="12">
        <f>undergrid!U74*$AD$2</f>
        <v>0</v>
      </c>
      <c r="V78" s="12">
        <f>undergrid!S74-N78</f>
        <v>0</v>
      </c>
      <c r="W78" s="12">
        <f t="shared" si="16"/>
        <v>5.77</v>
      </c>
      <c r="X78" s="13">
        <f>undergrid!AJ74</f>
        <v>0.3</v>
      </c>
    </row>
    <row r="79" spans="1:24" x14ac:dyDescent="0.3">
      <c r="A79" s="10">
        <v>74</v>
      </c>
      <c r="B79">
        <f>undergrid!C75*2+undergrid!E75</f>
        <v>5.827</v>
      </c>
      <c r="C79">
        <f>undergrid!C75*2</f>
        <v>3.02</v>
      </c>
      <c r="D79">
        <f>undergrid!E75</f>
        <v>2.8069999999999999</v>
      </c>
      <c r="E79" s="11">
        <f>undergrid!G75</f>
        <v>0.08</v>
      </c>
      <c r="F79">
        <f>undergrid!AL75</f>
        <v>5.8286799999999968</v>
      </c>
      <c r="G79" s="12">
        <f>undergrid!Q75</f>
        <v>0</v>
      </c>
      <c r="H79" s="12">
        <f t="shared" si="12"/>
        <v>0</v>
      </c>
      <c r="I79" s="12">
        <f t="shared" si="13"/>
        <v>0</v>
      </c>
      <c r="J79" s="12">
        <f>-(undergrid!M75-Graphs!G79)</f>
        <v>-6.3999999999999996E-10</v>
      </c>
      <c r="K79" s="12">
        <f t="shared" si="14"/>
        <v>0</v>
      </c>
      <c r="L79" s="12">
        <f>Costs!AF75+Costs!AG75</f>
        <v>0</v>
      </c>
      <c r="M79" s="12">
        <f>-undergrid!Y75</f>
        <v>0</v>
      </c>
      <c r="N79" s="12">
        <f>undergrid!S75</f>
        <v>0</v>
      </c>
      <c r="O79" s="12">
        <f>IF(undergrid!S75&gt;0.0001,IF(C79-H79&gt;undergrid!S75,undergrid!S75,C79-H79),0)</f>
        <v>0</v>
      </c>
      <c r="P79" s="12">
        <f>undergrid!S75-O79</f>
        <v>0</v>
      </c>
      <c r="Q79" s="12">
        <f>-undergrid!W75</f>
        <v>-5.8288812983521572</v>
      </c>
      <c r="R79" s="12">
        <f t="shared" si="15"/>
        <v>5.8288812983521572</v>
      </c>
      <c r="S79" s="22">
        <f>IF(undergrid!K75=2,1,0)</f>
        <v>1</v>
      </c>
      <c r="T79" s="12">
        <f>-undergrid!O75*$AD$1</f>
        <v>-1.5959999999969553E-3</v>
      </c>
      <c r="U79" s="12">
        <f>undergrid!U75*$AD$2</f>
        <v>0</v>
      </c>
      <c r="V79" s="12">
        <f>undergrid!S75-N79</f>
        <v>0</v>
      </c>
      <c r="W79" s="12">
        <f t="shared" si="16"/>
        <v>5.827</v>
      </c>
      <c r="X79" s="13">
        <f>undergrid!AJ75</f>
        <v>0.3</v>
      </c>
    </row>
    <row r="80" spans="1:24" x14ac:dyDescent="0.3">
      <c r="A80" s="10">
        <v>75</v>
      </c>
      <c r="B80">
        <f>undergrid!C76*2+undergrid!E76</f>
        <v>5.516</v>
      </c>
      <c r="C80">
        <f>undergrid!C76*2</f>
        <v>2.86</v>
      </c>
      <c r="D80">
        <f>undergrid!E76</f>
        <v>2.6560000000000001</v>
      </c>
      <c r="E80" s="11">
        <f>undergrid!G76</f>
        <v>0.08</v>
      </c>
      <c r="F80">
        <f>undergrid!AL76</f>
        <v>19.171750635833511</v>
      </c>
      <c r="G80" s="12">
        <f>undergrid!Q76</f>
        <v>0</v>
      </c>
      <c r="H80" s="12">
        <f t="shared" si="12"/>
        <v>0</v>
      </c>
      <c r="I80" s="12">
        <f t="shared" si="13"/>
        <v>0</v>
      </c>
      <c r="J80" s="12">
        <f>-(undergrid!M76-Graphs!G80)</f>
        <v>-6.3999999999999996E-10</v>
      </c>
      <c r="K80" s="12">
        <f t="shared" si="14"/>
        <v>0</v>
      </c>
      <c r="L80" s="12">
        <f>Costs!AF76+Costs!AG76</f>
        <v>0</v>
      </c>
      <c r="M80" s="12">
        <f>-undergrid!Y76</f>
        <v>0</v>
      </c>
      <c r="N80" s="12">
        <f>undergrid!S76</f>
        <v>0</v>
      </c>
      <c r="O80" s="12">
        <f>IF(undergrid!S76&gt;0.0001,IF(C80-H80&gt;undergrid!S76,undergrid!S76,C80-H80),0)</f>
        <v>0</v>
      </c>
      <c r="P80" s="12">
        <f>undergrid!S76-O80</f>
        <v>0</v>
      </c>
      <c r="Q80" s="12">
        <f>-undergrid!W76</f>
        <v>-20.807993992454637</v>
      </c>
      <c r="R80" s="12">
        <f t="shared" si="15"/>
        <v>20.807993992454637</v>
      </c>
      <c r="S80" s="22">
        <f>IF(undergrid!K76=2,1,0)</f>
        <v>1</v>
      </c>
      <c r="T80" s="12">
        <f>-undergrid!O76*$AD$1</f>
        <v>-12.972963104041833</v>
      </c>
      <c r="U80" s="12">
        <f>undergrid!U76*$AD$2</f>
        <v>0</v>
      </c>
      <c r="V80" s="12">
        <f>undergrid!S76-N80</f>
        <v>0</v>
      </c>
      <c r="W80" s="12">
        <f t="shared" si="16"/>
        <v>5.516</v>
      </c>
      <c r="X80" s="13">
        <f>undergrid!AJ76</f>
        <v>0.43654070635833514</v>
      </c>
    </row>
    <row r="81" spans="1:24" x14ac:dyDescent="0.3">
      <c r="A81" s="10">
        <v>76</v>
      </c>
      <c r="B81">
        <f>undergrid!C77*2+undergrid!E77</f>
        <v>3.9329999999999998</v>
      </c>
      <c r="C81">
        <f>undergrid!C77*2</f>
        <v>2.04</v>
      </c>
      <c r="D81">
        <f>undergrid!E77</f>
        <v>1.893</v>
      </c>
      <c r="E81" s="11">
        <f>undergrid!G77</f>
        <v>0.08</v>
      </c>
      <c r="F81">
        <f>undergrid!AL77</f>
        <v>22.745831000571521</v>
      </c>
      <c r="G81" s="12">
        <f>undergrid!Q77</f>
        <v>0</v>
      </c>
      <c r="H81" s="12">
        <f t="shared" si="12"/>
        <v>0</v>
      </c>
      <c r="I81" s="12">
        <f t="shared" si="13"/>
        <v>0</v>
      </c>
      <c r="J81" s="12">
        <f>-(undergrid!M77-Graphs!G81)</f>
        <v>-6.3999999999999996E-10</v>
      </c>
      <c r="K81" s="12">
        <f t="shared" si="14"/>
        <v>0</v>
      </c>
      <c r="L81" s="12">
        <f>Costs!AF77+Costs!AG77</f>
        <v>0</v>
      </c>
      <c r="M81" s="12">
        <f>-undergrid!Y77</f>
        <v>0</v>
      </c>
      <c r="N81" s="12">
        <f>undergrid!S77</f>
        <v>0</v>
      </c>
      <c r="O81" s="12">
        <f>IF(undergrid!S77&gt;0.0001,IF(C81-H81&gt;undergrid!S77,undergrid!S77,C81-H81),0)</f>
        <v>0</v>
      </c>
      <c r="P81" s="12">
        <f>undergrid!S77-O81</f>
        <v>0</v>
      </c>
      <c r="Q81" s="12">
        <f>-undergrid!W77</f>
        <v>-25</v>
      </c>
      <c r="R81" s="12">
        <f t="shared" si="15"/>
        <v>25</v>
      </c>
      <c r="S81" s="22">
        <f>IF(undergrid!K77=2,1,0)</f>
        <v>1</v>
      </c>
      <c r="T81" s="12">
        <f>-undergrid!O77*$AD$1</f>
        <v>-17.872189450542944</v>
      </c>
      <c r="U81" s="12">
        <f>undergrid!U77*$AD$2</f>
        <v>0</v>
      </c>
      <c r="V81" s="12">
        <f>undergrid!S77-N81</f>
        <v>0</v>
      </c>
      <c r="W81" s="12">
        <f t="shared" si="16"/>
        <v>3.9329999999999998</v>
      </c>
      <c r="X81" s="13">
        <f>undergrid!AJ77</f>
        <v>0.62464457008449426</v>
      </c>
    </row>
    <row r="82" spans="1:24" x14ac:dyDescent="0.3">
      <c r="A82" s="10">
        <v>77</v>
      </c>
      <c r="B82">
        <f>undergrid!C78*2+undergrid!E78</f>
        <v>3.5209999999999999</v>
      </c>
      <c r="C82">
        <f>undergrid!C78*2</f>
        <v>1.82</v>
      </c>
      <c r="D82">
        <f>undergrid!E78</f>
        <v>1.7010000000000001</v>
      </c>
      <c r="E82" s="11">
        <f>undergrid!G78</f>
        <v>0.08</v>
      </c>
      <c r="F82">
        <f>undergrid!AL78</f>
        <v>22.701747000571523</v>
      </c>
      <c r="G82" s="12">
        <f>undergrid!Q78</f>
        <v>0</v>
      </c>
      <c r="H82" s="12">
        <f t="shared" si="12"/>
        <v>0</v>
      </c>
      <c r="I82" s="12">
        <f t="shared" si="13"/>
        <v>0</v>
      </c>
      <c r="J82" s="12">
        <f>-(undergrid!M78-Graphs!G82)</f>
        <v>-6.3999999999999996E-10</v>
      </c>
      <c r="K82" s="12">
        <f t="shared" si="14"/>
        <v>0</v>
      </c>
      <c r="L82" s="12">
        <f>Costs!AF78+Costs!AG78</f>
        <v>0</v>
      </c>
      <c r="M82" s="12">
        <f>-undergrid!Y78</f>
        <v>0</v>
      </c>
      <c r="N82" s="12">
        <f>undergrid!S78</f>
        <v>0</v>
      </c>
      <c r="O82" s="12">
        <f>IF(undergrid!S78&gt;0.0001,IF(C82-H82&gt;undergrid!S78,undergrid!S78,C82-H82),0)</f>
        <v>0</v>
      </c>
      <c r="P82" s="12">
        <f>undergrid!S78-O82</f>
        <v>0</v>
      </c>
      <c r="Q82" s="12">
        <f>-undergrid!W78</f>
        <v>-25</v>
      </c>
      <c r="R82" s="12">
        <f t="shared" si="15"/>
        <v>25</v>
      </c>
      <c r="S82" s="22">
        <f>IF(undergrid!K78=2,1,0)</f>
        <v>1</v>
      </c>
      <c r="T82" s="12">
        <f>-undergrid!O78*$AD$1</f>
        <v>-18.221709650542945</v>
      </c>
      <c r="U82" s="12">
        <f>undergrid!U78*$AD$2</f>
        <v>0</v>
      </c>
      <c r="V82" s="12">
        <f>undergrid!S78-N82</f>
        <v>0</v>
      </c>
      <c r="W82" s="12">
        <f t="shared" si="16"/>
        <v>3.5209999999999999</v>
      </c>
      <c r="X82" s="13">
        <f>undergrid!AJ78</f>
        <v>0.81641705999428482</v>
      </c>
    </row>
    <row r="83" spans="1:24" x14ac:dyDescent="0.3">
      <c r="A83" s="10">
        <v>78</v>
      </c>
      <c r="B83">
        <f>undergrid!C79*2+undergrid!E79</f>
        <v>4.4420000000000002</v>
      </c>
      <c r="C83">
        <f>undergrid!C79*2</f>
        <v>2.2999999999999998</v>
      </c>
      <c r="D83">
        <f>undergrid!E79</f>
        <v>2.1419999999999999</v>
      </c>
      <c r="E83" s="11">
        <f>undergrid!G79</f>
        <v>0.08</v>
      </c>
      <c r="F83">
        <f>undergrid!AL79</f>
        <v>22.800294000571519</v>
      </c>
      <c r="G83" s="12">
        <f>undergrid!Q79</f>
        <v>0</v>
      </c>
      <c r="H83" s="12">
        <f t="shared" si="12"/>
        <v>0</v>
      </c>
      <c r="I83" s="12">
        <f t="shared" si="13"/>
        <v>0</v>
      </c>
      <c r="J83" s="12">
        <f>-(undergrid!M79-Graphs!G83)</f>
        <v>-6.3999999999999996E-10</v>
      </c>
      <c r="K83" s="12">
        <f t="shared" si="14"/>
        <v>0</v>
      </c>
      <c r="L83" s="12">
        <f>Costs!AF79+Costs!AG79</f>
        <v>0</v>
      </c>
      <c r="M83" s="12">
        <f>-undergrid!Y79</f>
        <v>0</v>
      </c>
      <c r="N83" s="12">
        <f>undergrid!S79</f>
        <v>0</v>
      </c>
      <c r="O83" s="12">
        <f>IF(undergrid!S79&gt;0.0001,IF(C83-H83&gt;undergrid!S79,undergrid!S79,C83-H83),0)</f>
        <v>0</v>
      </c>
      <c r="P83" s="12">
        <f>undergrid!S79-O83</f>
        <v>0</v>
      </c>
      <c r="Q83" s="12">
        <f>-undergrid!W79</f>
        <v>-25</v>
      </c>
      <c r="R83" s="12">
        <f t="shared" si="15"/>
        <v>25</v>
      </c>
      <c r="S83" s="22">
        <f>IF(undergrid!K79=2,1,0)</f>
        <v>1</v>
      </c>
      <c r="T83" s="12">
        <f>-undergrid!O79*$AD$1</f>
        <v>-17.440379300542943</v>
      </c>
      <c r="U83" s="12">
        <f>undergrid!U79*$AD$2</f>
        <v>0</v>
      </c>
      <c r="V83" s="12">
        <f>undergrid!S79-N83</f>
        <v>0</v>
      </c>
      <c r="W83" s="12">
        <f t="shared" si="16"/>
        <v>4.4420000000000002</v>
      </c>
      <c r="X83" s="13">
        <f>undergrid!AJ79</f>
        <v>0.99995428064464031</v>
      </c>
    </row>
    <row r="84" spans="1:24" x14ac:dyDescent="0.3">
      <c r="A84" s="10">
        <v>79</v>
      </c>
      <c r="B84">
        <f>undergrid!C80*2+undergrid!E80</f>
        <v>5.0969999999999995</v>
      </c>
      <c r="C84">
        <f>undergrid!C80*2</f>
        <v>2.64</v>
      </c>
      <c r="D84">
        <f>undergrid!E80</f>
        <v>2.4569999999999999</v>
      </c>
      <c r="E84" s="11">
        <f>undergrid!G80</f>
        <v>0.13</v>
      </c>
      <c r="F84">
        <f>undergrid!AL80</f>
        <v>27.00000000064</v>
      </c>
      <c r="G84" s="12">
        <f>undergrid!Q80</f>
        <v>0</v>
      </c>
      <c r="H84" s="12">
        <f t="shared" si="12"/>
        <v>0</v>
      </c>
      <c r="I84" s="12">
        <f t="shared" si="13"/>
        <v>0</v>
      </c>
      <c r="J84" s="12">
        <f>-(undergrid!M80-Graphs!G84)</f>
        <v>-6.3999999999999996E-10</v>
      </c>
      <c r="K84" s="12">
        <f t="shared" si="14"/>
        <v>0</v>
      </c>
      <c r="L84" s="12">
        <f>Costs!AF80+Costs!AG80</f>
        <v>0</v>
      </c>
      <c r="M84" s="12">
        <f>-undergrid!Y80</f>
        <v>-21.903000000639999</v>
      </c>
      <c r="N84" s="12">
        <f>undergrid!S80</f>
        <v>0</v>
      </c>
      <c r="O84" s="12">
        <f>IF(undergrid!S80&gt;0.0001,IF(C84-H84&gt;undergrid!S80,undergrid!S80,C84-H84),0)</f>
        <v>0</v>
      </c>
      <c r="P84" s="12">
        <f>undergrid!S80-O84</f>
        <v>0</v>
      </c>
      <c r="Q84" s="12">
        <f>-undergrid!W80</f>
        <v>0</v>
      </c>
      <c r="R84" s="12">
        <f t="shared" si="15"/>
        <v>0</v>
      </c>
      <c r="S84" s="22">
        <f>IF(undergrid!K80=2,1,0)</f>
        <v>1</v>
      </c>
      <c r="T84" s="12">
        <f>-undergrid!O80*$AD$1</f>
        <v>0</v>
      </c>
      <c r="U84" s="12">
        <f>undergrid!U80*$AD$2</f>
        <v>27</v>
      </c>
      <c r="V84" s="12">
        <f>undergrid!S80-N84</f>
        <v>0</v>
      </c>
      <c r="W84" s="12">
        <f t="shared" si="16"/>
        <v>5.0969999999999995</v>
      </c>
      <c r="X84" s="13">
        <f>undergrid!AJ80</f>
        <v>0.69989828320492431</v>
      </c>
    </row>
    <row r="85" spans="1:24" x14ac:dyDescent="0.3">
      <c r="A85" s="10">
        <v>80</v>
      </c>
      <c r="B85">
        <f>undergrid!C81*2+undergrid!E81</f>
        <v>2.8209999999999997</v>
      </c>
      <c r="C85">
        <f>undergrid!C81*2</f>
        <v>1.28</v>
      </c>
      <c r="D85">
        <f>undergrid!E81</f>
        <v>1.5409999999999999</v>
      </c>
      <c r="E85" s="11">
        <f>undergrid!G81</f>
        <v>0.13</v>
      </c>
      <c r="F85">
        <f>undergrid!AL81</f>
        <v>13.417759585251313</v>
      </c>
      <c r="G85" s="12">
        <f>undergrid!Q81</f>
        <v>5.74</v>
      </c>
      <c r="H85" s="12">
        <f t="shared" si="12"/>
        <v>1.28</v>
      </c>
      <c r="I85" s="12">
        <f t="shared" si="13"/>
        <v>4.46</v>
      </c>
      <c r="J85" s="12">
        <f>-(undergrid!M81-Graphs!G85)</f>
        <v>0</v>
      </c>
      <c r="K85" s="12">
        <f t="shared" si="14"/>
        <v>4.46</v>
      </c>
      <c r="L85" s="12">
        <f>Costs!AF81+Costs!AG81</f>
        <v>0</v>
      </c>
      <c r="M85" s="12">
        <f>-undergrid!Y81</f>
        <v>-10.596759585251313</v>
      </c>
      <c r="N85" s="12">
        <f>undergrid!S81</f>
        <v>0</v>
      </c>
      <c r="O85" s="12">
        <f>IF(undergrid!S81&gt;0.0001,IF(C85-H85&gt;undergrid!S81,undergrid!S81,C85-H85),0)</f>
        <v>0</v>
      </c>
      <c r="P85" s="12">
        <f>undergrid!S81-O85</f>
        <v>0</v>
      </c>
      <c r="Q85" s="12">
        <f>-undergrid!W81</f>
        <v>0</v>
      </c>
      <c r="R85" s="12">
        <f t="shared" si="15"/>
        <v>0</v>
      </c>
      <c r="S85" s="22">
        <f>IF(undergrid!K81=2,1,0)</f>
        <v>1</v>
      </c>
      <c r="T85" s="12">
        <f>-undergrid!O81*$AD$1</f>
        <v>0</v>
      </c>
      <c r="U85" s="12">
        <f>undergrid!U81*$AD$2</f>
        <v>7.6777595852513132</v>
      </c>
      <c r="V85" s="12">
        <f>undergrid!S81-N85</f>
        <v>0</v>
      </c>
      <c r="W85" s="12">
        <f t="shared" si="16"/>
        <v>1.5409999999999997</v>
      </c>
      <c r="X85" s="13">
        <f>undergrid!AJ81</f>
        <v>0.61455064906493917</v>
      </c>
    </row>
    <row r="86" spans="1:24" x14ac:dyDescent="0.3">
      <c r="A86" s="10">
        <v>81</v>
      </c>
      <c r="B86">
        <f>undergrid!C82*2+undergrid!E82</f>
        <v>3.1019999999999999</v>
      </c>
      <c r="C86">
        <f>undergrid!C82*2</f>
        <v>1.4</v>
      </c>
      <c r="D86">
        <f>undergrid!E82</f>
        <v>1.702</v>
      </c>
      <c r="E86" s="11">
        <f>undergrid!G82</f>
        <v>0.13</v>
      </c>
      <c r="F86">
        <f>undergrid!AL82</f>
        <v>9.41</v>
      </c>
      <c r="G86" s="12">
        <f>undergrid!Q82</f>
        <v>9.41</v>
      </c>
      <c r="H86" s="12">
        <f t="shared" si="12"/>
        <v>1.4</v>
      </c>
      <c r="I86" s="12">
        <f t="shared" si="13"/>
        <v>8.01</v>
      </c>
      <c r="J86" s="12">
        <f>-(undergrid!M82-Graphs!G86)</f>
        <v>0</v>
      </c>
      <c r="K86" s="12">
        <f t="shared" si="14"/>
        <v>8.01</v>
      </c>
      <c r="L86" s="12">
        <f>Costs!AF82+Costs!AG82</f>
        <v>0</v>
      </c>
      <c r="M86" s="12">
        <f>-undergrid!Y82</f>
        <v>-6.3079999999999998</v>
      </c>
      <c r="N86" s="12">
        <f>undergrid!S82</f>
        <v>0</v>
      </c>
      <c r="O86" s="12">
        <f>IF(undergrid!S82&gt;0.0001,IF(C86-H86&gt;undergrid!S82,undergrid!S82,C86-H86),0)</f>
        <v>0</v>
      </c>
      <c r="P86" s="12">
        <f>undergrid!S82-O86</f>
        <v>0</v>
      </c>
      <c r="Q86" s="12">
        <f>-undergrid!W82</f>
        <v>0</v>
      </c>
      <c r="R86" s="12">
        <f t="shared" si="15"/>
        <v>0</v>
      </c>
      <c r="S86" s="22">
        <f>IF(undergrid!K82=2,1,0)</f>
        <v>1</v>
      </c>
      <c r="T86" s="12">
        <f>-undergrid!O82*$AD$1</f>
        <v>0</v>
      </c>
      <c r="U86" s="12">
        <f>undergrid!U82*$AD$2</f>
        <v>0</v>
      </c>
      <c r="V86" s="12">
        <f>undergrid!S82-N86</f>
        <v>0</v>
      </c>
      <c r="W86" s="12">
        <f t="shared" si="16"/>
        <v>1.702</v>
      </c>
      <c r="X86" s="13">
        <f>undergrid!AJ82</f>
        <v>0.61451623422859158</v>
      </c>
    </row>
    <row r="87" spans="1:24" x14ac:dyDescent="0.3">
      <c r="A87" s="10">
        <v>82</v>
      </c>
      <c r="B87">
        <f>undergrid!C83*2+undergrid!E83</f>
        <v>7.5139999999999993</v>
      </c>
      <c r="C87">
        <f>undergrid!C83*2</f>
        <v>2.44</v>
      </c>
      <c r="D87">
        <f>undergrid!E83</f>
        <v>5.0739999999999998</v>
      </c>
      <c r="E87" s="11">
        <f>undergrid!G83</f>
        <v>0.13</v>
      </c>
      <c r="F87">
        <f>undergrid!AL83</f>
        <v>7.5139999999999993</v>
      </c>
      <c r="G87" s="12">
        <f>undergrid!Q83</f>
        <v>7.42</v>
      </c>
      <c r="H87" s="12">
        <f t="shared" si="12"/>
        <v>2.44</v>
      </c>
      <c r="I87" s="12">
        <f t="shared" si="13"/>
        <v>4.9800000000000004</v>
      </c>
      <c r="J87" s="12">
        <f>-(undergrid!M83-Graphs!G87)</f>
        <v>0</v>
      </c>
      <c r="K87" s="12">
        <f t="shared" si="14"/>
        <v>4.9800000000000004</v>
      </c>
      <c r="L87" s="12">
        <f>Costs!AF83+Costs!AG83</f>
        <v>0</v>
      </c>
      <c r="M87" s="12">
        <f>-undergrid!Y83</f>
        <v>0</v>
      </c>
      <c r="N87" s="12">
        <f>undergrid!S83</f>
        <v>0</v>
      </c>
      <c r="O87" s="12">
        <f>IF(undergrid!S83&gt;0.0001,IF(C87-H87&gt;undergrid!S83,undergrid!S83,C87-H87),0)</f>
        <v>0</v>
      </c>
      <c r="P87" s="12">
        <f>undergrid!S83-O87</f>
        <v>0</v>
      </c>
      <c r="Q87" s="12">
        <f>-undergrid!W83</f>
        <v>0</v>
      </c>
      <c r="R87" s="12">
        <f t="shared" si="15"/>
        <v>0</v>
      </c>
      <c r="S87" s="22">
        <f>IF(undergrid!K83=2,1,0)</f>
        <v>0</v>
      </c>
      <c r="T87" s="12">
        <f>-undergrid!O83*$AD$1</f>
        <v>0</v>
      </c>
      <c r="U87" s="12">
        <f>undergrid!U83*$AD$2</f>
        <v>9.399999999999871E-2</v>
      </c>
      <c r="V87" s="12">
        <f>undergrid!S83-N87</f>
        <v>0</v>
      </c>
      <c r="W87" s="12">
        <f t="shared" si="16"/>
        <v>5.0739999999999998</v>
      </c>
      <c r="X87" s="13">
        <f>undergrid!AJ83</f>
        <v>0.61343737687503042</v>
      </c>
    </row>
    <row r="88" spans="1:24" x14ac:dyDescent="0.3">
      <c r="A88" s="10">
        <v>83</v>
      </c>
      <c r="B88">
        <f>undergrid!C84*2+undergrid!E84</f>
        <v>18.753</v>
      </c>
      <c r="C88">
        <f>undergrid!C84*2</f>
        <v>9.02</v>
      </c>
      <c r="D88">
        <f>undergrid!E84</f>
        <v>9.7330000000000005</v>
      </c>
      <c r="E88" s="11">
        <f>undergrid!G84</f>
        <v>0.13</v>
      </c>
      <c r="F88">
        <f>undergrid!AL84</f>
        <v>22.241951</v>
      </c>
      <c r="G88" s="12">
        <f>undergrid!Q84</f>
        <v>22.66</v>
      </c>
      <c r="H88" s="12">
        <f t="shared" si="12"/>
        <v>9.02</v>
      </c>
      <c r="I88" s="12">
        <f t="shared" si="13"/>
        <v>13.64</v>
      </c>
      <c r="J88" s="12">
        <f>-(undergrid!M84-Graphs!G88)</f>
        <v>0</v>
      </c>
      <c r="K88" s="12">
        <f t="shared" si="14"/>
        <v>13.64</v>
      </c>
      <c r="L88" s="12">
        <f>Costs!AF84+Costs!AG84</f>
        <v>0</v>
      </c>
      <c r="M88" s="12">
        <f>-undergrid!Y84</f>
        <v>0</v>
      </c>
      <c r="N88" s="12">
        <f>undergrid!S84</f>
        <v>0</v>
      </c>
      <c r="O88" s="12">
        <f>IF(undergrid!S84&gt;0.0001,IF(C88-H88&gt;undergrid!S84,undergrid!S84,C88-H88),0)</f>
        <v>0</v>
      </c>
      <c r="P88" s="12">
        <f>undergrid!S84-O88</f>
        <v>0</v>
      </c>
      <c r="Q88" s="12">
        <f>-undergrid!W84</f>
        <v>0</v>
      </c>
      <c r="R88" s="12">
        <f t="shared" si="15"/>
        <v>0</v>
      </c>
      <c r="S88" s="22">
        <f>IF(undergrid!K84=2,1,0)</f>
        <v>0</v>
      </c>
      <c r="T88" s="12">
        <f>-undergrid!O84*$AD$1</f>
        <v>-3.3145034500000001</v>
      </c>
      <c r="U88" s="12">
        <f>undergrid!U84*$AD$2</f>
        <v>0</v>
      </c>
      <c r="V88" s="12">
        <f>undergrid!S84-N88</f>
        <v>0</v>
      </c>
      <c r="W88" s="12">
        <f t="shared" si="16"/>
        <v>9.7330000000000005</v>
      </c>
      <c r="X88" s="13">
        <f>undergrid!AJ84</f>
        <v>0.64829253438192536</v>
      </c>
    </row>
    <row r="89" spans="1:24" x14ac:dyDescent="0.3">
      <c r="A89" s="10">
        <v>84</v>
      </c>
      <c r="B89">
        <f>undergrid!C85*2+undergrid!E85</f>
        <v>14.058</v>
      </c>
      <c r="C89">
        <f>undergrid!C85*2</f>
        <v>6.76</v>
      </c>
      <c r="D89">
        <f>undergrid!E85</f>
        <v>7.298</v>
      </c>
      <c r="E89" s="11">
        <f>undergrid!G85</f>
        <v>0.13</v>
      </c>
      <c r="F89">
        <f>undergrid!AL85</f>
        <v>28.294205999999996</v>
      </c>
      <c r="G89" s="12">
        <f>undergrid!Q85</f>
        <v>30</v>
      </c>
      <c r="H89" s="12">
        <f t="shared" si="12"/>
        <v>6.76</v>
      </c>
      <c r="I89" s="12">
        <f t="shared" si="13"/>
        <v>23.240000000000002</v>
      </c>
      <c r="J89" s="12">
        <f>-(undergrid!M85-Graphs!G89)</f>
        <v>-2.8999999999999986</v>
      </c>
      <c r="K89" s="12">
        <f t="shared" si="14"/>
        <v>23.240000000000002</v>
      </c>
      <c r="L89" s="12">
        <f>Costs!AF85+Costs!AG85</f>
        <v>0</v>
      </c>
      <c r="M89" s="12">
        <f>-undergrid!Y85</f>
        <v>0</v>
      </c>
      <c r="N89" s="12">
        <f>undergrid!S85</f>
        <v>0</v>
      </c>
      <c r="O89" s="12">
        <f>IF(undergrid!S85&gt;0.0001,IF(C89-H89&gt;undergrid!S85,undergrid!S85,C89-H89),0)</f>
        <v>0</v>
      </c>
      <c r="P89" s="12">
        <f>undergrid!S85-O89</f>
        <v>0</v>
      </c>
      <c r="Q89" s="12">
        <f>-undergrid!W85</f>
        <v>0</v>
      </c>
      <c r="R89" s="12">
        <f t="shared" si="15"/>
        <v>0</v>
      </c>
      <c r="S89" s="22">
        <f>IF(undergrid!K85=2,1,0)</f>
        <v>0</v>
      </c>
      <c r="T89" s="12">
        <f>-undergrid!O85*$AD$1</f>
        <v>-13.524395699999998</v>
      </c>
      <c r="U89" s="12">
        <f>undergrid!U85*$AD$2</f>
        <v>0</v>
      </c>
      <c r="V89" s="12">
        <f>undergrid!S85-N89</f>
        <v>0</v>
      </c>
      <c r="W89" s="12">
        <f t="shared" si="16"/>
        <v>7.298</v>
      </c>
      <c r="X89" s="13">
        <f>undergrid!AJ85</f>
        <v>0.79061829000000006</v>
      </c>
    </row>
    <row r="90" spans="1:24" x14ac:dyDescent="0.3">
      <c r="A90" s="10">
        <v>85</v>
      </c>
      <c r="B90">
        <f>undergrid!C86*2+undergrid!E86</f>
        <v>6.5529999999999999</v>
      </c>
      <c r="C90">
        <f>undergrid!C86*2</f>
        <v>5.5</v>
      </c>
      <c r="D90">
        <f>undergrid!E86</f>
        <v>1.0529999999999999</v>
      </c>
      <c r="E90" s="11">
        <f>undergrid!G86</f>
        <v>0.13</v>
      </c>
      <c r="F90">
        <f>undergrid!AL86</f>
        <v>27.491170999999998</v>
      </c>
      <c r="G90" s="12">
        <f>undergrid!Q86</f>
        <v>30</v>
      </c>
      <c r="H90" s="12">
        <f t="shared" si="12"/>
        <v>5.5</v>
      </c>
      <c r="I90" s="12">
        <f t="shared" si="13"/>
        <v>24.5</v>
      </c>
      <c r="J90" s="12">
        <f>-(undergrid!M86-Graphs!G90)</f>
        <v>-1.3099999999999987</v>
      </c>
      <c r="K90" s="12">
        <f t="shared" si="14"/>
        <v>24.5</v>
      </c>
      <c r="L90" s="12">
        <f>Costs!AF86+Costs!AG86</f>
        <v>0</v>
      </c>
      <c r="M90" s="12">
        <f>-undergrid!Y86</f>
        <v>0</v>
      </c>
      <c r="N90" s="12">
        <f>undergrid!S86</f>
        <v>0</v>
      </c>
      <c r="O90" s="12">
        <f>IF(undergrid!S86&gt;0.0001,IF(C90-H90&gt;undergrid!S86,undergrid!S86,C90-H90),0)</f>
        <v>0</v>
      </c>
      <c r="P90" s="12">
        <f>undergrid!S86-O90</f>
        <v>0</v>
      </c>
      <c r="Q90" s="12">
        <f>-undergrid!W86</f>
        <v>0</v>
      </c>
      <c r="R90" s="12">
        <f t="shared" si="15"/>
        <v>0</v>
      </c>
      <c r="S90" s="22">
        <f>IF(undergrid!K86=2,1,0)</f>
        <v>0</v>
      </c>
      <c r="T90" s="12">
        <f>-undergrid!O86*$AD$1</f>
        <v>-19.891262449999996</v>
      </c>
      <c r="U90" s="12">
        <f>undergrid!U86*$AD$2</f>
        <v>0</v>
      </c>
      <c r="V90" s="12">
        <f>undergrid!S86-N90</f>
        <v>0</v>
      </c>
      <c r="W90" s="12">
        <f t="shared" si="16"/>
        <v>1.0529999999999999</v>
      </c>
      <c r="X90" s="13">
        <f>undergrid!AJ86</f>
        <v>0.99995572537576005</v>
      </c>
    </row>
    <row r="91" spans="1:24" x14ac:dyDescent="0.3">
      <c r="A91" s="10">
        <v>86</v>
      </c>
      <c r="B91">
        <f>undergrid!C87*2+undergrid!E87</f>
        <v>11.875</v>
      </c>
      <c r="C91">
        <f>undergrid!C87*2</f>
        <v>10.64</v>
      </c>
      <c r="D91">
        <f>undergrid!E87</f>
        <v>1.2350000000000001</v>
      </c>
      <c r="E91" s="11">
        <f>undergrid!G87</f>
        <v>0.13</v>
      </c>
      <c r="F91">
        <f>undergrid!AL87</f>
        <v>20.59</v>
      </c>
      <c r="G91" s="12">
        <f>undergrid!Q87</f>
        <v>20.59</v>
      </c>
      <c r="H91" s="12">
        <f t="shared" si="12"/>
        <v>10.64</v>
      </c>
      <c r="I91" s="12">
        <f t="shared" si="13"/>
        <v>9.9499999999999993</v>
      </c>
      <c r="J91" s="12">
        <f>-(undergrid!M87-Graphs!G91)</f>
        <v>0</v>
      </c>
      <c r="K91" s="12">
        <f t="shared" si="14"/>
        <v>9.9499999999999993</v>
      </c>
      <c r="L91" s="12">
        <f>Costs!AF87+Costs!AG87</f>
        <v>0</v>
      </c>
      <c r="M91" s="12">
        <f>-undergrid!Y87</f>
        <v>-8.7149999999999999</v>
      </c>
      <c r="N91" s="12">
        <f>undergrid!S87</f>
        <v>0</v>
      </c>
      <c r="O91" s="12">
        <f>IF(undergrid!S87&gt;0.0001,IF(C91-H91&gt;undergrid!S87,undergrid!S87,C91-H91),0)</f>
        <v>0</v>
      </c>
      <c r="P91" s="12">
        <f>undergrid!S87-O91</f>
        <v>0</v>
      </c>
      <c r="Q91" s="12">
        <f>-undergrid!W87</f>
        <v>0</v>
      </c>
      <c r="R91" s="12">
        <f t="shared" si="15"/>
        <v>0</v>
      </c>
      <c r="S91" s="22">
        <f>IF(undergrid!K87=2,1,0)</f>
        <v>1</v>
      </c>
      <c r="T91" s="12">
        <f>-undergrid!O87*$AD$1</f>
        <v>0</v>
      </c>
      <c r="U91" s="12">
        <f>undergrid!U87*$AD$2</f>
        <v>0</v>
      </c>
      <c r="V91" s="12">
        <f>undergrid!S87-N91</f>
        <v>0</v>
      </c>
      <c r="W91" s="12">
        <f t="shared" si="16"/>
        <v>1.2349999999999994</v>
      </c>
      <c r="X91" s="13">
        <f>undergrid!AJ87</f>
        <v>0.99989972785513914</v>
      </c>
    </row>
    <row r="92" spans="1:24" x14ac:dyDescent="0.3">
      <c r="A92" s="10">
        <v>87</v>
      </c>
      <c r="B92">
        <f>undergrid!C88*2+undergrid!E88</f>
        <v>19.46</v>
      </c>
      <c r="C92">
        <f>undergrid!C88*2</f>
        <v>11.96</v>
      </c>
      <c r="D92">
        <f>undergrid!E88</f>
        <v>7.5</v>
      </c>
      <c r="E92" s="11">
        <f>undergrid!G88</f>
        <v>0.13</v>
      </c>
      <c r="F92">
        <f>undergrid!AL88</f>
        <v>19.46</v>
      </c>
      <c r="G92" s="12">
        <f>undergrid!Q88</f>
        <v>8.7799999999999994</v>
      </c>
      <c r="H92" s="12">
        <f t="shared" si="12"/>
        <v>8.7799999999999994</v>
      </c>
      <c r="I92" s="12">
        <f t="shared" si="13"/>
        <v>0</v>
      </c>
      <c r="J92" s="12">
        <f>-(undergrid!M88-Graphs!G92)</f>
        <v>0</v>
      </c>
      <c r="K92" s="12">
        <f t="shared" si="14"/>
        <v>0</v>
      </c>
      <c r="L92" s="12">
        <f>Costs!AF88+Costs!AG88</f>
        <v>0</v>
      </c>
      <c r="M92" s="12">
        <f>-undergrid!Y88</f>
        <v>0</v>
      </c>
      <c r="N92" s="12">
        <f>undergrid!S88</f>
        <v>0</v>
      </c>
      <c r="O92" s="12">
        <f>IF(undergrid!S88&gt;0.0001,IF(C92-H92&gt;undergrid!S88,undergrid!S88,C92-H92),0)</f>
        <v>0</v>
      </c>
      <c r="P92" s="12">
        <f>undergrid!S88-O92</f>
        <v>0</v>
      </c>
      <c r="Q92" s="12">
        <f>-undergrid!W88</f>
        <v>-4.2980228365982978</v>
      </c>
      <c r="R92" s="12">
        <f t="shared" si="15"/>
        <v>4.2980228365982978</v>
      </c>
      <c r="S92" s="22">
        <f>IF(undergrid!K88=2,1,0)</f>
        <v>1</v>
      </c>
      <c r="T92" s="12">
        <f>-undergrid!O88*$AD$1</f>
        <v>0</v>
      </c>
      <c r="U92" s="12">
        <f>undergrid!U88*$AD$2</f>
        <v>6.3819771634017046</v>
      </c>
      <c r="V92" s="12">
        <f>undergrid!S88-N92</f>
        <v>0</v>
      </c>
      <c r="W92" s="12">
        <f t="shared" si="16"/>
        <v>10.680000000000001</v>
      </c>
      <c r="X92" s="13">
        <f>undergrid!AJ88</f>
        <v>0.92893287609924924</v>
      </c>
    </row>
    <row r="93" spans="1:24" x14ac:dyDescent="0.3">
      <c r="A93" s="10">
        <v>88</v>
      </c>
      <c r="B93">
        <f>undergrid!C89*2+undergrid!E89</f>
        <v>11.725999999999999</v>
      </c>
      <c r="C93">
        <f>undergrid!C89*2</f>
        <v>5.64</v>
      </c>
      <c r="D93">
        <f>undergrid!E89</f>
        <v>6.0860000000000003</v>
      </c>
      <c r="E93" s="11">
        <f>undergrid!G89</f>
        <v>0.13</v>
      </c>
      <c r="F93">
        <f>undergrid!AL89</f>
        <v>12.08</v>
      </c>
      <c r="G93" s="12">
        <f>undergrid!Q89</f>
        <v>12.08</v>
      </c>
      <c r="H93" s="12">
        <f t="shared" si="12"/>
        <v>5.64</v>
      </c>
      <c r="I93" s="12">
        <f t="shared" si="13"/>
        <v>6.44</v>
      </c>
      <c r="J93" s="12">
        <f>-(undergrid!M89-Graphs!G93)</f>
        <v>0</v>
      </c>
      <c r="K93" s="12">
        <f t="shared" si="14"/>
        <v>6.44</v>
      </c>
      <c r="L93" s="12">
        <f>Costs!AF89+Costs!AG89</f>
        <v>0</v>
      </c>
      <c r="M93" s="12">
        <f>-undergrid!Y89</f>
        <v>-0.35400000000000098</v>
      </c>
      <c r="N93" s="12">
        <f>undergrid!S89</f>
        <v>0</v>
      </c>
      <c r="O93" s="12">
        <f>IF(undergrid!S89&gt;0.0001,IF(C93-H93&gt;undergrid!S89,undergrid!S89,C93-H93),0)</f>
        <v>0</v>
      </c>
      <c r="P93" s="12">
        <f>undergrid!S89-O93</f>
        <v>0</v>
      </c>
      <c r="Q93" s="12">
        <f>-undergrid!W89</f>
        <v>0</v>
      </c>
      <c r="R93" s="12">
        <f t="shared" si="15"/>
        <v>0</v>
      </c>
      <c r="S93" s="22">
        <f>IF(undergrid!K89=2,1,0)</f>
        <v>1</v>
      </c>
      <c r="T93" s="12">
        <f>-undergrid!O89*$AD$1</f>
        <v>0</v>
      </c>
      <c r="U93" s="12">
        <f>undergrid!U89*$AD$2</f>
        <v>0</v>
      </c>
      <c r="V93" s="12">
        <f>undergrid!S89-N93</f>
        <v>0</v>
      </c>
      <c r="W93" s="12">
        <f t="shared" si="16"/>
        <v>6.0859999999999994</v>
      </c>
      <c r="X93" s="13">
        <f>undergrid!AJ89</f>
        <v>0.92888085585818769</v>
      </c>
    </row>
    <row r="94" spans="1:24" x14ac:dyDescent="0.3">
      <c r="A94" s="10">
        <v>89</v>
      </c>
      <c r="B94">
        <f>undergrid!C90*2+undergrid!E90</f>
        <v>8.4529999999999994</v>
      </c>
      <c r="C94">
        <f>undergrid!C90*2</f>
        <v>4.0599999999999996</v>
      </c>
      <c r="D94">
        <f>undergrid!E90</f>
        <v>4.3929999999999998</v>
      </c>
      <c r="E94" s="11">
        <f>undergrid!G90</f>
        <v>0.13</v>
      </c>
      <c r="F94">
        <f>undergrid!AL90</f>
        <v>11.3</v>
      </c>
      <c r="G94" s="12">
        <f>undergrid!Q90</f>
        <v>11.3</v>
      </c>
      <c r="H94" s="12">
        <f t="shared" si="12"/>
        <v>4.0599999999999996</v>
      </c>
      <c r="I94" s="12">
        <f t="shared" si="13"/>
        <v>7.2400000000000011</v>
      </c>
      <c r="J94" s="12">
        <f>-(undergrid!M90-Graphs!G94)</f>
        <v>0</v>
      </c>
      <c r="K94" s="12">
        <f t="shared" si="14"/>
        <v>7.2400000000000011</v>
      </c>
      <c r="L94" s="12">
        <f>Costs!AF90+Costs!AG90</f>
        <v>0</v>
      </c>
      <c r="M94" s="12">
        <f>-undergrid!Y90</f>
        <v>-2.8470000000000013</v>
      </c>
      <c r="N94" s="12">
        <f>undergrid!S90</f>
        <v>0</v>
      </c>
      <c r="O94" s="12">
        <f>IF(undergrid!S90&gt;0.0001,IF(C94-H94&gt;undergrid!S90,undergrid!S90,C94-H94),0)</f>
        <v>0</v>
      </c>
      <c r="P94" s="12">
        <f>undergrid!S90-O94</f>
        <v>0</v>
      </c>
      <c r="Q94" s="12">
        <f>-undergrid!W90</f>
        <v>0</v>
      </c>
      <c r="R94" s="12">
        <f t="shared" si="15"/>
        <v>0</v>
      </c>
      <c r="S94" s="22">
        <f>IF(undergrid!K90=2,1,0)</f>
        <v>1</v>
      </c>
      <c r="T94" s="12">
        <f>-undergrid!O90*$AD$1</f>
        <v>0</v>
      </c>
      <c r="U94" s="12">
        <f>undergrid!U90*$AD$2</f>
        <v>0</v>
      </c>
      <c r="V94" s="12">
        <f>undergrid!S90-N94</f>
        <v>0</v>
      </c>
      <c r="W94" s="12">
        <f t="shared" si="16"/>
        <v>4.3929999999999998</v>
      </c>
      <c r="X94" s="13">
        <f>undergrid!AJ90</f>
        <v>0.92882883853025977</v>
      </c>
    </row>
    <row r="95" spans="1:24" x14ac:dyDescent="0.3">
      <c r="A95" s="10">
        <v>90</v>
      </c>
      <c r="B95">
        <f>undergrid!C91*2+undergrid!E91</f>
        <v>12.605</v>
      </c>
      <c r="C95">
        <f>undergrid!C91*2</f>
        <v>6.58</v>
      </c>
      <c r="D95">
        <f>undergrid!E91</f>
        <v>6.0250000000000004</v>
      </c>
      <c r="E95" s="11">
        <f>undergrid!G91</f>
        <v>0.13</v>
      </c>
      <c r="F95">
        <f>undergrid!AL91</f>
        <v>12.605</v>
      </c>
      <c r="G95" s="12">
        <f>undergrid!Q91</f>
        <v>7.89</v>
      </c>
      <c r="H95" s="12">
        <f t="shared" si="12"/>
        <v>6.58</v>
      </c>
      <c r="I95" s="12">
        <f t="shared" si="13"/>
        <v>1.3099999999999996</v>
      </c>
      <c r="J95" s="12">
        <f>-(undergrid!M91-Graphs!G95)</f>
        <v>0</v>
      </c>
      <c r="K95" s="12">
        <f t="shared" si="14"/>
        <v>1.3099999999999996</v>
      </c>
      <c r="L95" s="12">
        <f>Costs!AF91+Costs!AG91</f>
        <v>0</v>
      </c>
      <c r="M95" s="12">
        <f>-undergrid!Y91</f>
        <v>0</v>
      </c>
      <c r="N95" s="12">
        <f>undergrid!S91</f>
        <v>0</v>
      </c>
      <c r="O95" s="12">
        <f>IF(undergrid!S91&gt;0.0001,IF(C95-H95&gt;undergrid!S91,undergrid!S91,C95-H95),0)</f>
        <v>0</v>
      </c>
      <c r="P95" s="12">
        <f>undergrid!S91-O95</f>
        <v>0</v>
      </c>
      <c r="Q95" s="12">
        <f>-undergrid!W91</f>
        <v>-4.7150000000000007</v>
      </c>
      <c r="R95" s="12">
        <f t="shared" si="15"/>
        <v>4.7150000000000007</v>
      </c>
      <c r="S95" s="22">
        <f>IF(undergrid!K91=2,1,0)</f>
        <v>1</v>
      </c>
      <c r="T95" s="12">
        <f>-undergrid!O91*$AD$1</f>
        <v>0</v>
      </c>
      <c r="U95" s="12">
        <f>undergrid!U91*$AD$2</f>
        <v>0</v>
      </c>
      <c r="V95" s="12">
        <f>undergrid!S91-N95</f>
        <v>0</v>
      </c>
      <c r="W95" s="12">
        <f t="shared" si="16"/>
        <v>6.0250000000000004</v>
      </c>
      <c r="X95" s="13">
        <f>undergrid!AJ91</f>
        <v>0.92877682411530205</v>
      </c>
    </row>
    <row r="96" spans="1:24" x14ac:dyDescent="0.3">
      <c r="A96" s="10">
        <v>91</v>
      </c>
      <c r="B96">
        <f>undergrid!C92*2+undergrid!E92</f>
        <v>16.503</v>
      </c>
      <c r="C96">
        <f>undergrid!C92*2</f>
        <v>11.72</v>
      </c>
      <c r="D96">
        <f>undergrid!E92</f>
        <v>4.7830000000000004</v>
      </c>
      <c r="E96" s="11">
        <f>undergrid!G92</f>
        <v>0.13</v>
      </c>
      <c r="F96">
        <f>undergrid!AL92</f>
        <v>16.503</v>
      </c>
      <c r="G96" s="12">
        <f>undergrid!Q92</f>
        <v>0</v>
      </c>
      <c r="H96" s="12">
        <f t="shared" si="12"/>
        <v>0</v>
      </c>
      <c r="I96" s="12">
        <f t="shared" si="13"/>
        <v>0</v>
      </c>
      <c r="J96" s="12">
        <f>-(undergrid!M92-Graphs!G96)</f>
        <v>-6.3999999999999996E-10</v>
      </c>
      <c r="K96" s="12">
        <f t="shared" si="14"/>
        <v>0</v>
      </c>
      <c r="L96" s="12">
        <f>Costs!AF92+Costs!AG92</f>
        <v>0</v>
      </c>
      <c r="M96" s="12">
        <f>-undergrid!Y92</f>
        <v>0</v>
      </c>
      <c r="N96" s="12">
        <f>undergrid!S92</f>
        <v>0</v>
      </c>
      <c r="O96" s="12">
        <f>IF(undergrid!S92&gt;0.0001,IF(C96-H96&gt;undergrid!S92,undergrid!S92,C96-H96),0)</f>
        <v>0</v>
      </c>
      <c r="P96" s="12">
        <f>undergrid!S92-O96</f>
        <v>0</v>
      </c>
      <c r="Q96" s="12">
        <f>-undergrid!W92</f>
        <v>-16.50299999936</v>
      </c>
      <c r="R96" s="12">
        <f t="shared" si="15"/>
        <v>16.50299999936</v>
      </c>
      <c r="S96" s="22">
        <f>IF(undergrid!K92=2,1,0)</f>
        <v>1</v>
      </c>
      <c r="T96" s="12">
        <f>-undergrid!O92*$AD$1</f>
        <v>0</v>
      </c>
      <c r="U96" s="12">
        <f>undergrid!U92*$AD$2</f>
        <v>0</v>
      </c>
      <c r="V96" s="12">
        <f>undergrid!S92-N96</f>
        <v>0</v>
      </c>
      <c r="W96" s="12">
        <f t="shared" si="16"/>
        <v>16.503</v>
      </c>
      <c r="X96" s="13">
        <f>undergrid!AJ92</f>
        <v>0.92872481261315154</v>
      </c>
    </row>
    <row r="97" spans="1:24" x14ac:dyDescent="0.3">
      <c r="A97" s="10">
        <v>92</v>
      </c>
      <c r="B97">
        <f>undergrid!C93*2+undergrid!E93</f>
        <v>8.0090000000000003</v>
      </c>
      <c r="C97">
        <f>undergrid!C93*2</f>
        <v>4.82</v>
      </c>
      <c r="D97">
        <f>undergrid!E93</f>
        <v>3.1890000000000001</v>
      </c>
      <c r="E97" s="11">
        <f>undergrid!G93</f>
        <v>0.13</v>
      </c>
      <c r="F97">
        <f>undergrid!AL93</f>
        <v>8.0090000000000003</v>
      </c>
      <c r="G97" s="12">
        <f>undergrid!Q93</f>
        <v>0</v>
      </c>
      <c r="H97" s="12">
        <f t="shared" si="12"/>
        <v>0</v>
      </c>
      <c r="I97" s="12">
        <f t="shared" si="13"/>
        <v>0</v>
      </c>
      <c r="J97" s="12">
        <f>-(undergrid!M93-Graphs!G97)</f>
        <v>-6.3999999999999996E-10</v>
      </c>
      <c r="K97" s="12">
        <f t="shared" si="14"/>
        <v>0</v>
      </c>
      <c r="L97" s="12">
        <f>Costs!AF93+Costs!AG93</f>
        <v>0</v>
      </c>
      <c r="M97" s="12">
        <f>-undergrid!Y93</f>
        <v>0</v>
      </c>
      <c r="N97" s="12">
        <f>undergrid!S93</f>
        <v>0</v>
      </c>
      <c r="O97" s="12">
        <f>IF(undergrid!S93&gt;0.0001,IF(C97-H97&gt;undergrid!S93,undergrid!S93,C97-H97),0)</f>
        <v>0</v>
      </c>
      <c r="P97" s="12">
        <f>undergrid!S93-O97</f>
        <v>0</v>
      </c>
      <c r="Q97" s="12">
        <f>-undergrid!W93</f>
        <v>0</v>
      </c>
      <c r="R97" s="12">
        <f t="shared" si="15"/>
        <v>0</v>
      </c>
      <c r="S97" s="22">
        <f>IF(undergrid!K93=2,1,0)</f>
        <v>0</v>
      </c>
      <c r="T97" s="12">
        <f>-undergrid!O93*$AD$1</f>
        <v>0</v>
      </c>
      <c r="U97" s="12">
        <f>undergrid!U93*$AD$2</f>
        <v>8.0089999993600003</v>
      </c>
      <c r="V97" s="12">
        <f>undergrid!S93-N97</f>
        <v>0</v>
      </c>
      <c r="W97" s="12">
        <f t="shared" si="16"/>
        <v>8.0090000000000003</v>
      </c>
      <c r="X97" s="13">
        <f>undergrid!AJ93</f>
        <v>0.83968391514186747</v>
      </c>
    </row>
    <row r="98" spans="1:24" x14ac:dyDescent="0.3">
      <c r="A98" s="10">
        <v>93</v>
      </c>
      <c r="B98">
        <f>undergrid!C94*2+undergrid!E94</f>
        <v>17.492000000000001</v>
      </c>
      <c r="C98">
        <f>undergrid!C94*2</f>
        <v>14.8</v>
      </c>
      <c r="D98">
        <f>undergrid!E94</f>
        <v>2.6920000000000002</v>
      </c>
      <c r="E98" s="11">
        <f>undergrid!G94</f>
        <v>0.13</v>
      </c>
      <c r="F98">
        <f>undergrid!AL94</f>
        <v>17.492000000000001</v>
      </c>
      <c r="G98" s="12">
        <f>undergrid!Q94</f>
        <v>0</v>
      </c>
      <c r="H98" s="12">
        <f t="shared" si="12"/>
        <v>0</v>
      </c>
      <c r="I98" s="12">
        <f t="shared" si="13"/>
        <v>0</v>
      </c>
      <c r="J98" s="12">
        <f>-(undergrid!M94-Graphs!G98)</f>
        <v>-6.3999999999999996E-10</v>
      </c>
      <c r="K98" s="12">
        <f t="shared" si="14"/>
        <v>0</v>
      </c>
      <c r="L98" s="12">
        <f>Costs!AF94+Costs!AG94</f>
        <v>0</v>
      </c>
      <c r="M98" s="12">
        <f>-undergrid!Y94</f>
        <v>0</v>
      </c>
      <c r="N98" s="12">
        <f>undergrid!S94</f>
        <v>0</v>
      </c>
      <c r="O98" s="12">
        <f>IF(undergrid!S94&gt;0.0001,IF(C98-H98&gt;undergrid!S94,undergrid!S94,C98-H98),0)</f>
        <v>0</v>
      </c>
      <c r="P98" s="12">
        <f>undergrid!S94-O98</f>
        <v>0</v>
      </c>
      <c r="Q98" s="12">
        <f>-undergrid!W94</f>
        <v>0</v>
      </c>
      <c r="R98" s="12">
        <f t="shared" si="15"/>
        <v>0</v>
      </c>
      <c r="S98" s="22">
        <f>IF(undergrid!K94=2,1,0)</f>
        <v>0</v>
      </c>
      <c r="T98" s="12">
        <f>-undergrid!O94*$AD$1</f>
        <v>0</v>
      </c>
      <c r="U98" s="12">
        <f>undergrid!U94*$AD$2</f>
        <v>17.491999999360001</v>
      </c>
      <c r="V98" s="12">
        <f>undergrid!S94-N98</f>
        <v>0</v>
      </c>
      <c r="W98" s="12">
        <f t="shared" si="16"/>
        <v>17.492000000000001</v>
      </c>
      <c r="X98" s="13">
        <f>undergrid!AJ94</f>
        <v>0.64528133729417503</v>
      </c>
    </row>
    <row r="99" spans="1:24" x14ac:dyDescent="0.3">
      <c r="A99" s="10">
        <v>94</v>
      </c>
      <c r="B99">
        <f>undergrid!C95*2+undergrid!E95</f>
        <v>21.141000000000002</v>
      </c>
      <c r="C99">
        <f>undergrid!C95*2</f>
        <v>18.940000000000001</v>
      </c>
      <c r="D99">
        <f>undergrid!E95</f>
        <v>2.2010000000000001</v>
      </c>
      <c r="E99" s="11">
        <f>undergrid!G95</f>
        <v>0.13</v>
      </c>
      <c r="F99">
        <f>undergrid!AL95</f>
        <v>21.141000000000002</v>
      </c>
      <c r="G99" s="12">
        <f>undergrid!Q95</f>
        <v>0</v>
      </c>
      <c r="H99" s="12">
        <f t="shared" si="12"/>
        <v>0</v>
      </c>
      <c r="I99" s="12">
        <f t="shared" si="13"/>
        <v>0</v>
      </c>
      <c r="J99" s="12">
        <f>-(undergrid!M95-Graphs!G99)</f>
        <v>-6.3999999999999996E-10</v>
      </c>
      <c r="K99" s="12">
        <f t="shared" si="14"/>
        <v>0</v>
      </c>
      <c r="L99" s="12">
        <f>Costs!AF95+Costs!AG95</f>
        <v>0</v>
      </c>
      <c r="M99" s="12">
        <f>-undergrid!Y95</f>
        <v>0</v>
      </c>
      <c r="N99" s="12">
        <f>undergrid!S95</f>
        <v>0</v>
      </c>
      <c r="O99" s="12">
        <f>IF(undergrid!S95&gt;0.0001,IF(C99-H99&gt;undergrid!S95,undergrid!S95,C99-H99),0)</f>
        <v>0</v>
      </c>
      <c r="P99" s="12">
        <f>undergrid!S95-O99</f>
        <v>0</v>
      </c>
      <c r="Q99" s="12">
        <f>-undergrid!W95</f>
        <v>0</v>
      </c>
      <c r="R99" s="12">
        <f t="shared" si="15"/>
        <v>0</v>
      </c>
      <c r="S99" s="22">
        <f>IF(undergrid!K95=2,1,0)</f>
        <v>0</v>
      </c>
      <c r="T99" s="12">
        <f>-undergrid!O95*$AD$1</f>
        <v>0</v>
      </c>
      <c r="U99" s="12">
        <f>undergrid!U95*$AD$2</f>
        <v>21.140999999360002</v>
      </c>
      <c r="V99" s="12">
        <f>undergrid!S95-N99</f>
        <v>0</v>
      </c>
      <c r="W99" s="12">
        <f t="shared" si="16"/>
        <v>21.141000000000002</v>
      </c>
      <c r="X99" s="13">
        <f>undergrid!AJ95</f>
        <v>0.4103452015463977</v>
      </c>
    </row>
    <row r="100" spans="1:24" x14ac:dyDescent="0.3">
      <c r="A100" s="10">
        <v>95</v>
      </c>
      <c r="B100">
        <f>undergrid!C96*2+undergrid!E96</f>
        <v>9.9290000000000003</v>
      </c>
      <c r="C100">
        <f>undergrid!C96*2</f>
        <v>7.58</v>
      </c>
      <c r="D100">
        <f>undergrid!E96</f>
        <v>2.3490000000000002</v>
      </c>
      <c r="E100" s="11">
        <f>undergrid!G96</f>
        <v>0.08</v>
      </c>
      <c r="F100">
        <f>undergrid!AL96</f>
        <v>9.9290000000000003</v>
      </c>
      <c r="G100" s="12">
        <f>undergrid!Q96</f>
        <v>0</v>
      </c>
      <c r="H100" s="12">
        <f t="shared" si="12"/>
        <v>0</v>
      </c>
      <c r="I100" s="12">
        <f t="shared" si="13"/>
        <v>0</v>
      </c>
      <c r="J100" s="12">
        <f>-(undergrid!M96-Graphs!G100)</f>
        <v>-6.3999999999999996E-10</v>
      </c>
      <c r="K100" s="12">
        <f t="shared" si="14"/>
        <v>0</v>
      </c>
      <c r="L100" s="12">
        <f>Costs!AF96+Costs!AG96</f>
        <v>0</v>
      </c>
      <c r="M100" s="12">
        <f>-undergrid!Y96</f>
        <v>0</v>
      </c>
      <c r="N100" s="12">
        <f>undergrid!S96</f>
        <v>0</v>
      </c>
      <c r="O100" s="12">
        <f>IF(undergrid!S96&gt;0.0001,IF(C100-H100&gt;undergrid!S96,undergrid!S96,C100-H100),0)</f>
        <v>0</v>
      </c>
      <c r="P100" s="12">
        <f>undergrid!S96-O100</f>
        <v>0</v>
      </c>
      <c r="Q100" s="12">
        <f>-undergrid!W96</f>
        <v>0</v>
      </c>
      <c r="R100" s="12">
        <f t="shared" si="15"/>
        <v>0</v>
      </c>
      <c r="S100" s="22">
        <f>IF(undergrid!K96=2,1,0)</f>
        <v>0</v>
      </c>
      <c r="T100" s="12">
        <f>-undergrid!O96*$AD$1</f>
        <v>0</v>
      </c>
      <c r="U100" s="12">
        <f>undergrid!U96*$AD$2</f>
        <v>9.928999999360002</v>
      </c>
      <c r="V100" s="12">
        <f>undergrid!S96-N100</f>
        <v>0</v>
      </c>
      <c r="W100" s="12">
        <f t="shared" si="16"/>
        <v>9.9290000000000003</v>
      </c>
      <c r="X100" s="13">
        <f>undergrid!AJ96</f>
        <v>0.3</v>
      </c>
    </row>
    <row r="101" spans="1:24" x14ac:dyDescent="0.3">
      <c r="A101" s="10">
        <v>96</v>
      </c>
      <c r="B101">
        <f>undergrid!C97*2+undergrid!E97</f>
        <v>8.3520000000000003</v>
      </c>
      <c r="C101">
        <f>undergrid!C97*2</f>
        <v>6</v>
      </c>
      <c r="D101">
        <f>undergrid!E97</f>
        <v>2.3519999999999999</v>
      </c>
      <c r="E101" s="11">
        <f>undergrid!G97</f>
        <v>0.08</v>
      </c>
      <c r="F101">
        <f>undergrid!AL97</f>
        <v>8.3536799999999971</v>
      </c>
      <c r="G101" s="12">
        <f>undergrid!Q97</f>
        <v>0</v>
      </c>
      <c r="H101" s="12">
        <f t="shared" si="12"/>
        <v>0</v>
      </c>
      <c r="I101" s="12">
        <f t="shared" si="13"/>
        <v>0</v>
      </c>
      <c r="J101" s="12">
        <f>-(undergrid!M97-Graphs!G101)</f>
        <v>-6.3999999999999996E-10</v>
      </c>
      <c r="K101" s="12">
        <f t="shared" si="14"/>
        <v>0</v>
      </c>
      <c r="L101" s="12">
        <f>Costs!AF97+Costs!AG97</f>
        <v>0</v>
      </c>
      <c r="M101" s="12">
        <f>-undergrid!Y97</f>
        <v>0</v>
      </c>
      <c r="N101" s="12">
        <f>undergrid!S97</f>
        <v>0</v>
      </c>
      <c r="O101" s="12">
        <f>IF(undergrid!S97&gt;0.0001,IF(C101-H101&gt;undergrid!S97,undergrid!S97,C101-H101),0)</f>
        <v>0</v>
      </c>
      <c r="P101" s="12">
        <f>undergrid!S97-O101</f>
        <v>0</v>
      </c>
      <c r="Q101" s="12">
        <f>-undergrid!W97</f>
        <v>-8.3538812983521584</v>
      </c>
      <c r="R101" s="12">
        <f t="shared" si="15"/>
        <v>8.3538812983521584</v>
      </c>
      <c r="S101" s="22">
        <f>IF(undergrid!K97=2,1,0)</f>
        <v>1</v>
      </c>
      <c r="T101" s="12">
        <f>-undergrid!O97*$AD$1</f>
        <v>-1.5959999999969553E-3</v>
      </c>
      <c r="U101" s="12">
        <f>undergrid!U97*$AD$2</f>
        <v>0</v>
      </c>
      <c r="V101" s="12">
        <f>undergrid!S97-N101</f>
        <v>0</v>
      </c>
      <c r="W101" s="12">
        <f t="shared" si="16"/>
        <v>8.3520000000000003</v>
      </c>
      <c r="X101" s="13">
        <f>undergrid!AJ97</f>
        <v>0.3</v>
      </c>
    </row>
    <row r="102" spans="1:24" x14ac:dyDescent="0.3">
      <c r="A102" s="10">
        <v>97</v>
      </c>
      <c r="B102">
        <f>undergrid!C98*2+undergrid!E98</f>
        <v>4.7370000000000001</v>
      </c>
      <c r="C102">
        <f>undergrid!C98*2</f>
        <v>3.1</v>
      </c>
      <c r="D102">
        <f>undergrid!E98</f>
        <v>1.637</v>
      </c>
      <c r="E102" s="11">
        <f>undergrid!G98</f>
        <v>0.08</v>
      </c>
      <c r="F102">
        <f>undergrid!AL98</f>
        <v>4.7386799999999969</v>
      </c>
      <c r="G102" s="12">
        <f>undergrid!Q98</f>
        <v>0</v>
      </c>
      <c r="H102" s="12">
        <f t="shared" si="12"/>
        <v>0</v>
      </c>
      <c r="I102" s="12">
        <f t="shared" si="13"/>
        <v>0</v>
      </c>
      <c r="J102" s="12">
        <f>-(undergrid!M98-Graphs!G102)</f>
        <v>-6.3999999999999996E-10</v>
      </c>
      <c r="K102" s="12">
        <f t="shared" si="14"/>
        <v>0</v>
      </c>
      <c r="L102" s="12">
        <f>Costs!AF98+Costs!AG98</f>
        <v>0</v>
      </c>
      <c r="M102" s="12">
        <f>-undergrid!Y98</f>
        <v>0</v>
      </c>
      <c r="N102" s="12">
        <f>undergrid!S98</f>
        <v>0</v>
      </c>
      <c r="O102" s="12">
        <f>IF(undergrid!S98&gt;0.0001,IF(C102-H102&gt;undergrid!S98,undergrid!S98,C102-H102),0)</f>
        <v>0</v>
      </c>
      <c r="P102" s="12">
        <f>undergrid!S98-O102</f>
        <v>0</v>
      </c>
      <c r="Q102" s="12">
        <f>-undergrid!W98</f>
        <v>-4.7388812983521573</v>
      </c>
      <c r="R102" s="12">
        <f t="shared" si="15"/>
        <v>4.7388812983521573</v>
      </c>
      <c r="S102" s="22">
        <f>IF(undergrid!K98=2,1,0)</f>
        <v>1</v>
      </c>
      <c r="T102" s="12">
        <f>-undergrid!O98*$AD$1</f>
        <v>-1.5959999999969553E-3</v>
      </c>
      <c r="U102" s="12">
        <f>undergrid!U98*$AD$2</f>
        <v>0</v>
      </c>
      <c r="V102" s="12">
        <f>undergrid!S98-N102</f>
        <v>0</v>
      </c>
      <c r="W102" s="12">
        <f t="shared" si="16"/>
        <v>4.7370000000000001</v>
      </c>
      <c r="X102" s="13">
        <f>undergrid!AJ98</f>
        <v>0.3</v>
      </c>
    </row>
    <row r="103" spans="1:24" x14ac:dyDescent="0.3">
      <c r="A103" s="10">
        <v>98</v>
      </c>
      <c r="B103">
        <f>undergrid!C99*2+undergrid!E99</f>
        <v>4.2840000000000007</v>
      </c>
      <c r="C103">
        <f>undergrid!C99*2</f>
        <v>2.2200000000000002</v>
      </c>
      <c r="D103">
        <f>undergrid!E99</f>
        <v>2.0640000000000001</v>
      </c>
      <c r="E103" s="11">
        <f>undergrid!G99</f>
        <v>0.08</v>
      </c>
      <c r="F103">
        <f>undergrid!AL99</f>
        <v>4.2856799999999975</v>
      </c>
      <c r="G103" s="12">
        <f>undergrid!Q99</f>
        <v>0</v>
      </c>
      <c r="H103" s="12">
        <f t="shared" si="12"/>
        <v>0</v>
      </c>
      <c r="I103" s="12">
        <f t="shared" si="13"/>
        <v>0</v>
      </c>
      <c r="J103" s="12">
        <f>-(undergrid!M99-Graphs!G103)</f>
        <v>-6.3999999999999996E-10</v>
      </c>
      <c r="K103" s="12">
        <f t="shared" si="14"/>
        <v>0</v>
      </c>
      <c r="L103" s="12">
        <f>Costs!AF99+Costs!AG99</f>
        <v>0</v>
      </c>
      <c r="M103" s="12">
        <f>-undergrid!Y99</f>
        <v>0</v>
      </c>
      <c r="N103" s="12">
        <f>undergrid!S99</f>
        <v>0</v>
      </c>
      <c r="O103" s="12">
        <f>IF(undergrid!S99&gt;0.0001,IF(C103-H103&gt;undergrid!S99,undergrid!S99,C103-H103),0)</f>
        <v>0</v>
      </c>
      <c r="P103" s="12">
        <f>undergrid!S99-O103</f>
        <v>0</v>
      </c>
      <c r="Q103" s="12">
        <f>-undergrid!W99</f>
        <v>-4.2858812983521579</v>
      </c>
      <c r="R103" s="12">
        <f t="shared" si="15"/>
        <v>4.2858812983521579</v>
      </c>
      <c r="S103" s="22">
        <f>IF(undergrid!K99=2,1,0)</f>
        <v>1</v>
      </c>
      <c r="T103" s="12">
        <f>-undergrid!O99*$AD$1</f>
        <v>-1.5959999999969553E-3</v>
      </c>
      <c r="U103" s="12">
        <f>undergrid!U99*$AD$2</f>
        <v>0</v>
      </c>
      <c r="V103" s="12">
        <f>undergrid!S99-N103</f>
        <v>0</v>
      </c>
      <c r="W103" s="12">
        <f t="shared" si="16"/>
        <v>4.2840000000000007</v>
      </c>
      <c r="X103" s="13">
        <f>undergrid!AJ99</f>
        <v>0.3</v>
      </c>
    </row>
    <row r="104" spans="1:24" x14ac:dyDescent="0.3">
      <c r="A104" s="10">
        <v>99</v>
      </c>
      <c r="B104">
        <f>undergrid!C100*2+undergrid!E100</f>
        <v>3.9359999999999999</v>
      </c>
      <c r="C104">
        <f>undergrid!C100*2</f>
        <v>2.04</v>
      </c>
      <c r="D104">
        <f>undergrid!E100</f>
        <v>1.8959999999999999</v>
      </c>
      <c r="E104" s="11">
        <f>undergrid!G100</f>
        <v>0.08</v>
      </c>
      <c r="F104">
        <f>undergrid!AL100</f>
        <v>20.52459173894368</v>
      </c>
      <c r="G104" s="12">
        <f>undergrid!Q100</f>
        <v>0</v>
      </c>
      <c r="H104" s="12">
        <f t="shared" si="12"/>
        <v>0</v>
      </c>
      <c r="I104" s="12">
        <f t="shared" si="13"/>
        <v>0</v>
      </c>
      <c r="J104" s="12">
        <f>-(undergrid!M100-Graphs!G104)</f>
        <v>-6.3999999999999996E-10</v>
      </c>
      <c r="K104" s="12">
        <f t="shared" si="14"/>
        <v>0</v>
      </c>
      <c r="L104" s="12">
        <f>Costs!AF100+Costs!AG100</f>
        <v>0</v>
      </c>
      <c r="M104" s="12">
        <f>-undergrid!Y100</f>
        <v>0</v>
      </c>
      <c r="N104" s="12">
        <f>undergrid!S100</f>
        <v>0</v>
      </c>
      <c r="O104" s="12">
        <f>IF(undergrid!S100&gt;0.0001,IF(C104-H104&gt;undergrid!S100,undergrid!S100,C104-H104),0)</f>
        <v>0</v>
      </c>
      <c r="P104" s="12">
        <f>undergrid!S100-O104</f>
        <v>0</v>
      </c>
      <c r="Q104" s="12">
        <f>-undergrid!W100</f>
        <v>-22.512250546889319</v>
      </c>
      <c r="R104" s="12">
        <f t="shared" si="15"/>
        <v>22.512250546889319</v>
      </c>
      <c r="S104" s="22">
        <f>IF(undergrid!K100=2,1,0)</f>
        <v>1</v>
      </c>
      <c r="T104" s="12">
        <f>-undergrid!O100*$AD$1</f>
        <v>-15.759162151996495</v>
      </c>
      <c r="U104" s="12">
        <f>undergrid!U100*$AD$2</f>
        <v>0</v>
      </c>
      <c r="V104" s="12">
        <f>undergrid!S100-N104</f>
        <v>0</v>
      </c>
      <c r="W104" s="12">
        <f t="shared" si="16"/>
        <v>3.9359999999999999</v>
      </c>
      <c r="X104" s="13">
        <f>undergrid!AJ100</f>
        <v>0.46586911738943682</v>
      </c>
    </row>
    <row r="105" spans="1:24" x14ac:dyDescent="0.3">
      <c r="A105" s="10">
        <v>100</v>
      </c>
      <c r="B105">
        <f>undergrid!C101*2+undergrid!E101</f>
        <v>5.92</v>
      </c>
      <c r="C105">
        <f>undergrid!C101*2</f>
        <v>3.06</v>
      </c>
      <c r="D105">
        <f>undergrid!E101</f>
        <v>2.86</v>
      </c>
      <c r="E105" s="11">
        <f>undergrid!G101</f>
        <v>0.08</v>
      </c>
      <c r="F105">
        <f>undergrid!AL101</f>
        <v>22.958440000571521</v>
      </c>
      <c r="G105" s="12">
        <f>undergrid!Q101</f>
        <v>0</v>
      </c>
      <c r="H105" s="12">
        <f t="shared" si="12"/>
        <v>0</v>
      </c>
      <c r="I105" s="12">
        <f t="shared" si="13"/>
        <v>0</v>
      </c>
      <c r="J105" s="12">
        <f>-(undergrid!M101-Graphs!G105)</f>
        <v>-6.3999999999999996E-10</v>
      </c>
      <c r="K105" s="12">
        <f t="shared" si="14"/>
        <v>0</v>
      </c>
      <c r="L105" s="12">
        <f>Costs!AF101+Costs!AG101</f>
        <v>0</v>
      </c>
      <c r="M105" s="12">
        <f>-undergrid!Y101</f>
        <v>0</v>
      </c>
      <c r="N105" s="12">
        <f>undergrid!S101</f>
        <v>0</v>
      </c>
      <c r="O105" s="12">
        <f>IF(undergrid!S101&gt;0.0001,IF(C105-H105&gt;undergrid!S101,undergrid!S101,C105-H105),0)</f>
        <v>0</v>
      </c>
      <c r="P105" s="12">
        <f>undergrid!S101-O105</f>
        <v>0</v>
      </c>
      <c r="Q105" s="12">
        <f>-undergrid!W101</f>
        <v>-25</v>
      </c>
      <c r="R105" s="12">
        <f t="shared" si="15"/>
        <v>25</v>
      </c>
      <c r="S105" s="22">
        <f>IF(undergrid!K101=2,1,0)</f>
        <v>1</v>
      </c>
      <c r="T105" s="12">
        <f>-undergrid!O101*$AD$1</f>
        <v>-16.186518000542943</v>
      </c>
      <c r="U105" s="12">
        <f>undergrid!U101*$AD$2</f>
        <v>0</v>
      </c>
      <c r="V105" s="12">
        <f>undergrid!S101-N105</f>
        <v>0</v>
      </c>
      <c r="W105" s="12">
        <f t="shared" si="16"/>
        <v>5.92</v>
      </c>
      <c r="X105" s="13">
        <f>undergrid!AJ101</f>
        <v>0.63622742872457816</v>
      </c>
    </row>
    <row r="106" spans="1:24" x14ac:dyDescent="0.3">
      <c r="A106" s="10">
        <v>101</v>
      </c>
      <c r="B106">
        <f>undergrid!C102*2+undergrid!E102</f>
        <v>3.673</v>
      </c>
      <c r="C106">
        <f>undergrid!C102*2</f>
        <v>1.9</v>
      </c>
      <c r="D106">
        <f>undergrid!E102</f>
        <v>1.7729999999999999</v>
      </c>
      <c r="E106" s="11">
        <f>undergrid!G102</f>
        <v>0.08</v>
      </c>
      <c r="F106">
        <f>undergrid!AL102</f>
        <v>22.718011000571522</v>
      </c>
      <c r="G106" s="12">
        <f>undergrid!Q102</f>
        <v>0</v>
      </c>
      <c r="H106" s="12">
        <f t="shared" si="12"/>
        <v>0</v>
      </c>
      <c r="I106" s="12">
        <f t="shared" si="13"/>
        <v>0</v>
      </c>
      <c r="J106" s="12">
        <f>-(undergrid!M102-Graphs!G106)</f>
        <v>-6.3999999999999996E-10</v>
      </c>
      <c r="K106" s="12">
        <f t="shared" si="14"/>
        <v>0</v>
      </c>
      <c r="L106" s="12">
        <f>Costs!AF102+Costs!AG102</f>
        <v>0</v>
      </c>
      <c r="M106" s="12">
        <f>-undergrid!Y102</f>
        <v>0</v>
      </c>
      <c r="N106" s="12">
        <f>undergrid!S102</f>
        <v>0</v>
      </c>
      <c r="O106" s="12">
        <f>IF(undergrid!S102&gt;0.0001,IF(C106-H106&gt;undergrid!S102,undergrid!S102,C106-H106),0)</f>
        <v>0</v>
      </c>
      <c r="P106" s="12">
        <f>undergrid!S102-O106</f>
        <v>0</v>
      </c>
      <c r="Q106" s="12">
        <f>-undergrid!W102</f>
        <v>-25</v>
      </c>
      <c r="R106" s="12">
        <f t="shared" si="15"/>
        <v>25</v>
      </c>
      <c r="S106" s="22">
        <f>IF(undergrid!K102=2,1,0)</f>
        <v>1</v>
      </c>
      <c r="T106" s="12">
        <f>-undergrid!O102*$AD$1</f>
        <v>-18.092760450542944</v>
      </c>
      <c r="U106" s="12">
        <f>undergrid!U102*$AD$2</f>
        <v>0</v>
      </c>
      <c r="V106" s="12">
        <f>undergrid!S102-N106</f>
        <v>0</v>
      </c>
      <c r="W106" s="12">
        <f t="shared" si="16"/>
        <v>3.673</v>
      </c>
      <c r="X106" s="13">
        <f>undergrid!AJ102</f>
        <v>0.82664190999428488</v>
      </c>
    </row>
    <row r="107" spans="1:24" x14ac:dyDescent="0.3">
      <c r="A107" s="10">
        <v>102</v>
      </c>
      <c r="B107">
        <f>undergrid!C103*2+undergrid!E103</f>
        <v>5.5869999999999997</v>
      </c>
      <c r="C107">
        <f>undergrid!C103*2</f>
        <v>2.9</v>
      </c>
      <c r="D107">
        <f>undergrid!E103</f>
        <v>2.6869999999999998</v>
      </c>
      <c r="E107" s="11">
        <f>undergrid!G103</f>
        <v>0.08</v>
      </c>
      <c r="F107">
        <f>undergrid!AL103</f>
        <v>22.922809000571519</v>
      </c>
      <c r="G107" s="12">
        <f>undergrid!Q103</f>
        <v>0</v>
      </c>
      <c r="H107" s="12">
        <f t="shared" si="12"/>
        <v>0</v>
      </c>
      <c r="I107" s="12">
        <f t="shared" si="13"/>
        <v>0</v>
      </c>
      <c r="J107" s="12">
        <f>-(undergrid!M103-Graphs!G107)</f>
        <v>-6.3999999999999996E-10</v>
      </c>
      <c r="K107" s="12">
        <f t="shared" si="14"/>
        <v>0</v>
      </c>
      <c r="L107" s="12">
        <f>Costs!AF103+Costs!AG103</f>
        <v>0</v>
      </c>
      <c r="M107" s="12">
        <f>-undergrid!Y103</f>
        <v>0</v>
      </c>
      <c r="N107" s="12">
        <f>undergrid!S103</f>
        <v>0</v>
      </c>
      <c r="O107" s="12">
        <f>IF(undergrid!S103&gt;0.0001,IF(C107-H107&gt;undergrid!S103,undergrid!S103,C107-H107),0)</f>
        <v>0</v>
      </c>
      <c r="P107" s="12">
        <f>undergrid!S103-O107</f>
        <v>0</v>
      </c>
      <c r="Q107" s="12">
        <f>-undergrid!W103</f>
        <v>-25</v>
      </c>
      <c r="R107" s="12">
        <f t="shared" si="15"/>
        <v>25</v>
      </c>
      <c r="S107" s="22">
        <f>IF(undergrid!K103=2,1,0)</f>
        <v>1</v>
      </c>
      <c r="T107" s="12">
        <f>-undergrid!O103*$AD$1</f>
        <v>-16.469018550542941</v>
      </c>
      <c r="U107" s="12">
        <f>undergrid!U103*$AD$2</f>
        <v>0</v>
      </c>
      <c r="V107" s="12">
        <f>undergrid!S103-N107</f>
        <v>0</v>
      </c>
      <c r="W107" s="12">
        <f t="shared" si="16"/>
        <v>5.5869999999999997</v>
      </c>
      <c r="X107" s="13">
        <f>undergrid!AJ103</f>
        <v>0.99995370805304029</v>
      </c>
    </row>
    <row r="108" spans="1:24" x14ac:dyDescent="0.3">
      <c r="A108" s="10">
        <v>103</v>
      </c>
      <c r="B108">
        <f>undergrid!C104*2+undergrid!E104</f>
        <v>3.7050000000000001</v>
      </c>
      <c r="C108">
        <f>undergrid!C104*2</f>
        <v>1.92</v>
      </c>
      <c r="D108">
        <f>undergrid!E104</f>
        <v>1.7849999999999999</v>
      </c>
      <c r="E108" s="11">
        <f>undergrid!G104</f>
        <v>0.13</v>
      </c>
      <c r="F108">
        <f>undergrid!AL104</f>
        <v>3.7050000000000001</v>
      </c>
      <c r="G108" s="12">
        <f>undergrid!Q104</f>
        <v>0</v>
      </c>
      <c r="H108" s="12">
        <f t="shared" si="12"/>
        <v>0</v>
      </c>
      <c r="I108" s="12">
        <f t="shared" si="13"/>
        <v>0</v>
      </c>
      <c r="J108" s="12">
        <f>-(undergrid!M104-Graphs!G108)</f>
        <v>-6.3999999999999996E-10</v>
      </c>
      <c r="K108" s="12">
        <f t="shared" si="14"/>
        <v>0</v>
      </c>
      <c r="L108" s="12">
        <f>Costs!AF104+Costs!AG104</f>
        <v>0</v>
      </c>
      <c r="M108" s="12">
        <f>-undergrid!Y104</f>
        <v>0</v>
      </c>
      <c r="N108" s="12">
        <f>undergrid!S104</f>
        <v>0</v>
      </c>
      <c r="O108" s="12">
        <f>IF(undergrid!S104&gt;0.0001,IF(C108-H108&gt;undergrid!S104,undergrid!S104,C108-H108),0)</f>
        <v>0</v>
      </c>
      <c r="P108" s="12">
        <f>undergrid!S104-O108</f>
        <v>0</v>
      </c>
      <c r="Q108" s="12">
        <f>-undergrid!W104</f>
        <v>0</v>
      </c>
      <c r="R108" s="12">
        <f t="shared" si="15"/>
        <v>0</v>
      </c>
      <c r="S108" s="22">
        <f>IF(undergrid!K104=2,1,0)</f>
        <v>1</v>
      </c>
      <c r="T108" s="12">
        <f>-undergrid!O104*$AD$1</f>
        <v>0</v>
      </c>
      <c r="U108" s="12">
        <f>undergrid!U104*$AD$2</f>
        <v>3.7049999993600005</v>
      </c>
      <c r="V108" s="12">
        <f>undergrid!S104-N108</f>
        <v>0</v>
      </c>
      <c r="W108" s="12">
        <f t="shared" si="16"/>
        <v>3.7050000000000001</v>
      </c>
      <c r="X108" s="13">
        <f>undergrid!AJ104</f>
        <v>0.95873104398583398</v>
      </c>
    </row>
    <row r="109" spans="1:24" x14ac:dyDescent="0.3">
      <c r="A109" s="10">
        <v>104</v>
      </c>
      <c r="B109">
        <f>undergrid!C105*2+undergrid!E105</f>
        <v>2.3360000000000003</v>
      </c>
      <c r="C109">
        <f>undergrid!C105*2</f>
        <v>1.06</v>
      </c>
      <c r="D109">
        <f>undergrid!E105</f>
        <v>1.276</v>
      </c>
      <c r="E109" s="11">
        <f>undergrid!G105</f>
        <v>0.13</v>
      </c>
      <c r="F109">
        <f>undergrid!AL105</f>
        <v>2.3360000000000003</v>
      </c>
      <c r="G109" s="12">
        <f>undergrid!Q105</f>
        <v>0</v>
      </c>
      <c r="H109" s="12">
        <f t="shared" si="12"/>
        <v>0</v>
      </c>
      <c r="I109" s="12">
        <f t="shared" si="13"/>
        <v>0</v>
      </c>
      <c r="J109" s="12">
        <f>-(undergrid!M105-Graphs!G109)</f>
        <v>-7.5E-10</v>
      </c>
      <c r="K109" s="12">
        <f t="shared" si="14"/>
        <v>0</v>
      </c>
      <c r="L109" s="12">
        <f>Costs!AF105+Costs!AG105</f>
        <v>0</v>
      </c>
      <c r="M109" s="12">
        <f>-undergrid!Y105</f>
        <v>0</v>
      </c>
      <c r="N109" s="12">
        <f>undergrid!S105</f>
        <v>0</v>
      </c>
      <c r="O109" s="12">
        <f>IF(undergrid!S105&gt;0.0001,IF(C109-H109&gt;undergrid!S105,undergrid!S105,C109-H109),0)</f>
        <v>0</v>
      </c>
      <c r="P109" s="12">
        <f>undergrid!S105-O109</f>
        <v>0</v>
      </c>
      <c r="Q109" s="12">
        <f>-undergrid!W105</f>
        <v>0</v>
      </c>
      <c r="R109" s="12">
        <f t="shared" si="15"/>
        <v>0</v>
      </c>
      <c r="S109" s="22">
        <f>IF(undergrid!K105=2,1,0)</f>
        <v>1</v>
      </c>
      <c r="T109" s="12">
        <f>-undergrid!O105*$AD$1</f>
        <v>0</v>
      </c>
      <c r="U109" s="12">
        <f>undergrid!U105*$AD$2</f>
        <v>2.3359999992500002</v>
      </c>
      <c r="V109" s="12">
        <f>undergrid!S105-N109</f>
        <v>0</v>
      </c>
      <c r="W109" s="12">
        <f t="shared" si="16"/>
        <v>2.3360000000000003</v>
      </c>
      <c r="X109" s="13">
        <f>undergrid!AJ105</f>
        <v>0.93272179950014855</v>
      </c>
    </row>
    <row r="110" spans="1:24" x14ac:dyDescent="0.3">
      <c r="A110" s="10">
        <v>105</v>
      </c>
      <c r="B110">
        <f>undergrid!C106*2+undergrid!E106</f>
        <v>3.6339999999999999</v>
      </c>
      <c r="C110">
        <f>undergrid!C106*2</f>
        <v>1.64</v>
      </c>
      <c r="D110">
        <f>undergrid!E106</f>
        <v>1.994</v>
      </c>
      <c r="E110" s="11">
        <f>undergrid!G106</f>
        <v>0.13</v>
      </c>
      <c r="F110">
        <f>undergrid!AL106</f>
        <v>9.5152979999999996</v>
      </c>
      <c r="G110" s="12">
        <f>undergrid!Q106</f>
        <v>10.220000000000001</v>
      </c>
      <c r="H110" s="12">
        <f t="shared" si="12"/>
        <v>1.64</v>
      </c>
      <c r="I110" s="12">
        <f t="shared" si="13"/>
        <v>8.58</v>
      </c>
      <c r="J110" s="12">
        <f>-(undergrid!M106-Graphs!G110)</f>
        <v>0</v>
      </c>
      <c r="K110" s="12">
        <f t="shared" si="14"/>
        <v>8.58</v>
      </c>
      <c r="L110" s="12">
        <f>Costs!AF106+Costs!AG106</f>
        <v>0</v>
      </c>
      <c r="M110" s="12">
        <f>-undergrid!Y106</f>
        <v>0</v>
      </c>
      <c r="N110" s="12">
        <f>undergrid!S106</f>
        <v>0</v>
      </c>
      <c r="O110" s="12">
        <f>IF(undergrid!S106&gt;0.0001,IF(C110-H110&gt;undergrid!S106,undergrid!S106,C110-H110),0)</f>
        <v>0</v>
      </c>
      <c r="P110" s="12">
        <f>undergrid!S106-O110</f>
        <v>0</v>
      </c>
      <c r="Q110" s="12">
        <f>-undergrid!W106</f>
        <v>0</v>
      </c>
      <c r="R110" s="12">
        <f t="shared" si="15"/>
        <v>0</v>
      </c>
      <c r="S110" s="22">
        <f>IF(undergrid!K106=2,1,0)</f>
        <v>0</v>
      </c>
      <c r="T110" s="12">
        <f>-undergrid!O106*$AD$1</f>
        <v>-5.5872330999999997</v>
      </c>
      <c r="U110" s="12">
        <f>undergrid!U106*$AD$2</f>
        <v>0</v>
      </c>
      <c r="V110" s="12">
        <f>undergrid!S106-N110</f>
        <v>0</v>
      </c>
      <c r="W110" s="12">
        <f t="shared" si="16"/>
        <v>1.994</v>
      </c>
      <c r="X110" s="13">
        <f>undergrid!AJ106</f>
        <v>0.99148254707937666</v>
      </c>
    </row>
    <row r="111" spans="1:24" x14ac:dyDescent="0.3">
      <c r="A111" s="10">
        <v>106</v>
      </c>
      <c r="B111">
        <f>undergrid!C107*2+undergrid!E107</f>
        <v>9.3680000000000003</v>
      </c>
      <c r="C111">
        <f>undergrid!C107*2</f>
        <v>3.04</v>
      </c>
      <c r="D111">
        <f>undergrid!E107</f>
        <v>6.3280000000000003</v>
      </c>
      <c r="E111" s="11">
        <f>undergrid!G107</f>
        <v>0.13</v>
      </c>
      <c r="F111">
        <f>undergrid!AL107</f>
        <v>9.3680000000000003</v>
      </c>
      <c r="G111" s="12">
        <f>undergrid!Q107</f>
        <v>5.77</v>
      </c>
      <c r="H111" s="12">
        <f t="shared" si="12"/>
        <v>3.04</v>
      </c>
      <c r="I111" s="12">
        <f t="shared" si="13"/>
        <v>2.7299999999999995</v>
      </c>
      <c r="J111" s="12">
        <f>-(undergrid!M107-Graphs!G111)</f>
        <v>0</v>
      </c>
      <c r="K111" s="12">
        <f t="shared" si="14"/>
        <v>2.7299999999999995</v>
      </c>
      <c r="L111" s="12">
        <f>Costs!AF107+Costs!AG107</f>
        <v>0</v>
      </c>
      <c r="M111" s="12">
        <f>-undergrid!Y107</f>
        <v>0</v>
      </c>
      <c r="N111" s="12">
        <f>undergrid!S107</f>
        <v>0</v>
      </c>
      <c r="O111" s="12">
        <f>IF(undergrid!S107&gt;0.0001,IF(C111-H111&gt;undergrid!S107,undergrid!S107,C111-H111),0)</f>
        <v>0</v>
      </c>
      <c r="P111" s="12">
        <f>undergrid!S107-O111</f>
        <v>0</v>
      </c>
      <c r="Q111" s="12">
        <f>-undergrid!W107</f>
        <v>0</v>
      </c>
      <c r="R111" s="12">
        <f t="shared" si="15"/>
        <v>0</v>
      </c>
      <c r="S111" s="22">
        <f>IF(undergrid!K107=2,1,0)</f>
        <v>0</v>
      </c>
      <c r="T111" s="12">
        <f>-undergrid!O107*$AD$1</f>
        <v>0</v>
      </c>
      <c r="U111" s="12">
        <f>undergrid!U107*$AD$2</f>
        <v>3.5980000000000008</v>
      </c>
      <c r="V111" s="12">
        <f>undergrid!S107-N111</f>
        <v>0</v>
      </c>
      <c r="W111" s="12">
        <f t="shared" si="16"/>
        <v>6.3280000000000003</v>
      </c>
      <c r="X111" s="13">
        <f>undergrid!AJ107</f>
        <v>0.95144924627896243</v>
      </c>
    </row>
    <row r="112" spans="1:24" x14ac:dyDescent="0.3">
      <c r="A112" s="10">
        <v>107</v>
      </c>
      <c r="B112">
        <f>undergrid!C108*2+undergrid!E108</f>
        <v>11.446</v>
      </c>
      <c r="C112">
        <f>undergrid!C108*2</f>
        <v>5.5</v>
      </c>
      <c r="D112">
        <f>undergrid!E108</f>
        <v>5.9459999999999997</v>
      </c>
      <c r="E112" s="11">
        <f>undergrid!G108</f>
        <v>0.13</v>
      </c>
      <c r="F112">
        <f>undergrid!AL108</f>
        <v>11.446</v>
      </c>
      <c r="G112" s="12">
        <f>undergrid!Q108</f>
        <v>4.68</v>
      </c>
      <c r="H112" s="12">
        <f t="shared" si="12"/>
        <v>4.68</v>
      </c>
      <c r="I112" s="12">
        <f t="shared" si="13"/>
        <v>0</v>
      </c>
      <c r="J112" s="12">
        <f>-(undergrid!M108-Graphs!G112)</f>
        <v>0</v>
      </c>
      <c r="K112" s="12">
        <f t="shared" si="14"/>
        <v>0</v>
      </c>
      <c r="L112" s="12">
        <f>Costs!AF108+Costs!AG108</f>
        <v>0</v>
      </c>
      <c r="M112" s="12">
        <f>-undergrid!Y108</f>
        <v>0</v>
      </c>
      <c r="N112" s="12">
        <f>undergrid!S108</f>
        <v>0</v>
      </c>
      <c r="O112" s="12">
        <f>IF(undergrid!S108&gt;0.0001,IF(C112-H112&gt;undergrid!S108,undergrid!S108,C112-H112),0)</f>
        <v>0</v>
      </c>
      <c r="P112" s="12">
        <f>undergrid!S108-O112</f>
        <v>0</v>
      </c>
      <c r="Q112" s="12">
        <f>-undergrid!W108</f>
        <v>0</v>
      </c>
      <c r="R112" s="12">
        <f t="shared" si="15"/>
        <v>0</v>
      </c>
      <c r="S112" s="22">
        <f>IF(undergrid!K108=2,1,0)</f>
        <v>0</v>
      </c>
      <c r="T112" s="12">
        <f>-undergrid!O108*$AD$1</f>
        <v>0</v>
      </c>
      <c r="U112" s="12">
        <f>undergrid!U108*$AD$2</f>
        <v>6.766</v>
      </c>
      <c r="V112" s="12">
        <f>undergrid!S108-N112</f>
        <v>0</v>
      </c>
      <c r="W112" s="12">
        <f t="shared" si="16"/>
        <v>6.766</v>
      </c>
      <c r="X112" s="13">
        <f>undergrid!AJ108</f>
        <v>0.87621818734339318</v>
      </c>
    </row>
    <row r="113" spans="1:24" x14ac:dyDescent="0.3">
      <c r="A113" s="10">
        <v>108</v>
      </c>
      <c r="B113">
        <f>undergrid!C109*2+undergrid!E109</f>
        <v>10.148</v>
      </c>
      <c r="C113">
        <f>undergrid!C109*2</f>
        <v>4.88</v>
      </c>
      <c r="D113">
        <f>undergrid!E109</f>
        <v>5.2679999999999998</v>
      </c>
      <c r="E113" s="11">
        <f>undergrid!G109</f>
        <v>0.13</v>
      </c>
      <c r="F113">
        <f>undergrid!AL109</f>
        <v>10.148</v>
      </c>
      <c r="G113" s="12">
        <f>undergrid!Q109</f>
        <v>5.47</v>
      </c>
      <c r="H113" s="12">
        <f t="shared" si="12"/>
        <v>4.88</v>
      </c>
      <c r="I113" s="12">
        <f t="shared" si="13"/>
        <v>0.58999999999999986</v>
      </c>
      <c r="J113" s="12">
        <f>-(undergrid!M109-Graphs!G113)</f>
        <v>0</v>
      </c>
      <c r="K113" s="12">
        <f t="shared" si="14"/>
        <v>0.58999999999999986</v>
      </c>
      <c r="L113" s="12">
        <f>Costs!AF109+Costs!AG109</f>
        <v>0</v>
      </c>
      <c r="M113" s="12">
        <f>-undergrid!Y109</f>
        <v>0</v>
      </c>
      <c r="N113" s="12">
        <f>undergrid!S109</f>
        <v>0</v>
      </c>
      <c r="O113" s="12">
        <f>IF(undergrid!S109&gt;0.0001,IF(C113-H113&gt;undergrid!S109,undergrid!S109,C113-H113),0)</f>
        <v>0</v>
      </c>
      <c r="P113" s="12">
        <f>undergrid!S109-O113</f>
        <v>0</v>
      </c>
      <c r="Q113" s="12">
        <f>-undergrid!W109</f>
        <v>0</v>
      </c>
      <c r="R113" s="12">
        <f t="shared" si="15"/>
        <v>0</v>
      </c>
      <c r="S113" s="22">
        <f>IF(undergrid!K109=2,1,0)</f>
        <v>0</v>
      </c>
      <c r="T113" s="12">
        <f>-undergrid!O109*$AD$1</f>
        <v>0</v>
      </c>
      <c r="U113" s="12">
        <f>undergrid!U109*$AD$2</f>
        <v>4.6780000000000008</v>
      </c>
      <c r="V113" s="12">
        <f>undergrid!S109-N113</f>
        <v>0</v>
      </c>
      <c r="W113" s="12">
        <f t="shared" si="16"/>
        <v>5.2679999999999998</v>
      </c>
      <c r="X113" s="13">
        <f>undergrid!AJ109</f>
        <v>0.82419134134712424</v>
      </c>
    </row>
    <row r="114" spans="1:24" x14ac:dyDescent="0.3">
      <c r="A114" s="10">
        <v>109</v>
      </c>
      <c r="B114">
        <f>undergrid!C110*2+undergrid!E110</f>
        <v>4.3600000000000003</v>
      </c>
      <c r="C114">
        <f>undergrid!C110*2</f>
        <v>3.66</v>
      </c>
      <c r="D114">
        <f>undergrid!E110</f>
        <v>0.7</v>
      </c>
      <c r="E114" s="11">
        <f>undergrid!G110</f>
        <v>0.13</v>
      </c>
      <c r="F114">
        <f>undergrid!AL110</f>
        <v>5.8334499999999991</v>
      </c>
      <c r="G114" s="12">
        <f>undergrid!Q110</f>
        <v>6.01</v>
      </c>
      <c r="H114" s="12">
        <f t="shared" si="12"/>
        <v>3.66</v>
      </c>
      <c r="I114" s="12">
        <f t="shared" si="13"/>
        <v>2.3499999999999996</v>
      </c>
      <c r="J114" s="12">
        <f>-(undergrid!M110-Graphs!G114)</f>
        <v>0</v>
      </c>
      <c r="K114" s="12">
        <f t="shared" si="14"/>
        <v>2.3499999999999996</v>
      </c>
      <c r="L114" s="12">
        <f>Costs!AF110+Costs!AG110</f>
        <v>0</v>
      </c>
      <c r="M114" s="12">
        <f>-undergrid!Y110</f>
        <v>0</v>
      </c>
      <c r="N114" s="12">
        <f>undergrid!S110</f>
        <v>0</v>
      </c>
      <c r="O114" s="12">
        <f>IF(undergrid!S110&gt;0.0001,IF(C114-H114&gt;undergrid!S110,undergrid!S110,C114-H114),0)</f>
        <v>0</v>
      </c>
      <c r="P114" s="12">
        <f>undergrid!S110-O114</f>
        <v>0</v>
      </c>
      <c r="Q114" s="12">
        <f>-undergrid!W110</f>
        <v>0</v>
      </c>
      <c r="R114" s="12">
        <f t="shared" si="15"/>
        <v>0</v>
      </c>
      <c r="S114" s="22">
        <f>IF(undergrid!K110=2,1,0)</f>
        <v>0</v>
      </c>
      <c r="T114" s="12">
        <f>-undergrid!O110*$AD$1</f>
        <v>-1.3997774999999992</v>
      </c>
      <c r="U114" s="12">
        <f>undergrid!U110*$AD$2</f>
        <v>0</v>
      </c>
      <c r="V114" s="12">
        <f>undergrid!S110-N114</f>
        <v>0</v>
      </c>
      <c r="W114" s="12">
        <f t="shared" si="16"/>
        <v>0.70000000000000018</v>
      </c>
      <c r="X114" s="13">
        <f>undergrid!AJ110</f>
        <v>0.83887968663200885</v>
      </c>
    </row>
    <row r="115" spans="1:24" x14ac:dyDescent="0.3">
      <c r="A115" s="10">
        <v>110</v>
      </c>
      <c r="B115">
        <f>undergrid!C111*2+undergrid!E111</f>
        <v>13.729000000000001</v>
      </c>
      <c r="C115">
        <f>undergrid!C111*2</f>
        <v>12.3</v>
      </c>
      <c r="D115">
        <f>undergrid!E111</f>
        <v>1.429</v>
      </c>
      <c r="E115" s="11">
        <f>undergrid!G111</f>
        <v>0.13</v>
      </c>
      <c r="F115">
        <f>undergrid!AL111</f>
        <v>15.730212999999999</v>
      </c>
      <c r="G115" s="12">
        <f>undergrid!Q111</f>
        <v>15.97</v>
      </c>
      <c r="H115" s="12">
        <f t="shared" si="12"/>
        <v>12.3</v>
      </c>
      <c r="I115" s="12">
        <f t="shared" si="13"/>
        <v>3.67</v>
      </c>
      <c r="J115" s="12">
        <f>-(undergrid!M111-Graphs!G115)</f>
        <v>0</v>
      </c>
      <c r="K115" s="12">
        <f t="shared" si="14"/>
        <v>3.67</v>
      </c>
      <c r="L115" s="12">
        <f>Costs!AF111+Costs!AG111</f>
        <v>0</v>
      </c>
      <c r="M115" s="12">
        <f>-undergrid!Y111</f>
        <v>0</v>
      </c>
      <c r="N115" s="12">
        <f>undergrid!S111</f>
        <v>0</v>
      </c>
      <c r="O115" s="12">
        <f>IF(undergrid!S111&gt;0.0001,IF(C115-H115&gt;undergrid!S111,undergrid!S111,C115-H115),0)</f>
        <v>0</v>
      </c>
      <c r="P115" s="12">
        <f>undergrid!S111-O115</f>
        <v>0</v>
      </c>
      <c r="Q115" s="12">
        <f>-undergrid!W111</f>
        <v>0</v>
      </c>
      <c r="R115" s="12">
        <f t="shared" si="15"/>
        <v>0</v>
      </c>
      <c r="S115" s="22">
        <f>IF(undergrid!K111=2,1,0)</f>
        <v>0</v>
      </c>
      <c r="T115" s="12">
        <f>-undergrid!O111*$AD$1</f>
        <v>-1.901152349999998</v>
      </c>
      <c r="U115" s="12">
        <f>undergrid!U111*$AD$2</f>
        <v>0</v>
      </c>
      <c r="V115" s="12">
        <f>undergrid!S111-N115</f>
        <v>0</v>
      </c>
      <c r="W115" s="12">
        <f t="shared" si="16"/>
        <v>1.4290000000000003</v>
      </c>
      <c r="X115" s="13">
        <f>undergrid!AJ111</f>
        <v>0.85884483936955736</v>
      </c>
    </row>
    <row r="116" spans="1:24" x14ac:dyDescent="0.3">
      <c r="A116" s="10">
        <v>111</v>
      </c>
      <c r="B116">
        <f>undergrid!C112*2+undergrid!E112</f>
        <v>12.83</v>
      </c>
      <c r="C116">
        <f>undergrid!C112*2</f>
        <v>7.88</v>
      </c>
      <c r="D116">
        <f>undergrid!E112</f>
        <v>4.95</v>
      </c>
      <c r="E116" s="11">
        <f>undergrid!G112</f>
        <v>0.13</v>
      </c>
      <c r="F116">
        <f>undergrid!AL112</f>
        <v>12.83</v>
      </c>
      <c r="G116" s="12">
        <f>undergrid!Q112</f>
        <v>7.89</v>
      </c>
      <c r="H116" s="12">
        <f t="shared" si="12"/>
        <v>7.88</v>
      </c>
      <c r="I116" s="12">
        <f t="shared" si="13"/>
        <v>9.9999999999997868E-3</v>
      </c>
      <c r="J116" s="12">
        <f>-(undergrid!M112-Graphs!G116)</f>
        <v>0</v>
      </c>
      <c r="K116" s="12">
        <f t="shared" si="14"/>
        <v>9.9999999999997868E-3</v>
      </c>
      <c r="L116" s="12">
        <f>Costs!AF112+Costs!AG112</f>
        <v>0</v>
      </c>
      <c r="M116" s="12">
        <f>-undergrid!Y112</f>
        <v>0</v>
      </c>
      <c r="N116" s="12">
        <f>undergrid!S112</f>
        <v>0</v>
      </c>
      <c r="O116" s="12">
        <f>IF(undergrid!S112&gt;0.0001,IF(C116-H116&gt;undergrid!S112,undergrid!S112,C116-H116),0)</f>
        <v>0</v>
      </c>
      <c r="P116" s="12">
        <f>undergrid!S112-O116</f>
        <v>0</v>
      </c>
      <c r="Q116" s="12">
        <f>-undergrid!W112</f>
        <v>0</v>
      </c>
      <c r="R116" s="12">
        <f t="shared" si="15"/>
        <v>0</v>
      </c>
      <c r="S116" s="22">
        <f>IF(undergrid!K112=2,1,0)</f>
        <v>1</v>
      </c>
      <c r="T116" s="12">
        <f>-undergrid!O112*$AD$1</f>
        <v>0</v>
      </c>
      <c r="U116" s="12">
        <f>undergrid!U112*$AD$2</f>
        <v>4.9400000000000004</v>
      </c>
      <c r="V116" s="12">
        <f>undergrid!S112-N116</f>
        <v>0</v>
      </c>
      <c r="W116" s="12">
        <f t="shared" si="16"/>
        <v>4.95</v>
      </c>
      <c r="X116" s="13">
        <f>undergrid!AJ112</f>
        <v>0.80390785516966379</v>
      </c>
    </row>
    <row r="117" spans="1:24" x14ac:dyDescent="0.3">
      <c r="A117" s="10">
        <v>112</v>
      </c>
      <c r="B117">
        <f>undergrid!C113*2+undergrid!E113</f>
        <v>17.301000000000002</v>
      </c>
      <c r="C117">
        <f>undergrid!C113*2</f>
        <v>8.32</v>
      </c>
      <c r="D117">
        <f>undergrid!E113</f>
        <v>8.9809999999999999</v>
      </c>
      <c r="E117" s="11">
        <f>undergrid!G113</f>
        <v>0.13</v>
      </c>
      <c r="F117">
        <f>undergrid!AL113</f>
        <v>17.301000000000002</v>
      </c>
      <c r="G117" s="12">
        <f>undergrid!Q113</f>
        <v>7.55</v>
      </c>
      <c r="H117" s="12">
        <f t="shared" si="12"/>
        <v>7.55</v>
      </c>
      <c r="I117" s="12">
        <f t="shared" si="13"/>
        <v>0</v>
      </c>
      <c r="J117" s="12">
        <f>-(undergrid!M113-Graphs!G117)</f>
        <v>0</v>
      </c>
      <c r="K117" s="12">
        <f t="shared" si="14"/>
        <v>0</v>
      </c>
      <c r="L117" s="12">
        <f>Costs!AF113+Costs!AG113</f>
        <v>0</v>
      </c>
      <c r="M117" s="12">
        <f>-undergrid!Y113</f>
        <v>0</v>
      </c>
      <c r="N117" s="12">
        <f>undergrid!S113</f>
        <v>0</v>
      </c>
      <c r="O117" s="12">
        <f>IF(undergrid!S113&gt;0.0001,IF(C117-H117&gt;undergrid!S113,undergrid!S113,C117-H117),0)</f>
        <v>0</v>
      </c>
      <c r="P117" s="12">
        <f>undergrid!S113-O117</f>
        <v>0</v>
      </c>
      <c r="Q117" s="12">
        <f>-undergrid!W113</f>
        <v>0</v>
      </c>
      <c r="R117" s="12">
        <f t="shared" si="15"/>
        <v>0</v>
      </c>
      <c r="S117" s="22">
        <f>IF(undergrid!K113=2,1,0)</f>
        <v>1</v>
      </c>
      <c r="T117" s="12">
        <f>-undergrid!O113*$AD$1</f>
        <v>0</v>
      </c>
      <c r="U117" s="12">
        <f>undergrid!U113*$AD$2</f>
        <v>9.751000000000003</v>
      </c>
      <c r="V117" s="12">
        <f>undergrid!S113-N117</f>
        <v>0</v>
      </c>
      <c r="W117" s="12">
        <f t="shared" si="16"/>
        <v>9.7510000000000012</v>
      </c>
      <c r="X117" s="13">
        <f>undergrid!AJ113</f>
        <v>0.69551839188532982</v>
      </c>
    </row>
    <row r="118" spans="1:24" x14ac:dyDescent="0.3">
      <c r="A118" s="10">
        <v>113</v>
      </c>
      <c r="B118">
        <f>undergrid!C114*2+undergrid!E114</f>
        <v>8.2769999999999992</v>
      </c>
      <c r="C118">
        <f>undergrid!C114*2</f>
        <v>3.98</v>
      </c>
      <c r="D118">
        <f>undergrid!E114</f>
        <v>4.2969999999999997</v>
      </c>
      <c r="E118" s="11">
        <f>undergrid!G114</f>
        <v>0.13</v>
      </c>
      <c r="F118">
        <f>undergrid!AL114</f>
        <v>8.2769999999999992</v>
      </c>
      <c r="G118" s="12">
        <f>undergrid!Q114</f>
        <v>5.68</v>
      </c>
      <c r="H118" s="12">
        <f t="shared" si="12"/>
        <v>3.98</v>
      </c>
      <c r="I118" s="12">
        <f t="shared" si="13"/>
        <v>1.6999999999999997</v>
      </c>
      <c r="J118" s="12">
        <f>-(undergrid!M114-Graphs!G118)</f>
        <v>0</v>
      </c>
      <c r="K118" s="12">
        <f t="shared" si="14"/>
        <v>1.6999999999999997</v>
      </c>
      <c r="L118" s="12">
        <f>Costs!AF114+Costs!AG114</f>
        <v>0</v>
      </c>
      <c r="M118" s="12">
        <f>-undergrid!Y114</f>
        <v>0</v>
      </c>
      <c r="N118" s="12">
        <f>undergrid!S114</f>
        <v>0</v>
      </c>
      <c r="O118" s="12">
        <f>IF(undergrid!S114&gt;0.0001,IF(C118-H118&gt;undergrid!S114,undergrid!S114,C118-H118),0)</f>
        <v>0</v>
      </c>
      <c r="P118" s="12">
        <f>undergrid!S114-O118</f>
        <v>0</v>
      </c>
      <c r="Q118" s="12">
        <f>-undergrid!W114</f>
        <v>0</v>
      </c>
      <c r="R118" s="12">
        <f t="shared" si="15"/>
        <v>0</v>
      </c>
      <c r="S118" s="22">
        <f>IF(undergrid!K114=2,1,0)</f>
        <v>1</v>
      </c>
      <c r="T118" s="12">
        <f>-undergrid!O114*$AD$1</f>
        <v>0</v>
      </c>
      <c r="U118" s="12">
        <f>undergrid!U114*$AD$2</f>
        <v>2.5969999999999991</v>
      </c>
      <c r="V118" s="12">
        <f>undergrid!S114-N118</f>
        <v>0</v>
      </c>
      <c r="W118" s="12">
        <f t="shared" si="16"/>
        <v>4.2969999999999988</v>
      </c>
      <c r="X118" s="13">
        <f>undergrid!AJ114</f>
        <v>0.66662388729982869</v>
      </c>
    </row>
    <row r="119" spans="1:24" x14ac:dyDescent="0.3">
      <c r="A119" s="10">
        <v>114</v>
      </c>
      <c r="B119">
        <f>undergrid!C115*2+undergrid!E115</f>
        <v>12.975999999999999</v>
      </c>
      <c r="C119">
        <f>undergrid!C115*2</f>
        <v>6.78</v>
      </c>
      <c r="D119">
        <f>undergrid!E115</f>
        <v>6.1959999999999997</v>
      </c>
      <c r="E119" s="11">
        <f>undergrid!G115</f>
        <v>0.13</v>
      </c>
      <c r="F119">
        <f>undergrid!AL115</f>
        <v>12.975999999999999</v>
      </c>
      <c r="G119" s="12">
        <f>undergrid!Q115</f>
        <v>0</v>
      </c>
      <c r="H119" s="12">
        <f t="shared" si="12"/>
        <v>0</v>
      </c>
      <c r="I119" s="12">
        <f t="shared" si="13"/>
        <v>0</v>
      </c>
      <c r="J119" s="12">
        <f>-(undergrid!M115-Graphs!G119)</f>
        <v>-8.0999999999999999E-10</v>
      </c>
      <c r="K119" s="12">
        <f t="shared" si="14"/>
        <v>0</v>
      </c>
      <c r="L119" s="12">
        <f>Costs!AF115+Costs!AG115</f>
        <v>0</v>
      </c>
      <c r="M119" s="12">
        <f>-undergrid!Y115</f>
        <v>0</v>
      </c>
      <c r="N119" s="12">
        <f>undergrid!S115</f>
        <v>0</v>
      </c>
      <c r="O119" s="12">
        <f>IF(undergrid!S115&gt;0.0001,IF(C119-H119&gt;undergrid!S115,undergrid!S115,C119-H119),0)</f>
        <v>0</v>
      </c>
      <c r="P119" s="12">
        <f>undergrid!S115-O119</f>
        <v>0</v>
      </c>
      <c r="Q119" s="12">
        <f>-undergrid!W115</f>
        <v>0</v>
      </c>
      <c r="R119" s="12">
        <f t="shared" si="15"/>
        <v>0</v>
      </c>
      <c r="S119" s="22">
        <f>IF(undergrid!K115=2,1,0)</f>
        <v>1</v>
      </c>
      <c r="T119" s="12">
        <f>-undergrid!O115*$AD$1</f>
        <v>0</v>
      </c>
      <c r="U119" s="12">
        <f>undergrid!U115*$AD$2</f>
        <v>12.97599999919</v>
      </c>
      <c r="V119" s="12">
        <f>undergrid!S115-N119</f>
        <v>0</v>
      </c>
      <c r="W119" s="12">
        <f t="shared" si="16"/>
        <v>12.975999999999999</v>
      </c>
      <c r="X119" s="13">
        <f>undergrid!AJ115</f>
        <v>0.52240877859336221</v>
      </c>
    </row>
    <row r="120" spans="1:24" x14ac:dyDescent="0.3">
      <c r="A120" s="10">
        <v>115</v>
      </c>
      <c r="B120">
        <f>undergrid!C116*2+undergrid!E116</f>
        <v>11.073</v>
      </c>
      <c r="C120">
        <f>undergrid!C116*2</f>
        <v>7.86</v>
      </c>
      <c r="D120">
        <f>undergrid!E116</f>
        <v>3.2130000000000001</v>
      </c>
      <c r="E120" s="11">
        <f>undergrid!G116</f>
        <v>0.13</v>
      </c>
      <c r="F120">
        <f>undergrid!AL116</f>
        <v>11.073</v>
      </c>
      <c r="G120" s="12">
        <f>undergrid!Q116</f>
        <v>0</v>
      </c>
      <c r="H120" s="12">
        <f t="shared" si="12"/>
        <v>0</v>
      </c>
      <c r="I120" s="12">
        <f t="shared" si="13"/>
        <v>0</v>
      </c>
      <c r="J120" s="12">
        <f>-(undergrid!M116-Graphs!G120)</f>
        <v>-6.3999999999999996E-10</v>
      </c>
      <c r="K120" s="12">
        <f t="shared" si="14"/>
        <v>0</v>
      </c>
      <c r="L120" s="12">
        <f>Costs!AF116+Costs!AG116</f>
        <v>0</v>
      </c>
      <c r="M120" s="12">
        <f>-undergrid!Y116</f>
        <v>0</v>
      </c>
      <c r="N120" s="12">
        <f>undergrid!S116</f>
        <v>0</v>
      </c>
      <c r="O120" s="12">
        <f>IF(undergrid!S116&gt;0.0001,IF(C120-H120&gt;undergrid!S116,undergrid!S116,C120-H120),0)</f>
        <v>0</v>
      </c>
      <c r="P120" s="12">
        <f>undergrid!S116-O120</f>
        <v>0</v>
      </c>
      <c r="Q120" s="12">
        <f>-undergrid!W116</f>
        <v>0</v>
      </c>
      <c r="R120" s="12">
        <f t="shared" si="15"/>
        <v>0</v>
      </c>
      <c r="S120" s="22">
        <f>IF(undergrid!K116=2,1,0)</f>
        <v>1</v>
      </c>
      <c r="T120" s="12">
        <f>-undergrid!O116*$AD$1</f>
        <v>0</v>
      </c>
      <c r="U120" s="12">
        <f>undergrid!U116*$AD$2</f>
        <v>11.072999999360002</v>
      </c>
      <c r="V120" s="12">
        <f>undergrid!S116-N120</f>
        <v>0</v>
      </c>
      <c r="W120" s="12">
        <f t="shared" si="16"/>
        <v>11.073</v>
      </c>
      <c r="X120" s="13">
        <f>undergrid!AJ116</f>
        <v>0.3993461903755387</v>
      </c>
    </row>
    <row r="121" spans="1:24" x14ac:dyDescent="0.3">
      <c r="A121" s="10">
        <v>116</v>
      </c>
      <c r="B121">
        <f>undergrid!C117*2+undergrid!E117</f>
        <v>6.9450000000000003</v>
      </c>
      <c r="C121">
        <f>undergrid!C117*2</f>
        <v>4.18</v>
      </c>
      <c r="D121">
        <f>undergrid!E117</f>
        <v>2.7650000000000001</v>
      </c>
      <c r="E121" s="11">
        <f>undergrid!G117</f>
        <v>0.13</v>
      </c>
      <c r="F121">
        <f>undergrid!AL117</f>
        <v>6.9450000000000003</v>
      </c>
      <c r="G121" s="12">
        <f>undergrid!Q117</f>
        <v>0</v>
      </c>
      <c r="H121" s="12">
        <f t="shared" si="12"/>
        <v>0</v>
      </c>
      <c r="I121" s="12">
        <f t="shared" si="13"/>
        <v>0</v>
      </c>
      <c r="J121" s="12">
        <f>-(undergrid!M117-Graphs!G121)</f>
        <v>-6.3999999999999996E-10</v>
      </c>
      <c r="K121" s="12">
        <f t="shared" si="14"/>
        <v>0</v>
      </c>
      <c r="L121" s="12">
        <f>Costs!AF117+Costs!AG117</f>
        <v>0</v>
      </c>
      <c r="M121" s="12">
        <f>-undergrid!Y117</f>
        <v>0</v>
      </c>
      <c r="N121" s="12">
        <f>undergrid!S117</f>
        <v>0</v>
      </c>
      <c r="O121" s="12">
        <f>IF(undergrid!S117&gt;0.0001,IF(C121-H121&gt;undergrid!S117,undergrid!S117,C121-H121),0)</f>
        <v>0</v>
      </c>
      <c r="P121" s="12">
        <f>undergrid!S117-O121</f>
        <v>0</v>
      </c>
      <c r="Q121" s="12">
        <f>-undergrid!W117</f>
        <v>0</v>
      </c>
      <c r="R121" s="12">
        <f t="shared" si="15"/>
        <v>0</v>
      </c>
      <c r="S121" s="22">
        <f>IF(undergrid!K117=2,1,0)</f>
        <v>1</v>
      </c>
      <c r="T121" s="12">
        <f>-undergrid!O117*$AD$1</f>
        <v>0</v>
      </c>
      <c r="U121" s="12">
        <f>undergrid!U117*$AD$2</f>
        <v>6.9449999993600011</v>
      </c>
      <c r="V121" s="12">
        <f>undergrid!S117-N121</f>
        <v>0</v>
      </c>
      <c r="W121" s="12">
        <f t="shared" si="16"/>
        <v>6.9450000000000003</v>
      </c>
      <c r="X121" s="13">
        <f>undergrid!AJ117</f>
        <v>0.32215716032932212</v>
      </c>
    </row>
    <row r="122" spans="1:24" x14ac:dyDescent="0.3">
      <c r="A122" s="10">
        <v>117</v>
      </c>
      <c r="B122">
        <f>undergrid!C118*2+undergrid!E118</f>
        <v>17.516000000000002</v>
      </c>
      <c r="C122">
        <f>undergrid!C118*2</f>
        <v>14.82</v>
      </c>
      <c r="D122">
        <f>undergrid!E118</f>
        <v>2.6960000000000002</v>
      </c>
      <c r="E122" s="11">
        <f>undergrid!G118</f>
        <v>0.13</v>
      </c>
      <c r="F122">
        <f>undergrid!AL118</f>
        <v>17.516000000000002</v>
      </c>
      <c r="G122" s="12">
        <f>undergrid!Q118</f>
        <v>0</v>
      </c>
      <c r="H122" s="12">
        <f t="shared" si="12"/>
        <v>0</v>
      </c>
      <c r="I122" s="12">
        <f t="shared" si="13"/>
        <v>0</v>
      </c>
      <c r="J122" s="12">
        <f>-(undergrid!M118-Graphs!G122)</f>
        <v>-6.3999999999999996E-10</v>
      </c>
      <c r="K122" s="12">
        <f t="shared" si="14"/>
        <v>0</v>
      </c>
      <c r="L122" s="12">
        <f>Costs!AF118+Costs!AG118</f>
        <v>0</v>
      </c>
      <c r="M122" s="12">
        <f>-undergrid!Y118</f>
        <v>0</v>
      </c>
      <c r="N122" s="12">
        <f>undergrid!S118</f>
        <v>0</v>
      </c>
      <c r="O122" s="12">
        <f>IF(undergrid!S118&gt;0.0001,IF(C122-H122&gt;undergrid!S118,undergrid!S118,C122-H122),0)</f>
        <v>0</v>
      </c>
      <c r="P122" s="12">
        <f>undergrid!S118-O122</f>
        <v>0</v>
      </c>
      <c r="Q122" s="12">
        <f>-undergrid!W118</f>
        <v>-15.524991326485805</v>
      </c>
      <c r="R122" s="12">
        <f t="shared" si="15"/>
        <v>15.524991326485805</v>
      </c>
      <c r="S122" s="22">
        <f>IF(undergrid!K118=2,1,0)</f>
        <v>1</v>
      </c>
      <c r="T122" s="12">
        <f>-undergrid!O118*$AD$1</f>
        <v>0</v>
      </c>
      <c r="U122" s="12">
        <f>undergrid!U118*$AD$2</f>
        <v>1.991008672874196</v>
      </c>
      <c r="V122" s="12">
        <f>undergrid!S118-N122</f>
        <v>0</v>
      </c>
      <c r="W122" s="12">
        <f t="shared" si="16"/>
        <v>17.516000000000002</v>
      </c>
      <c r="X122" s="13">
        <f>undergrid!AJ118</f>
        <v>0.30001680094085265</v>
      </c>
    </row>
    <row r="123" spans="1:24" x14ac:dyDescent="0.3">
      <c r="A123" s="10">
        <v>118</v>
      </c>
      <c r="B123">
        <f>undergrid!C119*2+undergrid!E119</f>
        <v>12.48</v>
      </c>
      <c r="C123">
        <f>undergrid!C119*2</f>
        <v>11.18</v>
      </c>
      <c r="D123">
        <f>undergrid!E119</f>
        <v>1.3</v>
      </c>
      <c r="E123" s="11">
        <f>undergrid!G119</f>
        <v>0.13</v>
      </c>
      <c r="F123">
        <f>undergrid!AL119</f>
        <v>12.48</v>
      </c>
      <c r="G123" s="12">
        <f>undergrid!Q119</f>
        <v>0</v>
      </c>
      <c r="H123" s="12">
        <f t="shared" si="12"/>
        <v>0</v>
      </c>
      <c r="I123" s="12">
        <f t="shared" si="13"/>
        <v>0</v>
      </c>
      <c r="J123" s="12">
        <f>-(undergrid!M119-Graphs!G123)</f>
        <v>-6.3999999999999996E-10</v>
      </c>
      <c r="K123" s="12">
        <f t="shared" si="14"/>
        <v>0</v>
      </c>
      <c r="L123" s="12">
        <f>Costs!AF119+Costs!AG119</f>
        <v>0</v>
      </c>
      <c r="M123" s="12">
        <f>-undergrid!Y119</f>
        <v>0</v>
      </c>
      <c r="N123" s="12">
        <f>undergrid!S119</f>
        <v>0</v>
      </c>
      <c r="O123" s="12">
        <f>IF(undergrid!S119&gt;0.0001,IF(C123-H123&gt;undergrid!S119,undergrid!S119,C123-H123),0)</f>
        <v>0</v>
      </c>
      <c r="P123" s="12">
        <f>undergrid!S119-O123</f>
        <v>0</v>
      </c>
      <c r="Q123" s="12">
        <f>-undergrid!W119</f>
        <v>-12.47999999936</v>
      </c>
      <c r="R123" s="12">
        <f t="shared" si="15"/>
        <v>12.47999999936</v>
      </c>
      <c r="S123" s="22">
        <f>IF(undergrid!K119=2,1,0)</f>
        <v>1</v>
      </c>
      <c r="T123" s="12">
        <f>-undergrid!O119*$AD$1</f>
        <v>0</v>
      </c>
      <c r="U123" s="12">
        <f>undergrid!U119*$AD$2</f>
        <v>0</v>
      </c>
      <c r="V123" s="12">
        <f>undergrid!S119-N123</f>
        <v>0</v>
      </c>
      <c r="W123" s="12">
        <f t="shared" si="16"/>
        <v>12.48</v>
      </c>
      <c r="X123" s="13">
        <f>undergrid!AJ119</f>
        <v>0.3</v>
      </c>
    </row>
    <row r="124" spans="1:24" x14ac:dyDescent="0.3">
      <c r="A124" s="10">
        <v>119</v>
      </c>
      <c r="B124">
        <f>undergrid!C120*2+undergrid!E120</f>
        <v>8.4380000000000006</v>
      </c>
      <c r="C124">
        <f>undergrid!C120*2</f>
        <v>6.44</v>
      </c>
      <c r="D124">
        <f>undergrid!E120</f>
        <v>1.998</v>
      </c>
      <c r="E124" s="11">
        <f>undergrid!G120</f>
        <v>0.08</v>
      </c>
      <c r="F124">
        <f>undergrid!AL120</f>
        <v>8.4396799999999974</v>
      </c>
      <c r="G124" s="12">
        <f>undergrid!Q120</f>
        <v>0</v>
      </c>
      <c r="H124" s="12">
        <f t="shared" si="12"/>
        <v>0</v>
      </c>
      <c r="I124" s="12">
        <f t="shared" si="13"/>
        <v>0</v>
      </c>
      <c r="J124" s="12">
        <f>-(undergrid!M120-Graphs!G124)</f>
        <v>-6.3999999999999996E-10</v>
      </c>
      <c r="K124" s="12">
        <f t="shared" si="14"/>
        <v>0</v>
      </c>
      <c r="L124" s="12">
        <f>Costs!AF120+Costs!AG120</f>
        <v>0</v>
      </c>
      <c r="M124" s="12">
        <f>-undergrid!Y120</f>
        <v>0</v>
      </c>
      <c r="N124" s="12">
        <f>undergrid!S120</f>
        <v>0</v>
      </c>
      <c r="O124" s="12">
        <f>IF(undergrid!S120&gt;0.0001,IF(C124-H124&gt;undergrid!S120,undergrid!S120,C124-H124),0)</f>
        <v>0</v>
      </c>
      <c r="P124" s="12">
        <f>undergrid!S120-O124</f>
        <v>0</v>
      </c>
      <c r="Q124" s="12">
        <f>-undergrid!W120</f>
        <v>-8.4398812983521587</v>
      </c>
      <c r="R124" s="12">
        <f t="shared" si="15"/>
        <v>8.4398812983521587</v>
      </c>
      <c r="S124" s="22">
        <f>IF(undergrid!K120=2,1,0)</f>
        <v>1</v>
      </c>
      <c r="T124" s="12">
        <f>-undergrid!O120*$AD$1</f>
        <v>-1.5959999999969553E-3</v>
      </c>
      <c r="U124" s="12">
        <f>undergrid!U120*$AD$2</f>
        <v>0</v>
      </c>
      <c r="V124" s="12">
        <f>undergrid!S120-N124</f>
        <v>0</v>
      </c>
      <c r="W124" s="12">
        <f t="shared" si="16"/>
        <v>8.4380000000000006</v>
      </c>
      <c r="X124" s="13">
        <f>undergrid!AJ120</f>
        <v>0.3</v>
      </c>
    </row>
    <row r="125" spans="1:24" x14ac:dyDescent="0.3">
      <c r="A125" s="10">
        <v>120</v>
      </c>
      <c r="B125">
        <f>undergrid!C121*2+undergrid!E121</f>
        <v>7.6029999999999998</v>
      </c>
      <c r="C125">
        <f>undergrid!C121*2</f>
        <v>5.46</v>
      </c>
      <c r="D125">
        <f>undergrid!E121</f>
        <v>2.1429999999999998</v>
      </c>
      <c r="E125" s="11">
        <f>undergrid!G121</f>
        <v>0.08</v>
      </c>
      <c r="F125">
        <f>undergrid!AL121</f>
        <v>7.6046799999999966</v>
      </c>
      <c r="G125" s="12">
        <f>undergrid!Q121</f>
        <v>0</v>
      </c>
      <c r="H125" s="12">
        <f t="shared" si="12"/>
        <v>0</v>
      </c>
      <c r="I125" s="12">
        <f t="shared" si="13"/>
        <v>0</v>
      </c>
      <c r="J125" s="12">
        <f>-(undergrid!M121-Graphs!G125)</f>
        <v>-6.3999999999999996E-10</v>
      </c>
      <c r="K125" s="12">
        <f t="shared" si="14"/>
        <v>0</v>
      </c>
      <c r="L125" s="12">
        <f>Costs!AF121+Costs!AG121</f>
        <v>0</v>
      </c>
      <c r="M125" s="12">
        <f>-undergrid!Y121</f>
        <v>0</v>
      </c>
      <c r="N125" s="12">
        <f>undergrid!S121</f>
        <v>0</v>
      </c>
      <c r="O125" s="12">
        <f>IF(undergrid!S121&gt;0.0001,IF(C125-H125&gt;undergrid!S121,undergrid!S121,C125-H125),0)</f>
        <v>0</v>
      </c>
      <c r="P125" s="12">
        <f>undergrid!S121-O125</f>
        <v>0</v>
      </c>
      <c r="Q125" s="12">
        <f>-undergrid!W121</f>
        <v>-7.604881298352157</v>
      </c>
      <c r="R125" s="12">
        <f t="shared" si="15"/>
        <v>7.604881298352157</v>
      </c>
      <c r="S125" s="22">
        <f>IF(undergrid!K121=2,1,0)</f>
        <v>1</v>
      </c>
      <c r="T125" s="12">
        <f>-undergrid!O121*$AD$1</f>
        <v>-1.5959999999969553E-3</v>
      </c>
      <c r="U125" s="12">
        <f>undergrid!U121*$AD$2</f>
        <v>0</v>
      </c>
      <c r="V125" s="12">
        <f>undergrid!S121-N125</f>
        <v>0</v>
      </c>
      <c r="W125" s="12">
        <f t="shared" si="16"/>
        <v>7.6029999999999998</v>
      </c>
      <c r="X125" s="13">
        <f>undergrid!AJ121</f>
        <v>0.3</v>
      </c>
    </row>
    <row r="126" spans="1:24" x14ac:dyDescent="0.3">
      <c r="A126" s="10">
        <v>121</v>
      </c>
      <c r="B126">
        <f>undergrid!C122*2+undergrid!E122</f>
        <v>7.0519999999999996</v>
      </c>
      <c r="C126">
        <f>undergrid!C122*2</f>
        <v>4.62</v>
      </c>
      <c r="D126">
        <f>undergrid!E122</f>
        <v>2.4319999999999999</v>
      </c>
      <c r="E126" s="11">
        <f>undergrid!G122</f>
        <v>0.08</v>
      </c>
      <c r="F126">
        <f>undergrid!AL122</f>
        <v>7.0536799999999964</v>
      </c>
      <c r="G126" s="12">
        <f>undergrid!Q122</f>
        <v>0</v>
      </c>
      <c r="H126" s="12">
        <f t="shared" si="12"/>
        <v>0</v>
      </c>
      <c r="I126" s="12">
        <f t="shared" si="13"/>
        <v>0</v>
      </c>
      <c r="J126" s="12">
        <f>-(undergrid!M122-Graphs!G126)</f>
        <v>-6.3999999999999996E-10</v>
      </c>
      <c r="K126" s="12">
        <f t="shared" si="14"/>
        <v>0</v>
      </c>
      <c r="L126" s="12">
        <f>Costs!AF122+Costs!AG122</f>
        <v>0</v>
      </c>
      <c r="M126" s="12">
        <f>-undergrid!Y122</f>
        <v>0</v>
      </c>
      <c r="N126" s="12">
        <f>undergrid!S122</f>
        <v>0</v>
      </c>
      <c r="O126" s="12">
        <f>IF(undergrid!S122&gt;0.0001,IF(C126-H126&gt;undergrid!S122,undergrid!S122,C126-H126),0)</f>
        <v>0</v>
      </c>
      <c r="P126" s="12">
        <f>undergrid!S122-O126</f>
        <v>0</v>
      </c>
      <c r="Q126" s="12">
        <f>-undergrid!W122</f>
        <v>-7.0538812983521568</v>
      </c>
      <c r="R126" s="12">
        <f t="shared" si="15"/>
        <v>7.0538812983521568</v>
      </c>
      <c r="S126" s="22">
        <f>IF(undergrid!K122=2,1,0)</f>
        <v>1</v>
      </c>
      <c r="T126" s="12">
        <f>-undergrid!O122*$AD$1</f>
        <v>-1.5959999999969553E-3</v>
      </c>
      <c r="U126" s="12">
        <f>undergrid!U122*$AD$2</f>
        <v>0</v>
      </c>
      <c r="V126" s="12">
        <f>undergrid!S122-N126</f>
        <v>0</v>
      </c>
      <c r="W126" s="12">
        <f t="shared" si="16"/>
        <v>7.0519999999999996</v>
      </c>
      <c r="X126" s="13">
        <f>undergrid!AJ122</f>
        <v>0.3</v>
      </c>
    </row>
    <row r="127" spans="1:24" x14ac:dyDescent="0.3">
      <c r="A127" s="10">
        <v>122</v>
      </c>
      <c r="B127">
        <f>undergrid!C123*2+undergrid!E123</f>
        <v>4.24</v>
      </c>
      <c r="C127">
        <f>undergrid!C123*2</f>
        <v>2.2000000000000002</v>
      </c>
      <c r="D127">
        <f>undergrid!E123</f>
        <v>2.04</v>
      </c>
      <c r="E127" s="11">
        <f>undergrid!G123</f>
        <v>0.08</v>
      </c>
      <c r="F127">
        <f>undergrid!AL123</f>
        <v>4.241679999999997</v>
      </c>
      <c r="G127" s="12">
        <f>undergrid!Q123</f>
        <v>0</v>
      </c>
      <c r="H127" s="12">
        <f t="shared" si="12"/>
        <v>0</v>
      </c>
      <c r="I127" s="12">
        <f t="shared" si="13"/>
        <v>0</v>
      </c>
      <c r="J127" s="12">
        <f>-(undergrid!M123-Graphs!G127)</f>
        <v>-6.3999999999999996E-10</v>
      </c>
      <c r="K127" s="12">
        <f t="shared" si="14"/>
        <v>0</v>
      </c>
      <c r="L127" s="12">
        <f>Costs!AF123+Costs!AG123</f>
        <v>0</v>
      </c>
      <c r="M127" s="12">
        <f>-undergrid!Y123</f>
        <v>0</v>
      </c>
      <c r="N127" s="12">
        <f>undergrid!S123</f>
        <v>0</v>
      </c>
      <c r="O127" s="12">
        <f>IF(undergrid!S123&gt;0.0001,IF(C127-H127&gt;undergrid!S123,undergrid!S123,C127-H127),0)</f>
        <v>0</v>
      </c>
      <c r="P127" s="12">
        <f>undergrid!S123-O127</f>
        <v>0</v>
      </c>
      <c r="Q127" s="12">
        <f>-undergrid!W123</f>
        <v>-4.2418812983521574</v>
      </c>
      <c r="R127" s="12">
        <f t="shared" si="15"/>
        <v>4.2418812983521574</v>
      </c>
      <c r="S127" s="22">
        <f>IF(undergrid!K123=2,1,0)</f>
        <v>1</v>
      </c>
      <c r="T127" s="12">
        <f>-undergrid!O123*$AD$1</f>
        <v>-1.5959999999969553E-3</v>
      </c>
      <c r="U127" s="12">
        <f>undergrid!U123*$AD$2</f>
        <v>0</v>
      </c>
      <c r="V127" s="12">
        <f>undergrid!S123-N127</f>
        <v>0</v>
      </c>
      <c r="W127" s="12">
        <f t="shared" si="16"/>
        <v>4.24</v>
      </c>
      <c r="X127" s="13">
        <f>undergrid!AJ123</f>
        <v>0.3</v>
      </c>
    </row>
    <row r="128" spans="1:24" x14ac:dyDescent="0.3">
      <c r="A128" s="10">
        <v>123</v>
      </c>
      <c r="B128">
        <f>undergrid!C124*2+undergrid!E124</f>
        <v>4.6579999999999995</v>
      </c>
      <c r="C128">
        <f>undergrid!C124*2</f>
        <v>2.42</v>
      </c>
      <c r="D128">
        <f>undergrid!E124</f>
        <v>2.238</v>
      </c>
      <c r="E128" s="11">
        <f>undergrid!G124</f>
        <v>0.08</v>
      </c>
      <c r="F128">
        <f>undergrid!AL124</f>
        <v>20.95109826421718</v>
      </c>
      <c r="G128" s="12">
        <f>undergrid!Q124</f>
        <v>0</v>
      </c>
      <c r="H128" s="12">
        <f t="shared" si="12"/>
        <v>0</v>
      </c>
      <c r="I128" s="12">
        <f t="shared" si="13"/>
        <v>0</v>
      </c>
      <c r="J128" s="12">
        <f>-(undergrid!M124-Graphs!G128)</f>
        <v>-6.3999999999999996E-10</v>
      </c>
      <c r="K128" s="12">
        <f t="shared" si="14"/>
        <v>0</v>
      </c>
      <c r="L128" s="12">
        <f>Costs!AF124+Costs!AG124</f>
        <v>0</v>
      </c>
      <c r="M128" s="12">
        <f>-undergrid!Y124</f>
        <v>0</v>
      </c>
      <c r="N128" s="12">
        <f>undergrid!S124</f>
        <v>0</v>
      </c>
      <c r="O128" s="12">
        <f>IF(undergrid!S124&gt;0.0001,IF(C128-H128&gt;undergrid!S124,undergrid!S124,C128-H128),0)</f>
        <v>0</v>
      </c>
      <c r="P128" s="12">
        <f>undergrid!S124-O128</f>
        <v>0</v>
      </c>
      <c r="Q128" s="12">
        <f>-undergrid!W124</f>
        <v>-22.903350799155277</v>
      </c>
      <c r="R128" s="12">
        <f t="shared" si="15"/>
        <v>22.903350799155277</v>
      </c>
      <c r="S128" s="22">
        <f>IF(undergrid!K124=2,1,0)</f>
        <v>1</v>
      </c>
      <c r="T128" s="12">
        <f>-undergrid!O124*$AD$1</f>
        <v>-15.478443351006321</v>
      </c>
      <c r="U128" s="12">
        <f>undergrid!U124*$AD$2</f>
        <v>0</v>
      </c>
      <c r="V128" s="12">
        <f>undergrid!S124-N128</f>
        <v>0</v>
      </c>
      <c r="W128" s="12">
        <f t="shared" si="16"/>
        <v>4.6579999999999995</v>
      </c>
      <c r="X128" s="13">
        <f>undergrid!AJ124</f>
        <v>0.46291418264217188</v>
      </c>
    </row>
    <row r="129" spans="1:24" x14ac:dyDescent="0.3">
      <c r="A129" s="10">
        <v>124</v>
      </c>
      <c r="B129">
        <f>undergrid!C125*2+undergrid!E125</f>
        <v>3.468</v>
      </c>
      <c r="C129">
        <f>undergrid!C125*2</f>
        <v>1.8</v>
      </c>
      <c r="D129">
        <f>undergrid!E125</f>
        <v>1.6679999999999999</v>
      </c>
      <c r="E129" s="11">
        <f>undergrid!G125</f>
        <v>0.08</v>
      </c>
      <c r="F129">
        <f>undergrid!AL125</f>
        <v>22.696076000571519</v>
      </c>
      <c r="G129" s="12">
        <f>undergrid!Q125</f>
        <v>0</v>
      </c>
      <c r="H129" s="12">
        <f t="shared" si="12"/>
        <v>0</v>
      </c>
      <c r="I129" s="12">
        <f t="shared" si="13"/>
        <v>0</v>
      </c>
      <c r="J129" s="12">
        <f>-(undergrid!M125-Graphs!G129)</f>
        <v>-6.3999999999999996E-10</v>
      </c>
      <c r="K129" s="12">
        <f t="shared" si="14"/>
        <v>0</v>
      </c>
      <c r="L129" s="12">
        <f>Costs!AF125+Costs!AG125</f>
        <v>0</v>
      </c>
      <c r="M129" s="12">
        <f>-undergrid!Y125</f>
        <v>0</v>
      </c>
      <c r="N129" s="12">
        <f>undergrid!S125</f>
        <v>0</v>
      </c>
      <c r="O129" s="12">
        <f>IF(undergrid!S125&gt;0.0001,IF(C129-H129&gt;undergrid!S125,undergrid!S125,C129-H129),0)</f>
        <v>0</v>
      </c>
      <c r="P129" s="12">
        <f>undergrid!S125-O129</f>
        <v>0</v>
      </c>
      <c r="Q129" s="12">
        <f>-undergrid!W125</f>
        <v>-25</v>
      </c>
      <c r="R129" s="12">
        <f t="shared" si="15"/>
        <v>25</v>
      </c>
      <c r="S129" s="22">
        <f>IF(undergrid!K125=2,1,0)</f>
        <v>1</v>
      </c>
      <c r="T129" s="12">
        <f>-undergrid!O125*$AD$1</f>
        <v>-18.266672200542942</v>
      </c>
      <c r="U129" s="12">
        <f>undergrid!U125*$AD$2</f>
        <v>0</v>
      </c>
      <c r="V129" s="12">
        <f>undergrid!S125-N129</f>
        <v>0</v>
      </c>
      <c r="W129" s="12">
        <f t="shared" si="16"/>
        <v>3.468</v>
      </c>
      <c r="X129" s="13">
        <f>undergrid!AJ125</f>
        <v>0.65516901945365902</v>
      </c>
    </row>
    <row r="130" spans="1:24" x14ac:dyDescent="0.3">
      <c r="A130" s="10">
        <v>125</v>
      </c>
      <c r="B130">
        <f>undergrid!C126*2+undergrid!E126</f>
        <v>6.0969999999999995</v>
      </c>
      <c r="C130">
        <f>undergrid!C126*2</f>
        <v>3.16</v>
      </c>
      <c r="D130">
        <f>undergrid!E126</f>
        <v>2.9369999999999998</v>
      </c>
      <c r="E130" s="11">
        <f>undergrid!G126</f>
        <v>0.08</v>
      </c>
      <c r="F130">
        <f>undergrid!AL126</f>
        <v>22.977379000571517</v>
      </c>
      <c r="G130" s="12">
        <f>undergrid!Q126</f>
        <v>0</v>
      </c>
      <c r="H130" s="12">
        <f t="shared" si="12"/>
        <v>0</v>
      </c>
      <c r="I130" s="12">
        <f t="shared" si="13"/>
        <v>0</v>
      </c>
      <c r="J130" s="12">
        <f>-(undergrid!M126-Graphs!G130)</f>
        <v>-6.3999999999999996E-10</v>
      </c>
      <c r="K130" s="12">
        <f t="shared" si="14"/>
        <v>0</v>
      </c>
      <c r="L130" s="12">
        <f>Costs!AF126+Costs!AG126</f>
        <v>0</v>
      </c>
      <c r="M130" s="12">
        <f>-undergrid!Y126</f>
        <v>0</v>
      </c>
      <c r="N130" s="12">
        <f>undergrid!S126</f>
        <v>0</v>
      </c>
      <c r="O130" s="12">
        <f>IF(undergrid!S126&gt;0.0001,IF(C130-H130&gt;undergrid!S126,undergrid!S126,C130-H130),0)</f>
        <v>0</v>
      </c>
      <c r="P130" s="12">
        <f>undergrid!S126-O130</f>
        <v>0</v>
      </c>
      <c r="Q130" s="12">
        <f>-undergrid!W126</f>
        <v>-25</v>
      </c>
      <c r="R130" s="12">
        <f t="shared" si="15"/>
        <v>25</v>
      </c>
      <c r="S130" s="22">
        <f>IF(undergrid!K126=2,1,0)</f>
        <v>1</v>
      </c>
      <c r="T130" s="12">
        <f>-undergrid!O126*$AD$1</f>
        <v>-16.036360050542942</v>
      </c>
      <c r="U130" s="12">
        <f>undergrid!U126*$AD$2</f>
        <v>0</v>
      </c>
      <c r="V130" s="12">
        <f>undergrid!S126-N130</f>
        <v>0</v>
      </c>
      <c r="W130" s="12">
        <f t="shared" si="16"/>
        <v>6.0969999999999995</v>
      </c>
      <c r="X130" s="13">
        <f>undergrid!AJ126</f>
        <v>0.82393611999428484</v>
      </c>
    </row>
    <row r="131" spans="1:24" x14ac:dyDescent="0.3">
      <c r="A131" s="10">
        <v>126</v>
      </c>
      <c r="B131">
        <f>undergrid!C127*2+undergrid!E127</f>
        <v>5.2840000000000007</v>
      </c>
      <c r="C131">
        <f>undergrid!C127*2</f>
        <v>2.74</v>
      </c>
      <c r="D131">
        <f>undergrid!E127</f>
        <v>2.544</v>
      </c>
      <c r="E131" s="11">
        <f>undergrid!G127</f>
        <v>0.08</v>
      </c>
      <c r="F131">
        <f>undergrid!AL127</f>
        <v>22.890388000571519</v>
      </c>
      <c r="G131" s="12">
        <f>undergrid!Q127</f>
        <v>0</v>
      </c>
      <c r="H131" s="12">
        <f t="shared" si="12"/>
        <v>0</v>
      </c>
      <c r="I131" s="12">
        <f t="shared" si="13"/>
        <v>0</v>
      </c>
      <c r="J131" s="12">
        <f>-(undergrid!M127-Graphs!G131)</f>
        <v>-6.3999999999999996E-10</v>
      </c>
      <c r="K131" s="12">
        <f t="shared" si="14"/>
        <v>0</v>
      </c>
      <c r="L131" s="12">
        <f>Costs!AF127+Costs!AG127</f>
        <v>0</v>
      </c>
      <c r="M131" s="12">
        <f>-undergrid!Y127</f>
        <v>0</v>
      </c>
      <c r="N131" s="12">
        <f>undergrid!S127</f>
        <v>0</v>
      </c>
      <c r="O131" s="12">
        <f>IF(undergrid!S127&gt;0.0001,IF(C131-H131&gt;undergrid!S127,undergrid!S127,C131-H131),0)</f>
        <v>0</v>
      </c>
      <c r="P131" s="12">
        <f>undergrid!S127-O131</f>
        <v>0</v>
      </c>
      <c r="Q131" s="12">
        <f>-undergrid!W127</f>
        <v>-25</v>
      </c>
      <c r="R131" s="12">
        <f t="shared" si="15"/>
        <v>25</v>
      </c>
      <c r="S131" s="22">
        <f>IF(undergrid!K127=2,1,0)</f>
        <v>1</v>
      </c>
      <c r="T131" s="12">
        <f>-undergrid!O127*$AD$1</f>
        <v>-16.726068600542945</v>
      </c>
      <c r="U131" s="12">
        <f>undergrid!U127*$AD$2</f>
        <v>0</v>
      </c>
      <c r="V131" s="12">
        <f>undergrid!S127-N131</f>
        <v>0</v>
      </c>
      <c r="W131" s="12">
        <f t="shared" si="16"/>
        <v>5.2840000000000007</v>
      </c>
      <c r="X131" s="13">
        <f>undergrid!AJ127</f>
        <v>0.99995385957728045</v>
      </c>
    </row>
    <row r="132" spans="1:24" x14ac:dyDescent="0.3">
      <c r="A132" s="10">
        <v>127</v>
      </c>
      <c r="B132">
        <f>undergrid!C128*2+undergrid!E128</f>
        <v>5.0169999999999995</v>
      </c>
      <c r="C132">
        <f>undergrid!C128*2</f>
        <v>2.6</v>
      </c>
      <c r="D132">
        <f>undergrid!E128</f>
        <v>2.4169999999999998</v>
      </c>
      <c r="E132" s="11">
        <f>undergrid!G128</f>
        <v>0.13</v>
      </c>
      <c r="F132">
        <f>undergrid!AL128</f>
        <v>5.0169999999999995</v>
      </c>
      <c r="G132" s="12">
        <f>undergrid!Q128</f>
        <v>0</v>
      </c>
      <c r="H132" s="12">
        <f t="shared" si="12"/>
        <v>0</v>
      </c>
      <c r="I132" s="12">
        <f t="shared" si="13"/>
        <v>0</v>
      </c>
      <c r="J132" s="12">
        <f>-(undergrid!M128-Graphs!G132)</f>
        <v>-6.3999999999999996E-10</v>
      </c>
      <c r="K132" s="12">
        <f t="shared" si="14"/>
        <v>0</v>
      </c>
      <c r="L132" s="12">
        <f>Costs!AF128+Costs!AG128</f>
        <v>0</v>
      </c>
      <c r="M132" s="12">
        <f>-undergrid!Y128</f>
        <v>0</v>
      </c>
      <c r="N132" s="12">
        <f>undergrid!S128</f>
        <v>0</v>
      </c>
      <c r="O132" s="12">
        <f>IF(undergrid!S128&gt;0.0001,IF(C132-H132&gt;undergrid!S128,undergrid!S128,C132-H132),0)</f>
        <v>0</v>
      </c>
      <c r="P132" s="12">
        <f>undergrid!S128-O132</f>
        <v>0</v>
      </c>
      <c r="Q132" s="12">
        <f>-undergrid!W128</f>
        <v>0</v>
      </c>
      <c r="R132" s="12">
        <f t="shared" si="15"/>
        <v>0</v>
      </c>
      <c r="S132" s="22">
        <f>IF(undergrid!K128=2,1,0)</f>
        <v>1</v>
      </c>
      <c r="T132" s="12">
        <f>-undergrid!O128*$AD$1</f>
        <v>0</v>
      </c>
      <c r="U132" s="12">
        <f>undergrid!U128*$AD$2</f>
        <v>5.0169999993600003</v>
      </c>
      <c r="V132" s="12">
        <f>undergrid!S128-N132</f>
        <v>0</v>
      </c>
      <c r="W132" s="12">
        <f t="shared" si="16"/>
        <v>5.0169999999999995</v>
      </c>
      <c r="X132" s="13">
        <f>undergrid!AJ128</f>
        <v>0.94415341772381101</v>
      </c>
    </row>
    <row r="133" spans="1:24" x14ac:dyDescent="0.3">
      <c r="A133" s="10">
        <v>128</v>
      </c>
      <c r="B133">
        <f>undergrid!C129*2+undergrid!E129</f>
        <v>3.0949999999999998</v>
      </c>
      <c r="C133">
        <f>undergrid!C129*2</f>
        <v>1.4</v>
      </c>
      <c r="D133">
        <f>undergrid!E129</f>
        <v>1.6950000000000001</v>
      </c>
      <c r="E133" s="11">
        <f>undergrid!G129</f>
        <v>0.13</v>
      </c>
      <c r="F133">
        <f>undergrid!AL129</f>
        <v>3.0949999999999998</v>
      </c>
      <c r="G133" s="12">
        <f>undergrid!Q129</f>
        <v>0</v>
      </c>
      <c r="H133" s="12">
        <f t="shared" si="12"/>
        <v>0</v>
      </c>
      <c r="I133" s="12">
        <f t="shared" si="13"/>
        <v>0</v>
      </c>
      <c r="J133" s="12">
        <f>-(undergrid!M129-Graphs!G133)</f>
        <v>-5.4999999999999996E-10</v>
      </c>
      <c r="K133" s="12">
        <f t="shared" si="14"/>
        <v>0</v>
      </c>
      <c r="L133" s="12">
        <f>Costs!AF129+Costs!AG129</f>
        <v>0</v>
      </c>
      <c r="M133" s="12">
        <f>-undergrid!Y129</f>
        <v>0</v>
      </c>
      <c r="N133" s="12">
        <f>undergrid!S129</f>
        <v>0</v>
      </c>
      <c r="O133" s="12">
        <f>IF(undergrid!S129&gt;0.0001,IF(C133-H133&gt;undergrid!S129,undergrid!S129,C133-H133),0)</f>
        <v>0</v>
      </c>
      <c r="P133" s="12">
        <f>undergrid!S129-O133</f>
        <v>0</v>
      </c>
      <c r="Q133" s="12">
        <f>-undergrid!W129</f>
        <v>0</v>
      </c>
      <c r="R133" s="12">
        <f t="shared" si="15"/>
        <v>0</v>
      </c>
      <c r="S133" s="22">
        <f>IF(undergrid!K129=2,1,0)</f>
        <v>1</v>
      </c>
      <c r="T133" s="12">
        <f>-undergrid!O129*$AD$1</f>
        <v>0</v>
      </c>
      <c r="U133" s="12">
        <f>undergrid!U129*$AD$2</f>
        <v>3.0949999994499997</v>
      </c>
      <c r="V133" s="12">
        <f>undergrid!S129-N133</f>
        <v>0</v>
      </c>
      <c r="W133" s="12">
        <f t="shared" si="16"/>
        <v>3.0949999999999998</v>
      </c>
      <c r="X133" s="13">
        <f>undergrid!AJ129</f>
        <v>0.90971165624964068</v>
      </c>
    </row>
    <row r="134" spans="1:24" x14ac:dyDescent="0.3">
      <c r="A134" s="10">
        <v>129</v>
      </c>
      <c r="B134">
        <f>undergrid!C130*2+undergrid!E130</f>
        <v>2.62</v>
      </c>
      <c r="C134">
        <f>undergrid!C130*2</f>
        <v>1.18</v>
      </c>
      <c r="D134">
        <f>undergrid!E130</f>
        <v>1.44</v>
      </c>
      <c r="E134" s="11">
        <f>undergrid!G130</f>
        <v>0.13</v>
      </c>
      <c r="F134">
        <f>undergrid!AL130</f>
        <v>2.62</v>
      </c>
      <c r="G134" s="12">
        <f>undergrid!Q130</f>
        <v>0</v>
      </c>
      <c r="H134" s="12">
        <f t="shared" si="12"/>
        <v>0</v>
      </c>
      <c r="I134" s="12">
        <f t="shared" si="13"/>
        <v>0</v>
      </c>
      <c r="J134" s="12">
        <f>-(undergrid!M130-Graphs!G134)</f>
        <v>-8.4999999999999996E-10</v>
      </c>
      <c r="K134" s="12">
        <f t="shared" si="14"/>
        <v>0</v>
      </c>
      <c r="L134" s="12">
        <f>Costs!AF130+Costs!AG130</f>
        <v>0</v>
      </c>
      <c r="M134" s="12">
        <f>-undergrid!Y130</f>
        <v>0</v>
      </c>
      <c r="N134" s="12">
        <f>undergrid!S130</f>
        <v>0</v>
      </c>
      <c r="O134" s="12">
        <f>IF(undergrid!S130&gt;0.0001,IF(C134-H134&gt;undergrid!S130,undergrid!S130,C134-H134),0)</f>
        <v>0</v>
      </c>
      <c r="P134" s="12">
        <f>undergrid!S130-O134</f>
        <v>0</v>
      </c>
      <c r="Q134" s="12">
        <f>-undergrid!W130</f>
        <v>-0.42323416053634372</v>
      </c>
      <c r="R134" s="12">
        <f t="shared" si="15"/>
        <v>0.42323416053634372</v>
      </c>
      <c r="S134" s="22">
        <f>IF(undergrid!K130=2,1,0)</f>
        <v>1</v>
      </c>
      <c r="T134" s="12">
        <f>-undergrid!O130*$AD$1</f>
        <v>0</v>
      </c>
      <c r="U134" s="12">
        <f>undergrid!U130*$AD$2</f>
        <v>2.1967658386136564</v>
      </c>
      <c r="V134" s="12">
        <f>undergrid!S130-N134</f>
        <v>0</v>
      </c>
      <c r="W134" s="12">
        <f t="shared" si="16"/>
        <v>2.62</v>
      </c>
      <c r="X134" s="13">
        <f>undergrid!AJ130</f>
        <v>0.88525220307896135</v>
      </c>
    </row>
    <row r="135" spans="1:24" x14ac:dyDescent="0.3">
      <c r="A135" s="10">
        <v>130</v>
      </c>
      <c r="B135">
        <f>undergrid!C131*2+undergrid!E131</f>
        <v>7.3319999999999999</v>
      </c>
      <c r="C135">
        <f>undergrid!C131*2</f>
        <v>2.38</v>
      </c>
      <c r="D135">
        <f>undergrid!E131</f>
        <v>4.952</v>
      </c>
      <c r="E135" s="11">
        <f>undergrid!G131</f>
        <v>0.13</v>
      </c>
      <c r="F135">
        <f>undergrid!AL131</f>
        <v>7.3319999999999999</v>
      </c>
      <c r="G135" s="12">
        <f>undergrid!Q131</f>
        <v>0</v>
      </c>
      <c r="H135" s="12">
        <f t="shared" ref="H135:H173" si="17">IF(G135&gt;C135,C135,G135)</f>
        <v>0</v>
      </c>
      <c r="I135" s="12">
        <f t="shared" ref="I135:I173" si="18">G135-H135</f>
        <v>0</v>
      </c>
      <c r="J135" s="12">
        <f>-(undergrid!M131-Graphs!G135)</f>
        <v>-7.2E-10</v>
      </c>
      <c r="K135" s="12">
        <f t="shared" ref="K135:K173" si="19">G135-H135</f>
        <v>0</v>
      </c>
      <c r="L135" s="12">
        <f>Costs!AF131+Costs!AG131</f>
        <v>0</v>
      </c>
      <c r="M135" s="12">
        <f>-undergrid!Y131</f>
        <v>0</v>
      </c>
      <c r="N135" s="12">
        <f>undergrid!S131</f>
        <v>0</v>
      </c>
      <c r="O135" s="12">
        <f>IF(undergrid!S131&gt;0.0001,IF(C135-H135&gt;undergrid!S131,undergrid!S131,C135-H135),0)</f>
        <v>0</v>
      </c>
      <c r="P135" s="12">
        <f>undergrid!S131-O135</f>
        <v>0</v>
      </c>
      <c r="Q135" s="12">
        <f>-undergrid!W131</f>
        <v>-7.3319999992799998</v>
      </c>
      <c r="R135" s="12">
        <f t="shared" ref="R135:R173" si="20">-Q135</f>
        <v>7.3319999992799998</v>
      </c>
      <c r="S135" s="22">
        <f>IF(undergrid!K131=2,1,0)</f>
        <v>1</v>
      </c>
      <c r="T135" s="12">
        <f>-undergrid!O131*$AD$1</f>
        <v>0</v>
      </c>
      <c r="U135" s="12">
        <f>undergrid!U131*$AD$2</f>
        <v>0</v>
      </c>
      <c r="V135" s="12">
        <f>undergrid!S131-N135</f>
        <v>0</v>
      </c>
      <c r="W135" s="12">
        <f t="shared" ref="W135:W173" si="21">IF((H135)&lt;B135-N135,B135-N135-H135,0)</f>
        <v>7.3319999999999999</v>
      </c>
      <c r="X135" s="13">
        <f>undergrid!AJ131</f>
        <v>0.88520262895558899</v>
      </c>
    </row>
    <row r="136" spans="1:24" x14ac:dyDescent="0.3">
      <c r="A136" s="10">
        <v>131</v>
      </c>
      <c r="B136">
        <f>undergrid!C132*2+undergrid!E132</f>
        <v>12.55</v>
      </c>
      <c r="C136">
        <f>undergrid!C132*2</f>
        <v>6.04</v>
      </c>
      <c r="D136">
        <f>undergrid!E132</f>
        <v>6.51</v>
      </c>
      <c r="E136" s="11">
        <f>undergrid!G132</f>
        <v>0.13</v>
      </c>
      <c r="F136">
        <f>undergrid!AL132</f>
        <v>12.55</v>
      </c>
      <c r="G136" s="12">
        <f>undergrid!Q132</f>
        <v>4.9800000000000004</v>
      </c>
      <c r="H136" s="12">
        <f t="shared" si="17"/>
        <v>4.9800000000000004</v>
      </c>
      <c r="I136" s="12">
        <f t="shared" si="18"/>
        <v>0</v>
      </c>
      <c r="J136" s="12">
        <f>-(undergrid!M132-Graphs!G136)</f>
        <v>0</v>
      </c>
      <c r="K136" s="12">
        <f t="shared" si="19"/>
        <v>0</v>
      </c>
      <c r="L136" s="12">
        <f>Costs!AF132+Costs!AG132</f>
        <v>0</v>
      </c>
      <c r="M136" s="12">
        <f>-undergrid!Y132</f>
        <v>0</v>
      </c>
      <c r="N136" s="12">
        <f>undergrid!S132</f>
        <v>0</v>
      </c>
      <c r="O136" s="12">
        <f>IF(undergrid!S132&gt;0.0001,IF(C136-H136&gt;undergrid!S132,undergrid!S132,C136-H136),0)</f>
        <v>0</v>
      </c>
      <c r="P136" s="12">
        <f>undergrid!S132-O136</f>
        <v>0</v>
      </c>
      <c r="Q136" s="12">
        <f>-undergrid!W132</f>
        <v>0</v>
      </c>
      <c r="R136" s="12">
        <f t="shared" si="20"/>
        <v>0</v>
      </c>
      <c r="S136" s="22">
        <f>IF(undergrid!K132=2,1,0)</f>
        <v>0</v>
      </c>
      <c r="T136" s="12">
        <f>-undergrid!O132*$AD$1</f>
        <v>0</v>
      </c>
      <c r="U136" s="12">
        <f>undergrid!U132*$AD$2</f>
        <v>7.57</v>
      </c>
      <c r="V136" s="12">
        <f>undergrid!S132-N136</f>
        <v>0</v>
      </c>
      <c r="W136" s="12">
        <f t="shared" si="21"/>
        <v>7.57</v>
      </c>
      <c r="X136" s="13">
        <f>undergrid!AJ132</f>
        <v>0.80104194649725646</v>
      </c>
    </row>
    <row r="137" spans="1:24" x14ac:dyDescent="0.3">
      <c r="A137" s="10">
        <v>132</v>
      </c>
      <c r="B137">
        <f>undergrid!C133*2+undergrid!E133</f>
        <v>9.3879999999999999</v>
      </c>
      <c r="C137">
        <f>undergrid!C133*2</f>
        <v>4.5199999999999996</v>
      </c>
      <c r="D137">
        <f>undergrid!E133</f>
        <v>4.8680000000000003</v>
      </c>
      <c r="E137" s="11">
        <f>undergrid!G133</f>
        <v>0.13</v>
      </c>
      <c r="F137">
        <f>undergrid!AL133</f>
        <v>9.3879999999999999</v>
      </c>
      <c r="G137" s="12">
        <f>undergrid!Q133</f>
        <v>4.91</v>
      </c>
      <c r="H137" s="12">
        <f t="shared" si="17"/>
        <v>4.5199999999999996</v>
      </c>
      <c r="I137" s="12">
        <f t="shared" si="18"/>
        <v>0.39000000000000057</v>
      </c>
      <c r="J137" s="12">
        <f>-(undergrid!M133-Graphs!G137)</f>
        <v>0</v>
      </c>
      <c r="K137" s="12">
        <f t="shared" si="19"/>
        <v>0.39000000000000057</v>
      </c>
      <c r="L137" s="12">
        <f>Costs!AF133+Costs!AG133</f>
        <v>0</v>
      </c>
      <c r="M137" s="12">
        <f>-undergrid!Y133</f>
        <v>0</v>
      </c>
      <c r="N137" s="12">
        <f>undergrid!S133</f>
        <v>0</v>
      </c>
      <c r="O137" s="12">
        <f>IF(undergrid!S133&gt;0.0001,IF(C137-H137&gt;undergrid!S133,undergrid!S133,C137-H137),0)</f>
        <v>0</v>
      </c>
      <c r="P137" s="12">
        <f>undergrid!S133-O137</f>
        <v>0</v>
      </c>
      <c r="Q137" s="12">
        <f>-undergrid!W133</f>
        <v>0</v>
      </c>
      <c r="R137" s="12">
        <f t="shared" si="20"/>
        <v>0</v>
      </c>
      <c r="S137" s="22">
        <f>IF(undergrid!K133=2,1,0)</f>
        <v>0</v>
      </c>
      <c r="T137" s="12">
        <f>-undergrid!O133*$AD$1</f>
        <v>0</v>
      </c>
      <c r="U137" s="12">
        <f>undergrid!U133*$AD$2</f>
        <v>4.4779999999999998</v>
      </c>
      <c r="V137" s="12">
        <f>undergrid!S133-N137</f>
        <v>0</v>
      </c>
      <c r="W137" s="12">
        <f t="shared" si="21"/>
        <v>4.8680000000000003</v>
      </c>
      <c r="X137" s="13">
        <f>undergrid!AJ133</f>
        <v>0.75124153259269699</v>
      </c>
    </row>
    <row r="138" spans="1:24" x14ac:dyDescent="0.3">
      <c r="A138" s="10">
        <v>133</v>
      </c>
      <c r="B138">
        <f>undergrid!C134*2+undergrid!E134</f>
        <v>4.766</v>
      </c>
      <c r="C138">
        <f>undergrid!C134*2</f>
        <v>4</v>
      </c>
      <c r="D138">
        <f>undergrid!E134</f>
        <v>0.76600000000000001</v>
      </c>
      <c r="E138" s="11">
        <f>undergrid!G134</f>
        <v>0.13</v>
      </c>
      <c r="F138">
        <f>undergrid!AL134</f>
        <v>6.2876719999999997</v>
      </c>
      <c r="G138" s="12">
        <f>undergrid!Q134</f>
        <v>6.47</v>
      </c>
      <c r="H138" s="12">
        <f t="shared" si="17"/>
        <v>4</v>
      </c>
      <c r="I138" s="12">
        <f t="shared" si="18"/>
        <v>2.4699999999999998</v>
      </c>
      <c r="J138" s="12">
        <f>-(undergrid!M134-Graphs!G138)</f>
        <v>0</v>
      </c>
      <c r="K138" s="12">
        <f t="shared" si="19"/>
        <v>2.4699999999999998</v>
      </c>
      <c r="L138" s="12">
        <f>Costs!AF134+Costs!AG134</f>
        <v>0</v>
      </c>
      <c r="M138" s="12">
        <f>-undergrid!Y134</f>
        <v>0</v>
      </c>
      <c r="N138" s="12">
        <f>undergrid!S134</f>
        <v>0</v>
      </c>
      <c r="O138" s="12">
        <f>IF(undergrid!S134&gt;0.0001,IF(C138-H138&gt;undergrid!S134,undergrid!S134,C138-H138),0)</f>
        <v>0</v>
      </c>
      <c r="P138" s="12">
        <f>undergrid!S134-O138</f>
        <v>0</v>
      </c>
      <c r="Q138" s="12">
        <f>-undergrid!W134</f>
        <v>0</v>
      </c>
      <c r="R138" s="12">
        <f t="shared" si="20"/>
        <v>0</v>
      </c>
      <c r="S138" s="22">
        <f>IF(undergrid!K134=2,1,0)</f>
        <v>0</v>
      </c>
      <c r="T138" s="12">
        <f>-undergrid!O134*$AD$1</f>
        <v>-1.4455883999999997</v>
      </c>
      <c r="U138" s="12">
        <f>undergrid!U134*$AD$2</f>
        <v>0</v>
      </c>
      <c r="V138" s="12">
        <f>undergrid!S134-N138</f>
        <v>0</v>
      </c>
      <c r="W138" s="12">
        <f t="shared" si="21"/>
        <v>0.76600000000000001</v>
      </c>
      <c r="X138" s="13">
        <f>undergrid!AJ134</f>
        <v>0.76641618306687187</v>
      </c>
    </row>
    <row r="139" spans="1:24" x14ac:dyDescent="0.3">
      <c r="A139" s="10">
        <v>134</v>
      </c>
      <c r="B139">
        <f>undergrid!C135*2+undergrid!E135</f>
        <v>12.054</v>
      </c>
      <c r="C139">
        <f>undergrid!C135*2</f>
        <v>10.8</v>
      </c>
      <c r="D139">
        <f>undergrid!E135</f>
        <v>1.254</v>
      </c>
      <c r="E139" s="11">
        <f>undergrid!G135</f>
        <v>0.13</v>
      </c>
      <c r="F139">
        <f>undergrid!AL135</f>
        <v>12.054</v>
      </c>
      <c r="G139" s="12">
        <f>undergrid!Q135</f>
        <v>10.87</v>
      </c>
      <c r="H139" s="12">
        <f t="shared" si="17"/>
        <v>10.8</v>
      </c>
      <c r="I139" s="12">
        <f t="shared" si="18"/>
        <v>6.9999999999998508E-2</v>
      </c>
      <c r="J139" s="12">
        <f>-(undergrid!M135-Graphs!G139)</f>
        <v>0</v>
      </c>
      <c r="K139" s="12">
        <f t="shared" si="19"/>
        <v>6.9999999999998508E-2</v>
      </c>
      <c r="L139" s="12">
        <f>Costs!AF135+Costs!AG135</f>
        <v>0</v>
      </c>
      <c r="M139" s="12">
        <f>-undergrid!Y135</f>
        <v>0</v>
      </c>
      <c r="N139" s="12">
        <f>undergrid!S135</f>
        <v>0</v>
      </c>
      <c r="O139" s="12">
        <f>IF(undergrid!S135&gt;0.0001,IF(C139-H139&gt;undergrid!S135,undergrid!S135,C139-H139),0)</f>
        <v>0</v>
      </c>
      <c r="P139" s="12">
        <f>undergrid!S135-O139</f>
        <v>0</v>
      </c>
      <c r="Q139" s="12">
        <f>-undergrid!W135</f>
        <v>0</v>
      </c>
      <c r="R139" s="12">
        <f t="shared" si="20"/>
        <v>0</v>
      </c>
      <c r="S139" s="22">
        <f>IF(undergrid!K135=2,1,0)</f>
        <v>0</v>
      </c>
      <c r="T139" s="12">
        <f>-undergrid!O135*$AD$1</f>
        <v>0</v>
      </c>
      <c r="U139" s="12">
        <f>undergrid!U135*$AD$2</f>
        <v>1.1840000000000013</v>
      </c>
      <c r="V139" s="12">
        <f>undergrid!S135-N139</f>
        <v>0</v>
      </c>
      <c r="W139" s="12">
        <f t="shared" si="21"/>
        <v>1.2539999999999996</v>
      </c>
      <c r="X139" s="13">
        <f>undergrid!AJ135</f>
        <v>0.75321770820506462</v>
      </c>
    </row>
    <row r="140" spans="1:24" x14ac:dyDescent="0.3">
      <c r="A140" s="10">
        <v>135</v>
      </c>
      <c r="B140">
        <f>undergrid!C136*2+undergrid!E136</f>
        <v>14.384</v>
      </c>
      <c r="C140">
        <f>undergrid!C136*2</f>
        <v>8.84</v>
      </c>
      <c r="D140">
        <f>undergrid!E136</f>
        <v>5.5439999999999996</v>
      </c>
      <c r="E140" s="11">
        <f>undergrid!G136</f>
        <v>0.13</v>
      </c>
      <c r="F140">
        <f>undergrid!AL136</f>
        <v>14.384</v>
      </c>
      <c r="G140" s="12">
        <f>undergrid!Q136</f>
        <v>4.5199999999999996</v>
      </c>
      <c r="H140" s="12">
        <f t="shared" si="17"/>
        <v>4.5199999999999996</v>
      </c>
      <c r="I140" s="12">
        <f t="shared" si="18"/>
        <v>0</v>
      </c>
      <c r="J140" s="12">
        <f>-(undergrid!M136-Graphs!G140)</f>
        <v>0</v>
      </c>
      <c r="K140" s="12">
        <f t="shared" si="19"/>
        <v>0</v>
      </c>
      <c r="L140" s="12">
        <f>Costs!AF136+Costs!AG136</f>
        <v>0</v>
      </c>
      <c r="M140" s="12">
        <f>-undergrid!Y136</f>
        <v>0</v>
      </c>
      <c r="N140" s="12">
        <f>undergrid!S136</f>
        <v>0</v>
      </c>
      <c r="O140" s="12">
        <f>IF(undergrid!S136&gt;0.0001,IF(C140-H140&gt;undergrid!S136,undergrid!S136,C140-H140),0)</f>
        <v>0</v>
      </c>
      <c r="P140" s="12">
        <f>undergrid!S136-O140</f>
        <v>0</v>
      </c>
      <c r="Q140" s="12">
        <f>-undergrid!W136</f>
        <v>0</v>
      </c>
      <c r="R140" s="12">
        <f t="shared" si="20"/>
        <v>0</v>
      </c>
      <c r="S140" s="22">
        <f>IF(undergrid!K136=2,1,0)</f>
        <v>0</v>
      </c>
      <c r="T140" s="12">
        <f>-undergrid!O136*$AD$1</f>
        <v>0</v>
      </c>
      <c r="U140" s="12">
        <f>undergrid!U136*$AD$2</f>
        <v>9.8640000000000008</v>
      </c>
      <c r="V140" s="12">
        <f>undergrid!S136-N140</f>
        <v>0</v>
      </c>
      <c r="W140" s="12">
        <f t="shared" si="21"/>
        <v>9.8640000000000008</v>
      </c>
      <c r="X140" s="13">
        <f>undergrid!AJ136</f>
        <v>0.64357552801340501</v>
      </c>
    </row>
    <row r="141" spans="1:24" x14ac:dyDescent="0.3">
      <c r="A141" s="10">
        <v>136</v>
      </c>
      <c r="B141">
        <f>undergrid!C137*2+undergrid!E137</f>
        <v>15.272</v>
      </c>
      <c r="C141">
        <f>undergrid!C137*2</f>
        <v>7.34</v>
      </c>
      <c r="D141">
        <f>undergrid!E137</f>
        <v>7.9320000000000004</v>
      </c>
      <c r="E141" s="11">
        <f>undergrid!G137</f>
        <v>0.13</v>
      </c>
      <c r="F141">
        <f>undergrid!AL137</f>
        <v>15.272</v>
      </c>
      <c r="G141" s="12">
        <f>undergrid!Q137</f>
        <v>7.59</v>
      </c>
      <c r="H141" s="12">
        <f t="shared" si="17"/>
        <v>7.34</v>
      </c>
      <c r="I141" s="12">
        <f t="shared" si="18"/>
        <v>0.25</v>
      </c>
      <c r="J141" s="12">
        <f>-(undergrid!M137-Graphs!G141)</f>
        <v>0</v>
      </c>
      <c r="K141" s="12">
        <f t="shared" si="19"/>
        <v>0.25</v>
      </c>
      <c r="L141" s="12">
        <f>Costs!AF137+Costs!AG137</f>
        <v>0</v>
      </c>
      <c r="M141" s="12">
        <f>-undergrid!Y137</f>
        <v>0</v>
      </c>
      <c r="N141" s="12">
        <f>undergrid!S137</f>
        <v>0</v>
      </c>
      <c r="O141" s="12">
        <f>IF(undergrid!S137&gt;0.0001,IF(C141-H141&gt;undergrid!S137,undergrid!S137,C141-H141),0)</f>
        <v>0</v>
      </c>
      <c r="P141" s="12">
        <f>undergrid!S137-O141</f>
        <v>0</v>
      </c>
      <c r="Q141" s="12">
        <f>-undergrid!W137</f>
        <v>-7.6820000000000004</v>
      </c>
      <c r="R141" s="12">
        <f t="shared" si="20"/>
        <v>7.6820000000000004</v>
      </c>
      <c r="S141" s="22">
        <f>IF(undergrid!K137=2,1,0)</f>
        <v>1</v>
      </c>
      <c r="T141" s="12">
        <f>-undergrid!O137*$AD$1</f>
        <v>0</v>
      </c>
      <c r="U141" s="12">
        <f>undergrid!U137*$AD$2</f>
        <v>0</v>
      </c>
      <c r="V141" s="12">
        <f>undergrid!S137-N141</f>
        <v>0</v>
      </c>
      <c r="W141" s="12">
        <f t="shared" si="21"/>
        <v>7.9320000000000004</v>
      </c>
      <c r="X141" s="13">
        <f>undergrid!AJ137</f>
        <v>0.64353948778383629</v>
      </c>
    </row>
    <row r="142" spans="1:24" x14ac:dyDescent="0.3">
      <c r="A142" s="10">
        <v>137</v>
      </c>
      <c r="B142">
        <f>undergrid!C138*2+undergrid!E138</f>
        <v>11.612</v>
      </c>
      <c r="C142">
        <f>undergrid!C138*2</f>
        <v>5.58</v>
      </c>
      <c r="D142">
        <f>undergrid!E138</f>
        <v>6.032</v>
      </c>
      <c r="E142" s="11">
        <f>undergrid!G138</f>
        <v>0.13</v>
      </c>
      <c r="F142">
        <f>undergrid!AL138</f>
        <v>11.612</v>
      </c>
      <c r="G142" s="12">
        <f>undergrid!Q138</f>
        <v>0</v>
      </c>
      <c r="H142" s="12">
        <f t="shared" si="17"/>
        <v>0</v>
      </c>
      <c r="I142" s="12">
        <f t="shared" si="18"/>
        <v>0</v>
      </c>
      <c r="J142" s="12">
        <f>-(undergrid!M138-Graphs!G142)</f>
        <v>-6.2000000000000003E-10</v>
      </c>
      <c r="K142" s="12">
        <f t="shared" si="19"/>
        <v>0</v>
      </c>
      <c r="L142" s="12">
        <f>Costs!AF138+Costs!AG138</f>
        <v>0</v>
      </c>
      <c r="M142" s="12">
        <f>-undergrid!Y138</f>
        <v>0</v>
      </c>
      <c r="N142" s="12">
        <f>undergrid!S138</f>
        <v>0</v>
      </c>
      <c r="O142" s="12">
        <f>IF(undergrid!S138&gt;0.0001,IF(C142-H142&gt;undergrid!S138,undergrid!S138,C142-H142),0)</f>
        <v>0</v>
      </c>
      <c r="P142" s="12">
        <f>undergrid!S138-O142</f>
        <v>0</v>
      </c>
      <c r="Q142" s="12">
        <f>-undergrid!W138</f>
        <v>-11.61199999938</v>
      </c>
      <c r="R142" s="12">
        <f t="shared" si="20"/>
        <v>11.61199999938</v>
      </c>
      <c r="S142" s="22">
        <f>IF(undergrid!K138=2,1,0)</f>
        <v>1</v>
      </c>
      <c r="T142" s="12">
        <f>-undergrid!O138*$AD$1</f>
        <v>0</v>
      </c>
      <c r="U142" s="12">
        <f>undergrid!U138*$AD$2</f>
        <v>0</v>
      </c>
      <c r="V142" s="12">
        <f>undergrid!S138-N142</f>
        <v>0</v>
      </c>
      <c r="W142" s="12">
        <f t="shared" si="21"/>
        <v>11.612</v>
      </c>
      <c r="X142" s="13">
        <f>undergrid!AJ138</f>
        <v>0.64350344957252037</v>
      </c>
    </row>
    <row r="143" spans="1:24" x14ac:dyDescent="0.3">
      <c r="A143" s="10">
        <v>138</v>
      </c>
      <c r="B143">
        <f>undergrid!C139*2+undergrid!E139</f>
        <v>14.047000000000001</v>
      </c>
      <c r="C143">
        <f>undergrid!C139*2</f>
        <v>7.34</v>
      </c>
      <c r="D143">
        <f>undergrid!E139</f>
        <v>6.7069999999999999</v>
      </c>
      <c r="E143" s="11">
        <f>undergrid!G139</f>
        <v>0.13</v>
      </c>
      <c r="F143">
        <f>undergrid!AL139</f>
        <v>14.047000000000001</v>
      </c>
      <c r="G143" s="12">
        <f>undergrid!Q139</f>
        <v>0</v>
      </c>
      <c r="H143" s="12">
        <f t="shared" si="17"/>
        <v>0</v>
      </c>
      <c r="I143" s="12">
        <f t="shared" si="18"/>
        <v>0</v>
      </c>
      <c r="J143" s="12">
        <f>-(undergrid!M139-Graphs!G143)</f>
        <v>-7.5999999999999996E-10</v>
      </c>
      <c r="K143" s="12">
        <f t="shared" si="19"/>
        <v>0</v>
      </c>
      <c r="L143" s="12">
        <f>Costs!AF139+Costs!AG139</f>
        <v>0</v>
      </c>
      <c r="M143" s="12">
        <f>-undergrid!Y139</f>
        <v>0</v>
      </c>
      <c r="N143" s="12">
        <f>undergrid!S139</f>
        <v>0</v>
      </c>
      <c r="O143" s="12">
        <f>IF(undergrid!S139&gt;0.0001,IF(C143-H143&gt;undergrid!S139,undergrid!S139,C143-H143),0)</f>
        <v>0</v>
      </c>
      <c r="P143" s="12">
        <f>undergrid!S139-O143</f>
        <v>0</v>
      </c>
      <c r="Q143" s="12">
        <f>-undergrid!W139</f>
        <v>-14.046999999240001</v>
      </c>
      <c r="R143" s="12">
        <f t="shared" si="20"/>
        <v>14.046999999240001</v>
      </c>
      <c r="S143" s="22">
        <f>IF(undergrid!K139=2,1,0)</f>
        <v>1</v>
      </c>
      <c r="T143" s="12">
        <f>-undergrid!O139*$AD$1</f>
        <v>0</v>
      </c>
      <c r="U143" s="12">
        <f>undergrid!U139*$AD$2</f>
        <v>0</v>
      </c>
      <c r="V143" s="12">
        <f>undergrid!S139-N143</f>
        <v>0</v>
      </c>
      <c r="W143" s="12">
        <f t="shared" si="21"/>
        <v>14.047000000000001</v>
      </c>
      <c r="X143" s="13">
        <f>undergrid!AJ139</f>
        <v>0.64346741337934432</v>
      </c>
    </row>
    <row r="144" spans="1:24" x14ac:dyDescent="0.3">
      <c r="A144" s="10">
        <v>139</v>
      </c>
      <c r="B144">
        <f>undergrid!C140*2+undergrid!E140</f>
        <v>9.2360000000000007</v>
      </c>
      <c r="C144">
        <f>undergrid!C140*2</f>
        <v>6.56</v>
      </c>
      <c r="D144">
        <f>undergrid!E140</f>
        <v>2.6760000000000002</v>
      </c>
      <c r="E144" s="11">
        <f>undergrid!G140</f>
        <v>0.13</v>
      </c>
      <c r="F144">
        <f>undergrid!AL140</f>
        <v>9.2360000000000007</v>
      </c>
      <c r="G144" s="12">
        <f>undergrid!Q140</f>
        <v>0</v>
      </c>
      <c r="H144" s="12">
        <f t="shared" si="17"/>
        <v>0</v>
      </c>
      <c r="I144" s="12">
        <f t="shared" si="18"/>
        <v>0</v>
      </c>
      <c r="J144" s="12">
        <f>-(undergrid!M140-Graphs!G144)</f>
        <v>-6.3999999999999996E-10</v>
      </c>
      <c r="K144" s="12">
        <f t="shared" si="19"/>
        <v>0</v>
      </c>
      <c r="L144" s="12">
        <f>Costs!AF140+Costs!AG140</f>
        <v>0</v>
      </c>
      <c r="M144" s="12">
        <f>-undergrid!Y140</f>
        <v>0</v>
      </c>
      <c r="N144" s="12">
        <f>undergrid!S140</f>
        <v>0</v>
      </c>
      <c r="O144" s="12">
        <f>IF(undergrid!S140&gt;0.0001,IF(C144-H144&gt;undergrid!S140,undergrid!S140,C144-H144),0)</f>
        <v>0</v>
      </c>
      <c r="P144" s="12">
        <f>undergrid!S140-O144</f>
        <v>0</v>
      </c>
      <c r="Q144" s="12">
        <f>-undergrid!W140</f>
        <v>-9.2359999993600006</v>
      </c>
      <c r="R144" s="12">
        <f t="shared" si="20"/>
        <v>9.2359999993600006</v>
      </c>
      <c r="S144" s="22">
        <f>IF(undergrid!K140=2,1,0)</f>
        <v>1</v>
      </c>
      <c r="T144" s="12">
        <f>-undergrid!O140*$AD$1</f>
        <v>0</v>
      </c>
      <c r="U144" s="12">
        <f>undergrid!U140*$AD$2</f>
        <v>0</v>
      </c>
      <c r="V144" s="12">
        <f>undergrid!S140-N144</f>
        <v>0</v>
      </c>
      <c r="W144" s="12">
        <f t="shared" si="21"/>
        <v>9.2360000000000007</v>
      </c>
      <c r="X144" s="13">
        <f>undergrid!AJ140</f>
        <v>0.64343137920419513</v>
      </c>
    </row>
    <row r="145" spans="1:24" x14ac:dyDescent="0.3">
      <c r="A145" s="10">
        <v>140</v>
      </c>
      <c r="B145">
        <f>undergrid!C141*2+undergrid!E141</f>
        <v>7.4180000000000001</v>
      </c>
      <c r="C145">
        <f>undergrid!C141*2</f>
        <v>4.46</v>
      </c>
      <c r="D145">
        <f>undergrid!E141</f>
        <v>2.9580000000000002</v>
      </c>
      <c r="E145" s="11">
        <f>undergrid!G141</f>
        <v>0.13</v>
      </c>
      <c r="F145">
        <f>undergrid!AL141</f>
        <v>7.4180000000000001</v>
      </c>
      <c r="G145" s="12">
        <f>undergrid!Q141</f>
        <v>0</v>
      </c>
      <c r="H145" s="12">
        <f t="shared" si="17"/>
        <v>0</v>
      </c>
      <c r="I145" s="12">
        <f t="shared" si="18"/>
        <v>0</v>
      </c>
      <c r="J145" s="12">
        <f>-(undergrid!M141-Graphs!G145)</f>
        <v>-6.3999999999999996E-10</v>
      </c>
      <c r="K145" s="12">
        <f t="shared" si="19"/>
        <v>0</v>
      </c>
      <c r="L145" s="12">
        <f>Costs!AF141+Costs!AG141</f>
        <v>0</v>
      </c>
      <c r="M145" s="12">
        <f>-undergrid!Y141</f>
        <v>0</v>
      </c>
      <c r="N145" s="12">
        <f>undergrid!S141</f>
        <v>0</v>
      </c>
      <c r="O145" s="12">
        <f>IF(undergrid!S141&gt;0.0001,IF(C145-H145&gt;undergrid!S141,undergrid!S141,C145-H145),0)</f>
        <v>0</v>
      </c>
      <c r="P145" s="12">
        <f>undergrid!S141-O145</f>
        <v>0</v>
      </c>
      <c r="Q145" s="12">
        <f>-undergrid!W141</f>
        <v>-7.4179999993600001</v>
      </c>
      <c r="R145" s="12">
        <f t="shared" si="20"/>
        <v>7.4179999993600001</v>
      </c>
      <c r="S145" s="22">
        <f>IF(undergrid!K141=2,1,0)</f>
        <v>1</v>
      </c>
      <c r="T145" s="12">
        <f>-undergrid!O141*$AD$1</f>
        <v>0</v>
      </c>
      <c r="U145" s="12">
        <f>undergrid!U141*$AD$2</f>
        <v>0</v>
      </c>
      <c r="V145" s="12">
        <f>undergrid!S141-N145</f>
        <v>0</v>
      </c>
      <c r="W145" s="12">
        <f t="shared" si="21"/>
        <v>7.4180000000000001</v>
      </c>
      <c r="X145" s="13">
        <f>undergrid!AJ141</f>
        <v>0.64339534704695966</v>
      </c>
    </row>
    <row r="146" spans="1:24" x14ac:dyDescent="0.3">
      <c r="A146" s="10">
        <v>141</v>
      </c>
      <c r="B146">
        <f>undergrid!C142*2+undergrid!E142</f>
        <v>16.143000000000001</v>
      </c>
      <c r="C146">
        <f>undergrid!C142*2</f>
        <v>13.66</v>
      </c>
      <c r="D146">
        <f>undergrid!E142</f>
        <v>2.4830000000000001</v>
      </c>
      <c r="E146" s="11">
        <f>undergrid!G142</f>
        <v>0.13</v>
      </c>
      <c r="F146">
        <f>undergrid!AL142</f>
        <v>16.143000000000001</v>
      </c>
      <c r="G146" s="12">
        <f>undergrid!Q142</f>
        <v>0</v>
      </c>
      <c r="H146" s="12">
        <f t="shared" si="17"/>
        <v>0</v>
      </c>
      <c r="I146" s="12">
        <f t="shared" si="18"/>
        <v>0</v>
      </c>
      <c r="J146" s="12">
        <f>-(undergrid!M142-Graphs!G146)</f>
        <v>-6.3999999999999996E-10</v>
      </c>
      <c r="K146" s="12">
        <f t="shared" si="19"/>
        <v>0</v>
      </c>
      <c r="L146" s="12">
        <f>Costs!AF142+Costs!AG142</f>
        <v>0</v>
      </c>
      <c r="M146" s="12">
        <f>-undergrid!Y142</f>
        <v>0</v>
      </c>
      <c r="N146" s="12">
        <f>undergrid!S142</f>
        <v>0</v>
      </c>
      <c r="O146" s="12">
        <f>IF(undergrid!S142&gt;0.0001,IF(C146-H146&gt;undergrid!S142,undergrid!S142,C146-H146),0)</f>
        <v>0</v>
      </c>
      <c r="P146" s="12">
        <f>undergrid!S142-O146</f>
        <v>0</v>
      </c>
      <c r="Q146" s="12">
        <f>-undergrid!W142</f>
        <v>0</v>
      </c>
      <c r="R146" s="12">
        <f t="shared" si="20"/>
        <v>0</v>
      </c>
      <c r="S146" s="22">
        <f>IF(undergrid!K142=2,1,0)</f>
        <v>0</v>
      </c>
      <c r="T146" s="12">
        <f>-undergrid!O142*$AD$1</f>
        <v>0</v>
      </c>
      <c r="U146" s="12">
        <f>undergrid!U142*$AD$2</f>
        <v>16.142999999360001</v>
      </c>
      <c r="V146" s="12">
        <f>undergrid!S142-N146</f>
        <v>0</v>
      </c>
      <c r="W146" s="12">
        <f t="shared" si="21"/>
        <v>16.143000000000001</v>
      </c>
      <c r="X146" s="13">
        <f>undergrid!AJ142</f>
        <v>0.46399265024796948</v>
      </c>
    </row>
    <row r="147" spans="1:24" x14ac:dyDescent="0.3">
      <c r="A147" s="10">
        <v>142</v>
      </c>
      <c r="B147">
        <f>undergrid!C143*2+undergrid!E143</f>
        <v>14.757000000000001</v>
      </c>
      <c r="C147">
        <f>undergrid!C143*2</f>
        <v>13.22</v>
      </c>
      <c r="D147">
        <f>undergrid!E143</f>
        <v>1.5369999999999999</v>
      </c>
      <c r="E147" s="11">
        <f>undergrid!G143</f>
        <v>0.13</v>
      </c>
      <c r="F147">
        <f>undergrid!AL143</f>
        <v>14.757000000000001</v>
      </c>
      <c r="G147" s="12">
        <f>undergrid!Q143</f>
        <v>0</v>
      </c>
      <c r="H147" s="12">
        <f t="shared" si="17"/>
        <v>0</v>
      </c>
      <c r="I147" s="12">
        <f t="shared" si="18"/>
        <v>0</v>
      </c>
      <c r="J147" s="12">
        <f>-(undergrid!M143-Graphs!G147)</f>
        <v>-6.3999999999999996E-10</v>
      </c>
      <c r="K147" s="12">
        <f t="shared" si="19"/>
        <v>0</v>
      </c>
      <c r="L147" s="12">
        <f>Costs!AF143+Costs!AG143</f>
        <v>0</v>
      </c>
      <c r="M147" s="12">
        <f>-undergrid!Y143</f>
        <v>0</v>
      </c>
      <c r="N147" s="12">
        <f>undergrid!S143</f>
        <v>0</v>
      </c>
      <c r="O147" s="12">
        <f>IF(undergrid!S143&gt;0.0001,IF(C147-H147&gt;undergrid!S143,undergrid!S143,C147-H147),0)</f>
        <v>0</v>
      </c>
      <c r="P147" s="12">
        <f>undergrid!S143-O147</f>
        <v>0</v>
      </c>
      <c r="Q147" s="12">
        <f>-undergrid!W143</f>
        <v>0</v>
      </c>
      <c r="R147" s="12">
        <f t="shared" si="20"/>
        <v>0</v>
      </c>
      <c r="S147" s="22">
        <f>IF(undergrid!K143=2,1,0)</f>
        <v>0</v>
      </c>
      <c r="T147" s="12">
        <f>-undergrid!O143*$AD$1</f>
        <v>0</v>
      </c>
      <c r="U147" s="12">
        <f>undergrid!U143*$AD$2</f>
        <v>14.756999999360001</v>
      </c>
      <c r="V147" s="12">
        <f>undergrid!S143-N147</f>
        <v>0</v>
      </c>
      <c r="W147" s="12">
        <f t="shared" si="21"/>
        <v>14.757000000000001</v>
      </c>
      <c r="X147" s="13">
        <f>undergrid!AJ143</f>
        <v>0.3</v>
      </c>
    </row>
    <row r="148" spans="1:24" x14ac:dyDescent="0.3">
      <c r="A148" s="10">
        <v>143</v>
      </c>
      <c r="B148">
        <f>undergrid!C144*2+undergrid!E144</f>
        <v>9.7159999999999993</v>
      </c>
      <c r="C148">
        <f>undergrid!C144*2</f>
        <v>7.42</v>
      </c>
      <c r="D148">
        <f>undergrid!E144</f>
        <v>2.2959999999999998</v>
      </c>
      <c r="E148" s="11">
        <f>undergrid!G144</f>
        <v>0.08</v>
      </c>
      <c r="F148">
        <f>undergrid!AL144</f>
        <v>9.7176799999999961</v>
      </c>
      <c r="G148" s="12">
        <f>undergrid!Q144</f>
        <v>0</v>
      </c>
      <c r="H148" s="12">
        <f t="shared" si="17"/>
        <v>0</v>
      </c>
      <c r="I148" s="12">
        <f t="shared" si="18"/>
        <v>0</v>
      </c>
      <c r="J148" s="12">
        <f>-(undergrid!M144-Graphs!G148)</f>
        <v>-6.3999999999999996E-10</v>
      </c>
      <c r="K148" s="12">
        <f t="shared" si="19"/>
        <v>0</v>
      </c>
      <c r="L148" s="12">
        <f>Costs!AF144+Costs!AG144</f>
        <v>0</v>
      </c>
      <c r="M148" s="12">
        <f>-undergrid!Y144</f>
        <v>0</v>
      </c>
      <c r="N148" s="12">
        <f>undergrid!S144</f>
        <v>0</v>
      </c>
      <c r="O148" s="12">
        <f>IF(undergrid!S144&gt;0.0001,IF(C148-H148&gt;undergrid!S144,undergrid!S144,C148-H148),0)</f>
        <v>0</v>
      </c>
      <c r="P148" s="12">
        <f>undergrid!S144-O148</f>
        <v>0</v>
      </c>
      <c r="Q148" s="12">
        <f>-undergrid!W144</f>
        <v>-9.7178812983521574</v>
      </c>
      <c r="R148" s="12">
        <f t="shared" si="20"/>
        <v>9.7178812983521574</v>
      </c>
      <c r="S148" s="22">
        <f>IF(undergrid!K144=2,1,0)</f>
        <v>1</v>
      </c>
      <c r="T148" s="12">
        <f>-undergrid!O144*$AD$1</f>
        <v>-1.5959999999969553E-3</v>
      </c>
      <c r="U148" s="12">
        <f>undergrid!U144*$AD$2</f>
        <v>0</v>
      </c>
      <c r="V148" s="12">
        <f>undergrid!S144-N148</f>
        <v>0</v>
      </c>
      <c r="W148" s="12">
        <f t="shared" si="21"/>
        <v>9.7159999999999993</v>
      </c>
      <c r="X148" s="13">
        <f>undergrid!AJ144</f>
        <v>0.3</v>
      </c>
    </row>
    <row r="149" spans="1:24" x14ac:dyDescent="0.3">
      <c r="A149" s="10">
        <v>144</v>
      </c>
      <c r="B149">
        <f>undergrid!C145*2+undergrid!E145</f>
        <v>6.5419999999999998</v>
      </c>
      <c r="C149">
        <f>undergrid!C145*2</f>
        <v>4.7</v>
      </c>
      <c r="D149">
        <f>undergrid!E145</f>
        <v>1.8420000000000001</v>
      </c>
      <c r="E149" s="11">
        <f>undergrid!G145</f>
        <v>0.08</v>
      </c>
      <c r="F149">
        <f>undergrid!AL145</f>
        <v>6.5436799999999966</v>
      </c>
      <c r="G149" s="12">
        <f>undergrid!Q145</f>
        <v>0</v>
      </c>
      <c r="H149" s="12">
        <f t="shared" si="17"/>
        <v>0</v>
      </c>
      <c r="I149" s="12">
        <f t="shared" si="18"/>
        <v>0</v>
      </c>
      <c r="J149" s="12">
        <f>-(undergrid!M145-Graphs!G149)</f>
        <v>-6.3999999999999996E-10</v>
      </c>
      <c r="K149" s="12">
        <f t="shared" si="19"/>
        <v>0</v>
      </c>
      <c r="L149" s="12">
        <f>Costs!AF145+Costs!AG145</f>
        <v>0</v>
      </c>
      <c r="M149" s="12">
        <f>-undergrid!Y145</f>
        <v>0</v>
      </c>
      <c r="N149" s="12">
        <f>undergrid!S145</f>
        <v>0</v>
      </c>
      <c r="O149" s="12">
        <f>IF(undergrid!S145&gt;0.0001,IF(C149-H149&gt;undergrid!S145,undergrid!S145,C149-H149),0)</f>
        <v>0</v>
      </c>
      <c r="P149" s="12">
        <f>undergrid!S145-O149</f>
        <v>0</v>
      </c>
      <c r="Q149" s="12">
        <f>-undergrid!W145</f>
        <v>-6.543881298352157</v>
      </c>
      <c r="R149" s="12">
        <f t="shared" si="20"/>
        <v>6.543881298352157</v>
      </c>
      <c r="S149" s="22">
        <f>IF(undergrid!K145=2,1,0)</f>
        <v>1</v>
      </c>
      <c r="T149" s="12">
        <f>-undergrid!O145*$AD$1</f>
        <v>-1.5959999999969553E-3</v>
      </c>
      <c r="U149" s="12">
        <f>undergrid!U145*$AD$2</f>
        <v>0</v>
      </c>
      <c r="V149" s="12">
        <f>undergrid!S145-N149</f>
        <v>0</v>
      </c>
      <c r="W149" s="12">
        <f t="shared" si="21"/>
        <v>6.5419999999999998</v>
      </c>
      <c r="X149" s="13">
        <f>undergrid!AJ145</f>
        <v>0.3</v>
      </c>
    </row>
    <row r="150" spans="1:24" x14ac:dyDescent="0.3">
      <c r="A150" s="10">
        <v>145</v>
      </c>
      <c r="B150">
        <f>undergrid!C146*2+undergrid!E146</f>
        <v>4.4239999999999995</v>
      </c>
      <c r="C150">
        <f>undergrid!C146*2</f>
        <v>2.9</v>
      </c>
      <c r="D150">
        <f>undergrid!E146</f>
        <v>1.524</v>
      </c>
      <c r="E150" s="11">
        <f>undergrid!G146</f>
        <v>0.08</v>
      </c>
      <c r="F150">
        <f>undergrid!AL146</f>
        <v>4.4256799999999963</v>
      </c>
      <c r="G150" s="12">
        <f>undergrid!Q146</f>
        <v>0</v>
      </c>
      <c r="H150" s="12">
        <f t="shared" si="17"/>
        <v>0</v>
      </c>
      <c r="I150" s="12">
        <f t="shared" si="18"/>
        <v>0</v>
      </c>
      <c r="J150" s="12">
        <f>-(undergrid!M146-Graphs!G150)</f>
        <v>-6.3999999999999996E-10</v>
      </c>
      <c r="K150" s="12">
        <f t="shared" si="19"/>
        <v>0</v>
      </c>
      <c r="L150" s="12">
        <f>Costs!AF146+Costs!AG146</f>
        <v>0</v>
      </c>
      <c r="M150" s="12">
        <f>-undergrid!Y146</f>
        <v>0</v>
      </c>
      <c r="N150" s="12">
        <f>undergrid!S146</f>
        <v>0</v>
      </c>
      <c r="O150" s="12">
        <f>IF(undergrid!S146&gt;0.0001,IF(C150-H150&gt;undergrid!S146,undergrid!S146,C150-H150),0)</f>
        <v>0</v>
      </c>
      <c r="P150" s="12">
        <f>undergrid!S146-O150</f>
        <v>0</v>
      </c>
      <c r="Q150" s="12">
        <f>-undergrid!W146</f>
        <v>-4.4258812983521567</v>
      </c>
      <c r="R150" s="12">
        <f t="shared" si="20"/>
        <v>4.4258812983521567</v>
      </c>
      <c r="S150" s="22">
        <f>IF(undergrid!K146=2,1,0)</f>
        <v>1</v>
      </c>
      <c r="T150" s="12">
        <f>-undergrid!O146*$AD$1</f>
        <v>-1.5959999999969553E-3</v>
      </c>
      <c r="U150" s="12">
        <f>undergrid!U146*$AD$2</f>
        <v>0</v>
      </c>
      <c r="V150" s="12">
        <f>undergrid!S146-N150</f>
        <v>0</v>
      </c>
      <c r="W150" s="12">
        <f t="shared" si="21"/>
        <v>4.4239999999999995</v>
      </c>
      <c r="X150" s="13">
        <f>undergrid!AJ146</f>
        <v>0.3</v>
      </c>
    </row>
    <row r="151" spans="1:24" x14ac:dyDescent="0.3">
      <c r="A151" s="10">
        <v>146</v>
      </c>
      <c r="B151">
        <f>undergrid!C147*2+undergrid!E147</f>
        <v>3.6639999999999997</v>
      </c>
      <c r="C151">
        <f>undergrid!C147*2</f>
        <v>1.9</v>
      </c>
      <c r="D151">
        <f>undergrid!E147</f>
        <v>1.764</v>
      </c>
      <c r="E151" s="11">
        <f>undergrid!G147</f>
        <v>0.08</v>
      </c>
      <c r="F151">
        <f>undergrid!AL147</f>
        <v>3.6656799999999965</v>
      </c>
      <c r="G151" s="12">
        <f>undergrid!Q147</f>
        <v>0</v>
      </c>
      <c r="H151" s="12">
        <f t="shared" si="17"/>
        <v>0</v>
      </c>
      <c r="I151" s="12">
        <f t="shared" si="18"/>
        <v>0</v>
      </c>
      <c r="J151" s="12">
        <f>-(undergrid!M147-Graphs!G151)</f>
        <v>-6.3999999999999996E-10</v>
      </c>
      <c r="K151" s="12">
        <f t="shared" si="19"/>
        <v>0</v>
      </c>
      <c r="L151" s="12">
        <f>Costs!AF147+Costs!AG147</f>
        <v>0</v>
      </c>
      <c r="M151" s="12">
        <f>-undergrid!Y147</f>
        <v>0</v>
      </c>
      <c r="N151" s="12">
        <f>undergrid!S147</f>
        <v>0</v>
      </c>
      <c r="O151" s="12">
        <f>IF(undergrid!S147&gt;0.0001,IF(C151-H151&gt;undergrid!S147,undergrid!S147,C151-H151),0)</f>
        <v>0</v>
      </c>
      <c r="P151" s="12">
        <f>undergrid!S147-O151</f>
        <v>0</v>
      </c>
      <c r="Q151" s="12">
        <f>-undergrid!W147</f>
        <v>-3.6658812983521574</v>
      </c>
      <c r="R151" s="12">
        <f t="shared" si="20"/>
        <v>3.6658812983521574</v>
      </c>
      <c r="S151" s="22">
        <f>IF(undergrid!K147=2,1,0)</f>
        <v>1</v>
      </c>
      <c r="T151" s="12">
        <f>-undergrid!O147*$AD$1</f>
        <v>-1.5959999999969553E-3</v>
      </c>
      <c r="U151" s="12">
        <f>undergrid!U147*$AD$2</f>
        <v>0</v>
      </c>
      <c r="V151" s="12">
        <f>undergrid!S147-N151</f>
        <v>0</v>
      </c>
      <c r="W151" s="12">
        <f t="shared" si="21"/>
        <v>3.6639999999999997</v>
      </c>
      <c r="X151" s="13">
        <f>undergrid!AJ147</f>
        <v>0.3</v>
      </c>
    </row>
    <row r="152" spans="1:24" x14ac:dyDescent="0.3">
      <c r="A152" s="10">
        <v>147</v>
      </c>
      <c r="B152">
        <f>undergrid!C148*2+undergrid!E148</f>
        <v>5.1260000000000003</v>
      </c>
      <c r="C152">
        <f>undergrid!C148*2</f>
        <v>2.66</v>
      </c>
      <c r="D152">
        <f>undergrid!E148</f>
        <v>2.4660000000000002</v>
      </c>
      <c r="E152" s="11">
        <f>undergrid!G148</f>
        <v>0.08</v>
      </c>
      <c r="F152">
        <f>undergrid!AL148</f>
        <v>17.911907822022187</v>
      </c>
      <c r="G152" s="12">
        <f>undergrid!Q148</f>
        <v>0</v>
      </c>
      <c r="H152" s="12">
        <f t="shared" si="17"/>
        <v>0</v>
      </c>
      <c r="I152" s="12">
        <f t="shared" si="18"/>
        <v>0</v>
      </c>
      <c r="J152" s="12">
        <f>-(undergrid!M148-Graphs!G152)</f>
        <v>-6.3999999999999996E-10</v>
      </c>
      <c r="K152" s="12">
        <f t="shared" si="19"/>
        <v>0</v>
      </c>
      <c r="L152" s="12">
        <f>Costs!AF148+Costs!AG148</f>
        <v>0</v>
      </c>
      <c r="M152" s="12">
        <f>-undergrid!Y148</f>
        <v>0</v>
      </c>
      <c r="N152" s="12">
        <f>undergrid!S148</f>
        <v>0</v>
      </c>
      <c r="O152" s="12">
        <f>IF(undergrid!S148&gt;0.0001,IF(C152-H152&gt;undergrid!S148,undergrid!S148,C152-H152),0)</f>
        <v>0</v>
      </c>
      <c r="P152" s="12">
        <f>undergrid!S148-O152</f>
        <v>0</v>
      </c>
      <c r="Q152" s="12">
        <f>-undergrid!W148</f>
        <v>-19.443925891882046</v>
      </c>
      <c r="R152" s="12">
        <f t="shared" si="20"/>
        <v>19.443925891882046</v>
      </c>
      <c r="S152" s="22">
        <f>IF(undergrid!K148=2,1,0)</f>
        <v>1</v>
      </c>
      <c r="T152" s="12">
        <f>-undergrid!O148*$AD$1</f>
        <v>-12.146612430921076</v>
      </c>
      <c r="U152" s="12">
        <f>undergrid!U148*$AD$2</f>
        <v>0</v>
      </c>
      <c r="V152" s="12">
        <f>undergrid!S148-N152</f>
        <v>0</v>
      </c>
      <c r="W152" s="12">
        <f t="shared" si="21"/>
        <v>5.1260000000000003</v>
      </c>
      <c r="X152" s="13">
        <f>undergrid!AJ148</f>
        <v>0.42784227822022186</v>
      </c>
    </row>
    <row r="153" spans="1:24" x14ac:dyDescent="0.3">
      <c r="A153" s="10">
        <v>148</v>
      </c>
      <c r="B153">
        <f>undergrid!C149*2+undergrid!E149</f>
        <v>3.2009999999999996</v>
      </c>
      <c r="C153">
        <f>undergrid!C149*2</f>
        <v>1.66</v>
      </c>
      <c r="D153">
        <f>undergrid!E149</f>
        <v>1.5409999999999999</v>
      </c>
      <c r="E153" s="11">
        <f>undergrid!G149</f>
        <v>0.08</v>
      </c>
      <c r="F153">
        <f>undergrid!AL149</f>
        <v>22.667507000571522</v>
      </c>
      <c r="G153" s="12">
        <f>undergrid!Q149</f>
        <v>0</v>
      </c>
      <c r="H153" s="12">
        <f t="shared" si="17"/>
        <v>0</v>
      </c>
      <c r="I153" s="12">
        <f t="shared" si="18"/>
        <v>0</v>
      </c>
      <c r="J153" s="12">
        <f>-(undergrid!M149-Graphs!G153)</f>
        <v>-6.3999999999999996E-10</v>
      </c>
      <c r="K153" s="12">
        <f t="shared" si="19"/>
        <v>0</v>
      </c>
      <c r="L153" s="12">
        <f>Costs!AF149+Costs!AG149</f>
        <v>0</v>
      </c>
      <c r="M153" s="12">
        <f>-undergrid!Y149</f>
        <v>0</v>
      </c>
      <c r="N153" s="12">
        <f>undergrid!S149</f>
        <v>0</v>
      </c>
      <c r="O153" s="12">
        <f>IF(undergrid!S149&gt;0.0001,IF(C153-H153&gt;undergrid!S149,undergrid!S149,C153-H153),0)</f>
        <v>0</v>
      </c>
      <c r="P153" s="12">
        <f>undergrid!S149-O153</f>
        <v>0</v>
      </c>
      <c r="Q153" s="12">
        <f>-undergrid!W149</f>
        <v>-25</v>
      </c>
      <c r="R153" s="12">
        <f t="shared" si="20"/>
        <v>25</v>
      </c>
      <c r="S153" s="22">
        <f>IF(undergrid!K149=2,1,0)</f>
        <v>1</v>
      </c>
      <c r="T153" s="12">
        <f>-undergrid!O149*$AD$1</f>
        <v>-18.493181650542944</v>
      </c>
      <c r="U153" s="12">
        <f>undergrid!U149*$AD$2</f>
        <v>0</v>
      </c>
      <c r="V153" s="12">
        <f>undergrid!S149-N153</f>
        <v>0</v>
      </c>
      <c r="W153" s="12">
        <f t="shared" si="21"/>
        <v>3.2009999999999996</v>
      </c>
      <c r="X153" s="13">
        <f>undergrid!AJ149</f>
        <v>0.62248338905835676</v>
      </c>
    </row>
    <row r="154" spans="1:24" x14ac:dyDescent="0.3">
      <c r="A154" s="10">
        <v>149</v>
      </c>
      <c r="B154">
        <f>undergrid!C150*2+undergrid!E150</f>
        <v>3.794</v>
      </c>
      <c r="C154">
        <f>undergrid!C150*2</f>
        <v>1.96</v>
      </c>
      <c r="D154">
        <f>undergrid!E150</f>
        <v>1.8340000000000001</v>
      </c>
      <c r="E154" s="11">
        <f>undergrid!G150</f>
        <v>0.08</v>
      </c>
      <c r="F154">
        <f>undergrid!AL150</f>
        <v>22.730958000571519</v>
      </c>
      <c r="G154" s="12">
        <f>undergrid!Q150</f>
        <v>0</v>
      </c>
      <c r="H154" s="12">
        <f t="shared" si="17"/>
        <v>0</v>
      </c>
      <c r="I154" s="12">
        <f t="shared" si="18"/>
        <v>0</v>
      </c>
      <c r="J154" s="12">
        <f>-(undergrid!M150-Graphs!G154)</f>
        <v>-6.3999999999999996E-10</v>
      </c>
      <c r="K154" s="12">
        <f t="shared" si="19"/>
        <v>0</v>
      </c>
      <c r="L154" s="12">
        <f>Costs!AF150+Costs!AG150</f>
        <v>0</v>
      </c>
      <c r="M154" s="12">
        <f>-undergrid!Y150</f>
        <v>0</v>
      </c>
      <c r="N154" s="12">
        <f>undergrid!S150</f>
        <v>0</v>
      </c>
      <c r="O154" s="12">
        <f>IF(undergrid!S150&gt;0.0001,IF(C154-H154&gt;undergrid!S150,undergrid!S150,C154-H154),0)</f>
        <v>0</v>
      </c>
      <c r="P154" s="12">
        <f>undergrid!S150-O154</f>
        <v>0</v>
      </c>
      <c r="Q154" s="12">
        <f>-undergrid!W150</f>
        <v>-25</v>
      </c>
      <c r="R154" s="12">
        <f t="shared" si="20"/>
        <v>25</v>
      </c>
      <c r="S154" s="22">
        <f>IF(undergrid!K150=2,1,0)</f>
        <v>1</v>
      </c>
      <c r="T154" s="12">
        <f>-undergrid!O150*$AD$1</f>
        <v>-17.990110100542942</v>
      </c>
      <c r="U154" s="12">
        <f>undergrid!U150*$AD$2</f>
        <v>0</v>
      </c>
      <c r="V154" s="12">
        <f>undergrid!S150-N154</f>
        <v>0</v>
      </c>
      <c r="W154" s="12">
        <f t="shared" si="21"/>
        <v>3.794</v>
      </c>
      <c r="X154" s="13">
        <f>undergrid!AJ150</f>
        <v>0.81181810999428483</v>
      </c>
    </row>
    <row r="155" spans="1:24" x14ac:dyDescent="0.3">
      <c r="A155" s="10">
        <v>150</v>
      </c>
      <c r="B155">
        <f>undergrid!C151*2+undergrid!E151</f>
        <v>3.927</v>
      </c>
      <c r="C155">
        <f>undergrid!C151*2</f>
        <v>2.04</v>
      </c>
      <c r="D155">
        <f>undergrid!E151</f>
        <v>1.887</v>
      </c>
      <c r="E155" s="11">
        <f>undergrid!G151</f>
        <v>0.08</v>
      </c>
      <c r="F155">
        <f>undergrid!AL151</f>
        <v>22.745189000571521</v>
      </c>
      <c r="G155" s="12">
        <f>undergrid!Q151</f>
        <v>0</v>
      </c>
      <c r="H155" s="12">
        <f t="shared" si="17"/>
        <v>0</v>
      </c>
      <c r="I155" s="12">
        <f t="shared" si="18"/>
        <v>0</v>
      </c>
      <c r="J155" s="12">
        <f>-(undergrid!M151-Graphs!G155)</f>
        <v>-6.3999999999999996E-10</v>
      </c>
      <c r="K155" s="12">
        <f t="shared" si="19"/>
        <v>0</v>
      </c>
      <c r="L155" s="12">
        <f>Costs!AF151+Costs!AG151</f>
        <v>0</v>
      </c>
      <c r="M155" s="12">
        <f>-undergrid!Y151</f>
        <v>0</v>
      </c>
      <c r="N155" s="12">
        <f>undergrid!S151</f>
        <v>0</v>
      </c>
      <c r="O155" s="12">
        <f>IF(undergrid!S151&gt;0.0001,IF(C155-H155&gt;undergrid!S151,undergrid!S151,C155-H155),0)</f>
        <v>0</v>
      </c>
      <c r="P155" s="12">
        <f>undergrid!S151-O155</f>
        <v>0</v>
      </c>
      <c r="Q155" s="12">
        <f>-undergrid!W151</f>
        <v>-25</v>
      </c>
      <c r="R155" s="12">
        <f t="shared" si="20"/>
        <v>25</v>
      </c>
      <c r="S155" s="22">
        <f>IF(undergrid!K151=2,1,0)</f>
        <v>1</v>
      </c>
      <c r="T155" s="12">
        <f>-undergrid!O151*$AD$1</f>
        <v>-17.877279550542944</v>
      </c>
      <c r="U155" s="12">
        <f>undergrid!U151*$AD$2</f>
        <v>0</v>
      </c>
      <c r="V155" s="12">
        <f>undergrid!S151-N155</f>
        <v>0</v>
      </c>
      <c r="W155" s="12">
        <f t="shared" si="21"/>
        <v>3.927</v>
      </c>
      <c r="X155" s="13">
        <f>undergrid!AJ151</f>
        <v>0.99995453818584035</v>
      </c>
    </row>
    <row r="156" spans="1:24" x14ac:dyDescent="0.3">
      <c r="A156" s="10">
        <v>151</v>
      </c>
      <c r="B156">
        <f>undergrid!C152*2+undergrid!E152</f>
        <v>2.548</v>
      </c>
      <c r="C156">
        <f>undergrid!C152*2</f>
        <v>1.32</v>
      </c>
      <c r="D156">
        <f>undergrid!E152</f>
        <v>1.228</v>
      </c>
      <c r="E156" s="11">
        <f>undergrid!G152</f>
        <v>0.13</v>
      </c>
      <c r="F156">
        <f>undergrid!AL152</f>
        <v>2.548</v>
      </c>
      <c r="G156" s="12">
        <f>undergrid!Q152</f>
        <v>0</v>
      </c>
      <c r="H156" s="12">
        <f t="shared" si="17"/>
        <v>0</v>
      </c>
      <c r="I156" s="12">
        <f t="shared" si="18"/>
        <v>0</v>
      </c>
      <c r="J156" s="12">
        <f>-(undergrid!M152-Graphs!G156)</f>
        <v>-6.3999999999999996E-10</v>
      </c>
      <c r="K156" s="12">
        <f t="shared" si="19"/>
        <v>0</v>
      </c>
      <c r="L156" s="12">
        <f>Costs!AF152+Costs!AG152</f>
        <v>0</v>
      </c>
      <c r="M156" s="12">
        <f>-undergrid!Y152</f>
        <v>0</v>
      </c>
      <c r="N156" s="12">
        <f>undergrid!S152</f>
        <v>0</v>
      </c>
      <c r="O156" s="12">
        <f>IF(undergrid!S152&gt;0.0001,IF(C156-H156&gt;undergrid!S152,undergrid!S152,C156-H156),0)</f>
        <v>0</v>
      </c>
      <c r="P156" s="12">
        <f>undergrid!S152-O156</f>
        <v>0</v>
      </c>
      <c r="Q156" s="12">
        <f>-undergrid!W152</f>
        <v>0</v>
      </c>
      <c r="R156" s="12">
        <f t="shared" si="20"/>
        <v>0</v>
      </c>
      <c r="S156" s="22">
        <f>IF(undergrid!K152=2,1,0)</f>
        <v>1</v>
      </c>
      <c r="T156" s="12">
        <f>-undergrid!O152*$AD$1</f>
        <v>0</v>
      </c>
      <c r="U156" s="12">
        <f>undergrid!U152*$AD$2</f>
        <v>2.5479999993600004</v>
      </c>
      <c r="V156" s="12">
        <f>undergrid!S152-N156</f>
        <v>0</v>
      </c>
      <c r="W156" s="12">
        <f t="shared" si="21"/>
        <v>2.548</v>
      </c>
      <c r="X156" s="13">
        <f>undergrid!AJ152</f>
        <v>0.97158742962770206</v>
      </c>
    </row>
    <row r="157" spans="1:24" x14ac:dyDescent="0.3">
      <c r="A157" s="10">
        <v>152</v>
      </c>
      <c r="B157">
        <f>undergrid!C153*2+undergrid!E153</f>
        <v>2.3529999999999998</v>
      </c>
      <c r="C157">
        <f>undergrid!C153*2</f>
        <v>1.06</v>
      </c>
      <c r="D157">
        <f>undergrid!E153</f>
        <v>1.2929999999999999</v>
      </c>
      <c r="E157" s="11">
        <f>undergrid!G153</f>
        <v>0.13</v>
      </c>
      <c r="F157">
        <f>undergrid!AL153</f>
        <v>2.3529999999999998</v>
      </c>
      <c r="G157" s="12">
        <f>undergrid!Q153</f>
        <v>0</v>
      </c>
      <c r="H157" s="12">
        <f t="shared" si="17"/>
        <v>0</v>
      </c>
      <c r="I157" s="12">
        <f t="shared" si="18"/>
        <v>0</v>
      </c>
      <c r="J157" s="12">
        <f>-(undergrid!M153-Graphs!G157)</f>
        <v>-5.1999999999999996E-10</v>
      </c>
      <c r="K157" s="12">
        <f t="shared" si="19"/>
        <v>0</v>
      </c>
      <c r="L157" s="12">
        <f>Costs!AF153+Costs!AG153</f>
        <v>0</v>
      </c>
      <c r="M157" s="12">
        <f>-undergrid!Y153</f>
        <v>0</v>
      </c>
      <c r="N157" s="12">
        <f>undergrid!S153</f>
        <v>0</v>
      </c>
      <c r="O157" s="12">
        <f>IF(undergrid!S153&gt;0.0001,IF(C157-H157&gt;undergrid!S153,undergrid!S153,C157-H157),0)</f>
        <v>0</v>
      </c>
      <c r="P157" s="12">
        <f>undergrid!S153-O157</f>
        <v>0</v>
      </c>
      <c r="Q157" s="12">
        <f>-undergrid!W153</f>
        <v>0</v>
      </c>
      <c r="R157" s="12">
        <f t="shared" si="20"/>
        <v>0</v>
      </c>
      <c r="S157" s="22">
        <f>IF(undergrid!K153=2,1,0)</f>
        <v>1</v>
      </c>
      <c r="T157" s="12">
        <f>-undergrid!O153*$AD$1</f>
        <v>0</v>
      </c>
      <c r="U157" s="12">
        <f>undergrid!U153*$AD$2</f>
        <v>2.3529999994799997</v>
      </c>
      <c r="V157" s="12">
        <f>undergrid!S153-N157</f>
        <v>0</v>
      </c>
      <c r="W157" s="12">
        <f t="shared" si="21"/>
        <v>2.3529999999999998</v>
      </c>
      <c r="X157" s="13">
        <f>undergrid!AJ153</f>
        <v>0.94538857629297635</v>
      </c>
    </row>
    <row r="158" spans="1:24" x14ac:dyDescent="0.3">
      <c r="A158" s="10">
        <v>153</v>
      </c>
      <c r="B158">
        <f>undergrid!C154*2+undergrid!E154</f>
        <v>2.8079999999999998</v>
      </c>
      <c r="C158">
        <f>undergrid!C154*2</f>
        <v>1.26</v>
      </c>
      <c r="D158">
        <f>undergrid!E154</f>
        <v>1.548</v>
      </c>
      <c r="E158" s="11">
        <f>undergrid!G154</f>
        <v>0.13</v>
      </c>
      <c r="F158">
        <f>undergrid!AL154</f>
        <v>2.8079999999999998</v>
      </c>
      <c r="G158" s="12">
        <f>undergrid!Q154</f>
        <v>0</v>
      </c>
      <c r="H158" s="12">
        <f t="shared" si="17"/>
        <v>0</v>
      </c>
      <c r="I158" s="12">
        <f t="shared" si="18"/>
        <v>0</v>
      </c>
      <c r="J158" s="12">
        <f>-(undergrid!M154-Graphs!G158)</f>
        <v>-6.8000000000000003E-10</v>
      </c>
      <c r="K158" s="12">
        <f t="shared" si="19"/>
        <v>0</v>
      </c>
      <c r="L158" s="12">
        <f>Costs!AF154+Costs!AG154</f>
        <v>0</v>
      </c>
      <c r="M158" s="12">
        <f>-undergrid!Y154</f>
        <v>0</v>
      </c>
      <c r="N158" s="12">
        <f>undergrid!S154</f>
        <v>0</v>
      </c>
      <c r="O158" s="12">
        <f>IF(undergrid!S154&gt;0.0001,IF(C158-H158&gt;undergrid!S154,undergrid!S154,C158-H158),0)</f>
        <v>0</v>
      </c>
      <c r="P158" s="12">
        <f>undergrid!S154-O158</f>
        <v>0</v>
      </c>
      <c r="Q158" s="12">
        <f>-undergrid!W154</f>
        <v>0</v>
      </c>
      <c r="R158" s="12">
        <f t="shared" si="20"/>
        <v>0</v>
      </c>
      <c r="S158" s="22">
        <f>IF(undergrid!K154=2,1,0)</f>
        <v>1</v>
      </c>
      <c r="T158" s="12">
        <f>-undergrid!O154*$AD$1</f>
        <v>0</v>
      </c>
      <c r="U158" s="12">
        <f>undergrid!U154*$AD$2</f>
        <v>2.8079999993200002</v>
      </c>
      <c r="V158" s="12">
        <f>undergrid!S154-N158</f>
        <v>0</v>
      </c>
      <c r="W158" s="12">
        <f t="shared" si="21"/>
        <v>2.8079999999999998</v>
      </c>
      <c r="X158" s="13">
        <f>undergrid!AJ154</f>
        <v>0.91413563454025959</v>
      </c>
    </row>
    <row r="159" spans="1:24" x14ac:dyDescent="0.3">
      <c r="A159" s="10">
        <v>154</v>
      </c>
      <c r="B159">
        <f>undergrid!C155*2+undergrid!E155</f>
        <v>7.2389999999999999</v>
      </c>
      <c r="C159">
        <f>undergrid!C155*2</f>
        <v>2.34</v>
      </c>
      <c r="D159">
        <f>undergrid!E155</f>
        <v>4.899</v>
      </c>
      <c r="E159" s="11">
        <f>undergrid!G155</f>
        <v>0.13</v>
      </c>
      <c r="F159">
        <f>undergrid!AL155</f>
        <v>9.2799999999999994</v>
      </c>
      <c r="G159" s="12">
        <f>undergrid!Q155</f>
        <v>9.2799999999999994</v>
      </c>
      <c r="H159" s="12">
        <f t="shared" si="17"/>
        <v>2.34</v>
      </c>
      <c r="I159" s="12">
        <f t="shared" si="18"/>
        <v>6.9399999999999995</v>
      </c>
      <c r="J159" s="12">
        <f>-(undergrid!M155-Graphs!G159)</f>
        <v>0</v>
      </c>
      <c r="K159" s="12">
        <f t="shared" si="19"/>
        <v>6.9399999999999995</v>
      </c>
      <c r="L159" s="12">
        <f>Costs!AF155+Costs!AG155</f>
        <v>0</v>
      </c>
      <c r="M159" s="12">
        <f>-undergrid!Y155</f>
        <v>-2.0409999999999995</v>
      </c>
      <c r="N159" s="12">
        <f>undergrid!S155</f>
        <v>0</v>
      </c>
      <c r="O159" s="12">
        <f>IF(undergrid!S155&gt;0.0001,IF(C159-H159&gt;undergrid!S155,undergrid!S155,C159-H159),0)</f>
        <v>0</v>
      </c>
      <c r="P159" s="12">
        <f>undergrid!S155-O159</f>
        <v>0</v>
      </c>
      <c r="Q159" s="12">
        <f>-undergrid!W155</f>
        <v>0</v>
      </c>
      <c r="R159" s="12">
        <f t="shared" si="20"/>
        <v>0</v>
      </c>
      <c r="S159" s="22">
        <f>IF(undergrid!K155=2,1,0)</f>
        <v>1</v>
      </c>
      <c r="T159" s="12">
        <f>-undergrid!O155*$AD$1</f>
        <v>0</v>
      </c>
      <c r="U159" s="12">
        <f>undergrid!U155*$AD$2</f>
        <v>0</v>
      </c>
      <c r="V159" s="12">
        <f>undergrid!S155-N159</f>
        <v>0</v>
      </c>
      <c r="W159" s="12">
        <f t="shared" si="21"/>
        <v>4.899</v>
      </c>
      <c r="X159" s="13">
        <f>undergrid!AJ155</f>
        <v>0.91408444294472546</v>
      </c>
    </row>
    <row r="160" spans="1:24" x14ac:dyDescent="0.3">
      <c r="A160" s="10">
        <v>155</v>
      </c>
      <c r="B160">
        <f>undergrid!C156*2+undergrid!E156</f>
        <v>14.062999999999999</v>
      </c>
      <c r="C160">
        <f>undergrid!C156*2</f>
        <v>6.76</v>
      </c>
      <c r="D160">
        <f>undergrid!E156</f>
        <v>7.3029999999999999</v>
      </c>
      <c r="E160" s="11">
        <f>undergrid!G156</f>
        <v>0.13</v>
      </c>
      <c r="F160">
        <f>undergrid!AL156</f>
        <v>14.062999999999999</v>
      </c>
      <c r="G160" s="12">
        <f>undergrid!Q156</f>
        <v>11.87</v>
      </c>
      <c r="H160" s="12">
        <f t="shared" si="17"/>
        <v>6.76</v>
      </c>
      <c r="I160" s="12">
        <f t="shared" si="18"/>
        <v>5.1099999999999994</v>
      </c>
      <c r="J160" s="12">
        <f>-(undergrid!M156-Graphs!G160)</f>
        <v>0</v>
      </c>
      <c r="K160" s="12">
        <f t="shared" si="19"/>
        <v>5.1099999999999994</v>
      </c>
      <c r="L160" s="12">
        <f>Costs!AF156+Costs!AG156</f>
        <v>0</v>
      </c>
      <c r="M160" s="12">
        <f>-undergrid!Y156</f>
        <v>0</v>
      </c>
      <c r="N160" s="12">
        <f>undergrid!S156</f>
        <v>0</v>
      </c>
      <c r="O160" s="12">
        <f>IF(undergrid!S156&gt;0.0001,IF(C160-H160&gt;undergrid!S156,undergrid!S156,C160-H160),0)</f>
        <v>0</v>
      </c>
      <c r="P160" s="12">
        <f>undergrid!S156-O160</f>
        <v>0</v>
      </c>
      <c r="Q160" s="12">
        <f>-undergrid!W156</f>
        <v>0</v>
      </c>
      <c r="R160" s="12">
        <f t="shared" si="20"/>
        <v>0</v>
      </c>
      <c r="S160" s="22">
        <f>IF(undergrid!K156=2,1,0)</f>
        <v>1</v>
      </c>
      <c r="T160" s="12">
        <f>-undergrid!O156*$AD$1</f>
        <v>0</v>
      </c>
      <c r="U160" s="12">
        <f>undergrid!U156*$AD$2</f>
        <v>2.1930000000000009</v>
      </c>
      <c r="V160" s="12">
        <f>undergrid!S156-N160</f>
        <v>0</v>
      </c>
      <c r="W160" s="12">
        <f t="shared" si="21"/>
        <v>7.302999999999999</v>
      </c>
      <c r="X160" s="13">
        <f>undergrid!AJ156</f>
        <v>0.88966658754925387</v>
      </c>
    </row>
    <row r="161" spans="1:24" x14ac:dyDescent="0.3">
      <c r="A161" s="10">
        <v>156</v>
      </c>
      <c r="B161">
        <f>undergrid!C157*2+undergrid!E157</f>
        <v>8.6490000000000009</v>
      </c>
      <c r="C161">
        <f>undergrid!C157*2</f>
        <v>4.16</v>
      </c>
      <c r="D161">
        <f>undergrid!E157</f>
        <v>4.4889999999999999</v>
      </c>
      <c r="E161" s="11">
        <f>undergrid!G157</f>
        <v>0.13</v>
      </c>
      <c r="F161">
        <f>undergrid!AL157</f>
        <v>8.6490000000000009</v>
      </c>
      <c r="G161" s="12">
        <f>undergrid!Q157</f>
        <v>7.63</v>
      </c>
      <c r="H161" s="12">
        <f t="shared" si="17"/>
        <v>4.16</v>
      </c>
      <c r="I161" s="12">
        <f t="shared" si="18"/>
        <v>3.4699999999999998</v>
      </c>
      <c r="J161" s="12">
        <f>-(undergrid!M157-Graphs!G161)</f>
        <v>0</v>
      </c>
      <c r="K161" s="12">
        <f t="shared" si="19"/>
        <v>3.4699999999999998</v>
      </c>
      <c r="L161" s="12">
        <f>Costs!AF157+Costs!AG157</f>
        <v>0</v>
      </c>
      <c r="M161" s="12">
        <f>-undergrid!Y157</f>
        <v>0</v>
      </c>
      <c r="N161" s="12">
        <f>undergrid!S157</f>
        <v>0</v>
      </c>
      <c r="O161" s="12">
        <f>IF(undergrid!S157&gt;0.0001,IF(C161-H161&gt;undergrid!S157,undergrid!S157,C161-H161),0)</f>
        <v>0</v>
      </c>
      <c r="P161" s="12">
        <f>undergrid!S157-O161</f>
        <v>0</v>
      </c>
      <c r="Q161" s="12">
        <f>-undergrid!W157</f>
        <v>0</v>
      </c>
      <c r="R161" s="12">
        <f t="shared" si="20"/>
        <v>0</v>
      </c>
      <c r="S161" s="22">
        <f>IF(undergrid!K157=2,1,0)</f>
        <v>1</v>
      </c>
      <c r="T161" s="12">
        <f>-undergrid!O157*$AD$1</f>
        <v>0</v>
      </c>
      <c r="U161" s="12">
        <f>undergrid!U157*$AD$2</f>
        <v>1.019000000000001</v>
      </c>
      <c r="V161" s="12">
        <f>undergrid!S157-N161</f>
        <v>0</v>
      </c>
      <c r="W161" s="12">
        <f t="shared" si="21"/>
        <v>4.4890000000000008</v>
      </c>
      <c r="X161" s="13">
        <f>undergrid!AJ157</f>
        <v>0.8782945439981289</v>
      </c>
    </row>
    <row r="162" spans="1:24" x14ac:dyDescent="0.3">
      <c r="A162" s="10">
        <v>157</v>
      </c>
      <c r="B162">
        <f>undergrid!C158*2+undergrid!E158</f>
        <v>2.4050000000000002</v>
      </c>
      <c r="C162">
        <f>undergrid!C158*2</f>
        <v>2.02</v>
      </c>
      <c r="D162">
        <f>undergrid!E158</f>
        <v>0.38500000000000001</v>
      </c>
      <c r="E162" s="11">
        <f>undergrid!G158</f>
        <v>0.13</v>
      </c>
      <c r="F162">
        <f>undergrid!AL158</f>
        <v>9.48</v>
      </c>
      <c r="G162" s="12">
        <f>undergrid!Q158</f>
        <v>9.48</v>
      </c>
      <c r="H162" s="12">
        <f t="shared" si="17"/>
        <v>2.02</v>
      </c>
      <c r="I162" s="12">
        <f t="shared" si="18"/>
        <v>7.4600000000000009</v>
      </c>
      <c r="J162" s="12">
        <f>-(undergrid!M158-Graphs!G162)</f>
        <v>0</v>
      </c>
      <c r="K162" s="12">
        <f t="shared" si="19"/>
        <v>7.4600000000000009</v>
      </c>
      <c r="L162" s="12">
        <f>Costs!AF158+Costs!AG158</f>
        <v>0</v>
      </c>
      <c r="M162" s="12">
        <f>-undergrid!Y158</f>
        <v>-7.0750000000000002</v>
      </c>
      <c r="N162" s="12">
        <f>undergrid!S158</f>
        <v>0</v>
      </c>
      <c r="O162" s="12">
        <f>IF(undergrid!S158&gt;0.0001,IF(C162-H162&gt;undergrid!S158,undergrid!S158,C162-H162),0)</f>
        <v>0</v>
      </c>
      <c r="P162" s="12">
        <f>undergrid!S158-O162</f>
        <v>0</v>
      </c>
      <c r="Q162" s="12">
        <f>-undergrid!W158</f>
        <v>0</v>
      </c>
      <c r="R162" s="12">
        <f t="shared" si="20"/>
        <v>0</v>
      </c>
      <c r="S162" s="22">
        <f>IF(undergrid!K158=2,1,0)</f>
        <v>1</v>
      </c>
      <c r="T162" s="12">
        <f>-undergrid!O158*$AD$1</f>
        <v>0</v>
      </c>
      <c r="U162" s="12">
        <f>undergrid!U158*$AD$2</f>
        <v>0</v>
      </c>
      <c r="V162" s="12">
        <f>undergrid!S158-N162</f>
        <v>0</v>
      </c>
      <c r="W162" s="12">
        <f t="shared" si="21"/>
        <v>0.38500000000000023</v>
      </c>
      <c r="X162" s="13">
        <f>undergrid!AJ158</f>
        <v>0.87824535950366511</v>
      </c>
    </row>
    <row r="163" spans="1:24" x14ac:dyDescent="0.3">
      <c r="A163" s="10">
        <v>158</v>
      </c>
      <c r="B163">
        <f>undergrid!C159*2+undergrid!E159</f>
        <v>7.032</v>
      </c>
      <c r="C163">
        <f>undergrid!C159*2</f>
        <v>6.3</v>
      </c>
      <c r="D163">
        <f>undergrid!E159</f>
        <v>0.73199999999999998</v>
      </c>
      <c r="E163" s="11">
        <f>undergrid!G159</f>
        <v>0.13</v>
      </c>
      <c r="F163">
        <f>undergrid!AL159</f>
        <v>7.032</v>
      </c>
      <c r="G163" s="12">
        <f>undergrid!Q159</f>
        <v>6.32</v>
      </c>
      <c r="H163" s="12">
        <f t="shared" si="17"/>
        <v>6.3</v>
      </c>
      <c r="I163" s="12">
        <f t="shared" si="18"/>
        <v>2.0000000000000462E-2</v>
      </c>
      <c r="J163" s="12">
        <f>-(undergrid!M159-Graphs!G163)</f>
        <v>0</v>
      </c>
      <c r="K163" s="12">
        <f t="shared" si="19"/>
        <v>2.0000000000000462E-2</v>
      </c>
      <c r="L163" s="12">
        <f>Costs!AF159+Costs!AG159</f>
        <v>0</v>
      </c>
      <c r="M163" s="12">
        <f>-undergrid!Y159</f>
        <v>0</v>
      </c>
      <c r="N163" s="12">
        <f>undergrid!S159</f>
        <v>0</v>
      </c>
      <c r="O163" s="12">
        <f>IF(undergrid!S159&gt;0.0001,IF(C163-H163&gt;undergrid!S159,undergrid!S159,C163-H163),0)</f>
        <v>0</v>
      </c>
      <c r="P163" s="12">
        <f>undergrid!S159-O163</f>
        <v>0</v>
      </c>
      <c r="Q163" s="12">
        <f>-undergrid!W159</f>
        <v>0</v>
      </c>
      <c r="R163" s="12">
        <f t="shared" si="20"/>
        <v>0</v>
      </c>
      <c r="S163" s="22">
        <f>IF(undergrid!K159=2,1,0)</f>
        <v>1</v>
      </c>
      <c r="T163" s="12">
        <f>-undergrid!O159*$AD$1</f>
        <v>0</v>
      </c>
      <c r="U163" s="12">
        <f>undergrid!U159*$AD$2</f>
        <v>0.71199999999999941</v>
      </c>
      <c r="V163" s="12">
        <f>undergrid!S159-N163</f>
        <v>0</v>
      </c>
      <c r="W163" s="12">
        <f t="shared" si="21"/>
        <v>0.73200000000000021</v>
      </c>
      <c r="X163" s="13">
        <f>undergrid!AJ159</f>
        <v>0.87028506665242189</v>
      </c>
    </row>
    <row r="164" spans="1:24" x14ac:dyDescent="0.3">
      <c r="A164" s="10">
        <v>159</v>
      </c>
      <c r="B164">
        <f>undergrid!C160*2+undergrid!E160</f>
        <v>12.308</v>
      </c>
      <c r="C164">
        <f>undergrid!C160*2</f>
        <v>7.56</v>
      </c>
      <c r="D164">
        <f>undergrid!E160</f>
        <v>4.7480000000000002</v>
      </c>
      <c r="E164" s="11">
        <f>undergrid!G160</f>
        <v>0.13</v>
      </c>
      <c r="F164">
        <f>undergrid!AL160</f>
        <v>12.308</v>
      </c>
      <c r="G164" s="12">
        <f>undergrid!Q160</f>
        <v>8.3699999999999992</v>
      </c>
      <c r="H164" s="12">
        <f t="shared" si="17"/>
        <v>7.56</v>
      </c>
      <c r="I164" s="12">
        <f t="shared" si="18"/>
        <v>0.80999999999999961</v>
      </c>
      <c r="J164" s="12">
        <f>-(undergrid!M160-Graphs!G164)</f>
        <v>0</v>
      </c>
      <c r="K164" s="12">
        <f t="shared" si="19"/>
        <v>0.80999999999999961</v>
      </c>
      <c r="L164" s="12">
        <f>Costs!AF160+Costs!AG160</f>
        <v>0</v>
      </c>
      <c r="M164" s="12">
        <f>-undergrid!Y160</f>
        <v>0</v>
      </c>
      <c r="N164" s="12">
        <f>undergrid!S160</f>
        <v>0</v>
      </c>
      <c r="O164" s="12">
        <f>IF(undergrid!S160&gt;0.0001,IF(C164-H164&gt;undergrid!S160,undergrid!S160,C164-H164),0)</f>
        <v>0</v>
      </c>
      <c r="P164" s="12">
        <f>undergrid!S160-O164</f>
        <v>0</v>
      </c>
      <c r="Q164" s="12">
        <f>-undergrid!W160</f>
        <v>0</v>
      </c>
      <c r="R164" s="12">
        <f t="shared" si="20"/>
        <v>0</v>
      </c>
      <c r="S164" s="22">
        <f>IF(undergrid!K160=2,1,0)</f>
        <v>1</v>
      </c>
      <c r="T164" s="12">
        <f>-undergrid!O160*$AD$1</f>
        <v>0</v>
      </c>
      <c r="U164" s="12">
        <f>undergrid!U160*$AD$2</f>
        <v>3.9380000000000019</v>
      </c>
      <c r="V164" s="12">
        <f>undergrid!S160-N164</f>
        <v>0</v>
      </c>
      <c r="W164" s="12">
        <f t="shared" si="21"/>
        <v>4.7480000000000002</v>
      </c>
      <c r="X164" s="13">
        <f>undergrid!AJ160</f>
        <v>0.82648077513313378</v>
      </c>
    </row>
    <row r="165" spans="1:24" x14ac:dyDescent="0.3">
      <c r="A165" s="10">
        <v>160</v>
      </c>
      <c r="B165">
        <f>undergrid!C161*2+undergrid!E161</f>
        <v>8.3640000000000008</v>
      </c>
      <c r="C165">
        <f>undergrid!C161*2</f>
        <v>4.0199999999999996</v>
      </c>
      <c r="D165">
        <f>undergrid!E161</f>
        <v>4.3440000000000003</v>
      </c>
      <c r="E165" s="11">
        <f>undergrid!G161</f>
        <v>0.13</v>
      </c>
      <c r="F165">
        <f>undergrid!AL161</f>
        <v>10.28</v>
      </c>
      <c r="G165" s="12">
        <f>undergrid!Q161</f>
        <v>10.28</v>
      </c>
      <c r="H165" s="12">
        <f t="shared" si="17"/>
        <v>4.0199999999999996</v>
      </c>
      <c r="I165" s="12">
        <f t="shared" si="18"/>
        <v>6.26</v>
      </c>
      <c r="J165" s="12">
        <f>-(undergrid!M161-Graphs!G165)</f>
        <v>0</v>
      </c>
      <c r="K165" s="12">
        <f t="shared" si="19"/>
        <v>6.26</v>
      </c>
      <c r="L165" s="12">
        <f>Costs!AF161+Costs!AG161</f>
        <v>0</v>
      </c>
      <c r="M165" s="12">
        <f>-undergrid!Y161</f>
        <v>-1.9159999999999986</v>
      </c>
      <c r="N165" s="12">
        <f>undergrid!S161</f>
        <v>0</v>
      </c>
      <c r="O165" s="12">
        <f>IF(undergrid!S161&gt;0.0001,IF(C165-H165&gt;undergrid!S161,undergrid!S161,C165-H165),0)</f>
        <v>0</v>
      </c>
      <c r="P165" s="12">
        <f>undergrid!S161-O165</f>
        <v>0</v>
      </c>
      <c r="Q165" s="12">
        <f>-undergrid!W161</f>
        <v>0</v>
      </c>
      <c r="R165" s="12">
        <f t="shared" si="20"/>
        <v>0</v>
      </c>
      <c r="S165" s="22">
        <f>IF(undergrid!K161=2,1,0)</f>
        <v>1</v>
      </c>
      <c r="T165" s="12">
        <f>-undergrid!O161*$AD$1</f>
        <v>0</v>
      </c>
      <c r="U165" s="12">
        <f>undergrid!U161*$AD$2</f>
        <v>0</v>
      </c>
      <c r="V165" s="12">
        <f>undergrid!S161-N165</f>
        <v>0</v>
      </c>
      <c r="W165" s="12">
        <f t="shared" si="21"/>
        <v>4.3440000000000012</v>
      </c>
      <c r="X165" s="13">
        <f>undergrid!AJ161</f>
        <v>0.82643449220972642</v>
      </c>
    </row>
    <row r="166" spans="1:24" x14ac:dyDescent="0.3">
      <c r="A166" s="10">
        <v>161</v>
      </c>
      <c r="B166">
        <f>undergrid!C162*2+undergrid!E162</f>
        <v>13.899000000000001</v>
      </c>
      <c r="C166">
        <f>undergrid!C162*2</f>
        <v>6.68</v>
      </c>
      <c r="D166">
        <f>undergrid!E162</f>
        <v>7.2190000000000003</v>
      </c>
      <c r="E166" s="11">
        <f>undergrid!G162</f>
        <v>0.13</v>
      </c>
      <c r="F166">
        <f>undergrid!AL162</f>
        <v>13.899000000000001</v>
      </c>
      <c r="G166" s="12">
        <f>undergrid!Q162</f>
        <v>5.61</v>
      </c>
      <c r="H166" s="12">
        <f t="shared" si="17"/>
        <v>5.61</v>
      </c>
      <c r="I166" s="12">
        <f t="shared" si="18"/>
        <v>0</v>
      </c>
      <c r="J166" s="12">
        <f>-(undergrid!M162-Graphs!G166)</f>
        <v>0</v>
      </c>
      <c r="K166" s="12">
        <f t="shared" si="19"/>
        <v>0</v>
      </c>
      <c r="L166" s="12">
        <f>Costs!AF162+Costs!AG162</f>
        <v>0</v>
      </c>
      <c r="M166" s="12">
        <f>-undergrid!Y162</f>
        <v>0</v>
      </c>
      <c r="N166" s="12">
        <f>undergrid!S162</f>
        <v>0</v>
      </c>
      <c r="O166" s="12">
        <f>IF(undergrid!S162&gt;0.0001,IF(C166-H166&gt;undergrid!S162,undergrid!S162,C166-H166),0)</f>
        <v>0</v>
      </c>
      <c r="P166" s="12">
        <f>undergrid!S162-O166</f>
        <v>0</v>
      </c>
      <c r="Q166" s="12">
        <f>-undergrid!W162</f>
        <v>0</v>
      </c>
      <c r="R166" s="12">
        <f t="shared" si="20"/>
        <v>0</v>
      </c>
      <c r="S166" s="22">
        <f>IF(undergrid!K162=2,1,0)</f>
        <v>1</v>
      </c>
      <c r="T166" s="12">
        <f>-undergrid!O162*$AD$1</f>
        <v>0</v>
      </c>
      <c r="U166" s="12">
        <f>undergrid!U162*$AD$2</f>
        <v>8.2890000000000015</v>
      </c>
      <c r="V166" s="12">
        <f>undergrid!S162-N166</f>
        <v>0</v>
      </c>
      <c r="W166" s="12">
        <f t="shared" si="21"/>
        <v>8.2890000000000015</v>
      </c>
      <c r="X166" s="13">
        <f>undergrid!AJ162</f>
        <v>0.73428821187816284</v>
      </c>
    </row>
    <row r="167" spans="1:24" x14ac:dyDescent="0.3">
      <c r="A167" s="10">
        <v>162</v>
      </c>
      <c r="B167">
        <f>undergrid!C163*2+undergrid!E163</f>
        <v>9.8359999999999985</v>
      </c>
      <c r="C167">
        <f>undergrid!C163*2</f>
        <v>5.14</v>
      </c>
      <c r="D167">
        <f>undergrid!E163</f>
        <v>4.6959999999999997</v>
      </c>
      <c r="E167" s="11">
        <f>undergrid!G163</f>
        <v>0.13</v>
      </c>
      <c r="F167">
        <f>undergrid!AL163</f>
        <v>9.8359999999999985</v>
      </c>
      <c r="G167" s="12">
        <f>undergrid!Q163</f>
        <v>0</v>
      </c>
      <c r="H167" s="12">
        <f t="shared" si="17"/>
        <v>0</v>
      </c>
      <c r="I167" s="12">
        <f t="shared" si="18"/>
        <v>0</v>
      </c>
      <c r="J167" s="12">
        <f>-(undergrid!M163-Graphs!G167)</f>
        <v>-6.3E-10</v>
      </c>
      <c r="K167" s="12">
        <f t="shared" si="19"/>
        <v>0</v>
      </c>
      <c r="L167" s="12">
        <f>Costs!AF163+Costs!AG163</f>
        <v>0</v>
      </c>
      <c r="M167" s="12">
        <f>-undergrid!Y163</f>
        <v>0</v>
      </c>
      <c r="N167" s="12">
        <f>undergrid!S163</f>
        <v>0</v>
      </c>
      <c r="O167" s="12">
        <f>IF(undergrid!S163&gt;0.0001,IF(C167-H167&gt;undergrid!S163,undergrid!S163,C167-H167),0)</f>
        <v>0</v>
      </c>
      <c r="P167" s="12">
        <f>undergrid!S163-O167</f>
        <v>0</v>
      </c>
      <c r="Q167" s="12">
        <f>-undergrid!W163</f>
        <v>-4.8876604948411693</v>
      </c>
      <c r="R167" s="12">
        <f t="shared" si="20"/>
        <v>4.8876604948411693</v>
      </c>
      <c r="S167" s="22">
        <f>IF(undergrid!K163=2,1,0)</f>
        <v>1</v>
      </c>
      <c r="T167" s="12">
        <f>-undergrid!O163*$AD$1</f>
        <v>0</v>
      </c>
      <c r="U167" s="12">
        <f>undergrid!U163*$AD$2</f>
        <v>4.9483395045288292</v>
      </c>
      <c r="V167" s="12">
        <f>undergrid!S163-N167</f>
        <v>0</v>
      </c>
      <c r="W167" s="12">
        <f t="shared" si="21"/>
        <v>9.8359999999999985</v>
      </c>
      <c r="X167" s="13">
        <f>undergrid!AJ163</f>
        <v>0.67926554168797737</v>
      </c>
    </row>
    <row r="168" spans="1:24" x14ac:dyDescent="0.3">
      <c r="A168" s="10">
        <v>163</v>
      </c>
      <c r="B168">
        <f>undergrid!C164*2+undergrid!E164</f>
        <v>7.2430000000000003</v>
      </c>
      <c r="C168">
        <f>undergrid!C164*2</f>
        <v>5.14</v>
      </c>
      <c r="D168">
        <f>undergrid!E164</f>
        <v>2.1030000000000002</v>
      </c>
      <c r="E168" s="11">
        <f>undergrid!G164</f>
        <v>0.13</v>
      </c>
      <c r="F168">
        <f>undergrid!AL164</f>
        <v>7.2430000000000003</v>
      </c>
      <c r="G168" s="12">
        <f>undergrid!Q164</f>
        <v>0</v>
      </c>
      <c r="H168" s="12">
        <f t="shared" si="17"/>
        <v>0</v>
      </c>
      <c r="I168" s="12">
        <f t="shared" si="18"/>
        <v>0</v>
      </c>
      <c r="J168" s="12">
        <f>-(undergrid!M164-Graphs!G168)</f>
        <v>-6.6999999999999996E-10</v>
      </c>
      <c r="K168" s="12">
        <f t="shared" si="19"/>
        <v>0</v>
      </c>
      <c r="L168" s="12">
        <f>Costs!AF164+Costs!AG164</f>
        <v>0</v>
      </c>
      <c r="M168" s="12">
        <f>-undergrid!Y164</f>
        <v>0</v>
      </c>
      <c r="N168" s="12">
        <f>undergrid!S164</f>
        <v>0</v>
      </c>
      <c r="O168" s="12">
        <f>IF(undergrid!S164&gt;0.0001,IF(C168-H168&gt;undergrid!S164,undergrid!S164,C168-H168),0)</f>
        <v>0</v>
      </c>
      <c r="P168" s="12">
        <f>undergrid!S164-O168</f>
        <v>0</v>
      </c>
      <c r="Q168" s="12">
        <f>-undergrid!W164</f>
        <v>0</v>
      </c>
      <c r="R168" s="12">
        <f t="shared" si="20"/>
        <v>0</v>
      </c>
      <c r="S168" s="22">
        <f>IF(undergrid!K164=2,1,0)</f>
        <v>0</v>
      </c>
      <c r="T168" s="12">
        <f>-undergrid!O164*$AD$1</f>
        <v>0</v>
      </c>
      <c r="U168" s="12">
        <f>undergrid!U164*$AD$2</f>
        <v>7.2429999993300003</v>
      </c>
      <c r="V168" s="12">
        <f>undergrid!S164-N168</f>
        <v>0</v>
      </c>
      <c r="W168" s="12">
        <f t="shared" si="21"/>
        <v>7.2430000000000003</v>
      </c>
      <c r="X168" s="13">
        <f>undergrid!AJ164</f>
        <v>0.5987497250473095</v>
      </c>
    </row>
    <row r="169" spans="1:24" x14ac:dyDescent="0.3">
      <c r="A169" s="10">
        <v>164</v>
      </c>
      <c r="B169">
        <f>undergrid!C165*2+undergrid!E165</f>
        <v>6.1539999999999999</v>
      </c>
      <c r="C169">
        <f>undergrid!C165*2</f>
        <v>3.7</v>
      </c>
      <c r="D169">
        <f>undergrid!E165</f>
        <v>2.4540000000000002</v>
      </c>
      <c r="E169" s="11">
        <f>undergrid!G165</f>
        <v>0.13</v>
      </c>
      <c r="F169">
        <f>undergrid!AL165</f>
        <v>6.1539999999999999</v>
      </c>
      <c r="G169" s="12">
        <f>undergrid!Q165</f>
        <v>0</v>
      </c>
      <c r="H169" s="12">
        <f t="shared" si="17"/>
        <v>0</v>
      </c>
      <c r="I169" s="12">
        <f t="shared" si="18"/>
        <v>0</v>
      </c>
      <c r="J169" s="12">
        <f>-(undergrid!M165-Graphs!G169)</f>
        <v>-6.3999999999999996E-10</v>
      </c>
      <c r="K169" s="12">
        <f t="shared" si="19"/>
        <v>0</v>
      </c>
      <c r="L169" s="12">
        <f>Costs!AF165+Costs!AG165</f>
        <v>0</v>
      </c>
      <c r="M169" s="12">
        <f>-undergrid!Y165</f>
        <v>0</v>
      </c>
      <c r="N169" s="12">
        <f>undergrid!S165</f>
        <v>0</v>
      </c>
      <c r="O169" s="12">
        <f>IF(undergrid!S165&gt;0.0001,IF(C169-H169&gt;undergrid!S165,undergrid!S165,C169-H169),0)</f>
        <v>0</v>
      </c>
      <c r="P169" s="12">
        <f>undergrid!S165-O169</f>
        <v>0</v>
      </c>
      <c r="Q169" s="12">
        <f>-undergrid!W165</f>
        <v>0</v>
      </c>
      <c r="R169" s="12">
        <f t="shared" si="20"/>
        <v>0</v>
      </c>
      <c r="S169" s="22">
        <f>IF(undergrid!K165=2,1,0)</f>
        <v>0</v>
      </c>
      <c r="T169" s="12">
        <f>-undergrid!O165*$AD$1</f>
        <v>0</v>
      </c>
      <c r="U169" s="12">
        <f>undergrid!U165*$AD$2</f>
        <v>6.1539999993600007</v>
      </c>
      <c r="V169" s="12">
        <f>undergrid!S165-N169</f>
        <v>0</v>
      </c>
      <c r="W169" s="12">
        <f t="shared" si="21"/>
        <v>6.1539999999999999</v>
      </c>
      <c r="X169" s="13">
        <f>undergrid!AJ165</f>
        <v>0.53033841729204023</v>
      </c>
    </row>
    <row r="170" spans="1:24" x14ac:dyDescent="0.3">
      <c r="A170" s="10">
        <v>165</v>
      </c>
      <c r="B170">
        <f>undergrid!C166*2+undergrid!E166</f>
        <v>15.859</v>
      </c>
      <c r="C170">
        <f>undergrid!C166*2</f>
        <v>13.42</v>
      </c>
      <c r="D170">
        <f>undergrid!E166</f>
        <v>2.4390000000000001</v>
      </c>
      <c r="E170" s="11">
        <f>undergrid!G166</f>
        <v>0.13</v>
      </c>
      <c r="F170">
        <f>undergrid!AL166</f>
        <v>15.859</v>
      </c>
      <c r="G170" s="12">
        <f>undergrid!Q166</f>
        <v>0</v>
      </c>
      <c r="H170" s="12">
        <f t="shared" si="17"/>
        <v>0</v>
      </c>
      <c r="I170" s="12">
        <f t="shared" si="18"/>
        <v>0</v>
      </c>
      <c r="J170" s="12">
        <f>-(undergrid!M166-Graphs!G170)</f>
        <v>-6.3999999999999996E-10</v>
      </c>
      <c r="K170" s="12">
        <f t="shared" si="19"/>
        <v>0</v>
      </c>
      <c r="L170" s="12">
        <f>Costs!AF166+Costs!AG166</f>
        <v>0</v>
      </c>
      <c r="M170" s="12">
        <f>-undergrid!Y166</f>
        <v>0</v>
      </c>
      <c r="N170" s="12">
        <f>undergrid!S166</f>
        <v>0</v>
      </c>
      <c r="O170" s="12">
        <f>IF(undergrid!S166&gt;0.0001,IF(C170-H170&gt;undergrid!S166,undergrid!S166,C170-H170),0)</f>
        <v>0</v>
      </c>
      <c r="P170" s="12">
        <f>undergrid!S166-O170</f>
        <v>0</v>
      </c>
      <c r="Q170" s="12">
        <f>-undergrid!W166</f>
        <v>0</v>
      </c>
      <c r="R170" s="12">
        <f t="shared" si="20"/>
        <v>0</v>
      </c>
      <c r="S170" s="22">
        <f>IF(undergrid!K166=2,1,0)</f>
        <v>0</v>
      </c>
      <c r="T170" s="12">
        <f>-undergrid!O166*$AD$1</f>
        <v>0</v>
      </c>
      <c r="U170" s="12">
        <f>undergrid!U166*$AD$2</f>
        <v>15.858999999360002</v>
      </c>
      <c r="V170" s="12">
        <f>undergrid!S166-N170</f>
        <v>0</v>
      </c>
      <c r="W170" s="12">
        <f t="shared" si="21"/>
        <v>15.859</v>
      </c>
      <c r="X170" s="13">
        <f>undergrid!AJ166</f>
        <v>0.35409760723667189</v>
      </c>
    </row>
    <row r="171" spans="1:24" x14ac:dyDescent="0.3">
      <c r="A171" s="10">
        <v>166</v>
      </c>
      <c r="B171">
        <f>undergrid!C167*2+undergrid!E167</f>
        <v>4.867</v>
      </c>
      <c r="C171">
        <f>undergrid!C167*2</f>
        <v>4.3600000000000003</v>
      </c>
      <c r="D171">
        <f>undergrid!E167</f>
        <v>0.50700000000000001</v>
      </c>
      <c r="E171" s="11">
        <f>undergrid!G167</f>
        <v>0.13</v>
      </c>
      <c r="F171">
        <f>undergrid!AL167</f>
        <v>4.867</v>
      </c>
      <c r="G171" s="12">
        <f>undergrid!Q167</f>
        <v>0</v>
      </c>
      <c r="H171" s="12">
        <f t="shared" si="17"/>
        <v>0</v>
      </c>
      <c r="I171" s="12">
        <f t="shared" si="18"/>
        <v>0</v>
      </c>
      <c r="J171" s="12">
        <f>-(undergrid!M167-Graphs!G171)</f>
        <v>-6.3999999999999996E-10</v>
      </c>
      <c r="K171" s="12">
        <f t="shared" si="19"/>
        <v>0</v>
      </c>
      <c r="L171" s="12">
        <f>Costs!AF167+Costs!AG167</f>
        <v>0</v>
      </c>
      <c r="M171" s="12">
        <f>-undergrid!Y167</f>
        <v>0</v>
      </c>
      <c r="N171" s="12">
        <f>undergrid!S167</f>
        <v>0</v>
      </c>
      <c r="O171" s="12">
        <f>IF(undergrid!S167&gt;0.0001,IF(C171-H171&gt;undergrid!S167,undergrid!S167,C171-H171),0)</f>
        <v>0</v>
      </c>
      <c r="P171" s="12">
        <f>undergrid!S167-O171</f>
        <v>0</v>
      </c>
      <c r="Q171" s="12">
        <f>-undergrid!W167</f>
        <v>0</v>
      </c>
      <c r="R171" s="12">
        <f t="shared" si="20"/>
        <v>0</v>
      </c>
      <c r="S171" s="22">
        <f>IF(undergrid!K167=2,1,0)</f>
        <v>0</v>
      </c>
      <c r="T171" s="12">
        <f>-undergrid!O167*$AD$1</f>
        <v>0</v>
      </c>
      <c r="U171" s="12">
        <f>undergrid!U167*$AD$2</f>
        <v>4.8669999993599999</v>
      </c>
      <c r="V171" s="12">
        <f>undergrid!S167-N171</f>
        <v>0</v>
      </c>
      <c r="W171" s="12">
        <f t="shared" si="21"/>
        <v>4.867</v>
      </c>
      <c r="X171" s="13">
        <f>undergrid!AJ167</f>
        <v>0.3</v>
      </c>
    </row>
    <row r="172" spans="1:24" x14ac:dyDescent="0.3">
      <c r="A172" s="10">
        <v>167</v>
      </c>
      <c r="B172">
        <f>undergrid!C168*2+undergrid!E168</f>
        <v>6.758</v>
      </c>
      <c r="C172">
        <f>undergrid!C168*2</f>
        <v>5.16</v>
      </c>
      <c r="D172">
        <f>undergrid!E168</f>
        <v>1.5980000000000001</v>
      </c>
      <c r="E172" s="11">
        <f>undergrid!G168</f>
        <v>0.08</v>
      </c>
      <c r="F172">
        <f>undergrid!AL168</f>
        <v>6.7596799999999968</v>
      </c>
      <c r="G172" s="12">
        <f>undergrid!Q168</f>
        <v>0</v>
      </c>
      <c r="H172" s="12">
        <f t="shared" si="17"/>
        <v>0</v>
      </c>
      <c r="I172" s="12">
        <f t="shared" si="18"/>
        <v>0</v>
      </c>
      <c r="J172" s="12">
        <f>-(undergrid!M168-Graphs!G172)</f>
        <v>-6.3999999999999996E-10</v>
      </c>
      <c r="K172" s="12">
        <f t="shared" si="19"/>
        <v>0</v>
      </c>
      <c r="L172" s="12">
        <f>Costs!AF168+Costs!AG168</f>
        <v>0</v>
      </c>
      <c r="M172" s="12">
        <f>-undergrid!Y168</f>
        <v>0</v>
      </c>
      <c r="N172" s="12">
        <f>undergrid!S168</f>
        <v>0</v>
      </c>
      <c r="O172" s="12">
        <f>IF(undergrid!S168&gt;0.0001,IF(C172-H172&gt;undergrid!S168,undergrid!S168,C172-H172),0)</f>
        <v>0</v>
      </c>
      <c r="P172" s="12">
        <f>undergrid!S168-O172</f>
        <v>0</v>
      </c>
      <c r="Q172" s="12">
        <f>-undergrid!W168</f>
        <v>-6.7598812983521572</v>
      </c>
      <c r="R172" s="12">
        <f t="shared" si="20"/>
        <v>6.7598812983521572</v>
      </c>
      <c r="S172" s="22">
        <f>IF(undergrid!K168=2,1,0)</f>
        <v>1</v>
      </c>
      <c r="T172" s="12">
        <f>-undergrid!O168*$AD$1</f>
        <v>-1.5959999999969553E-3</v>
      </c>
      <c r="U172" s="12">
        <f>undergrid!U168*$AD$2</f>
        <v>0</v>
      </c>
      <c r="V172" s="12">
        <f>undergrid!S168-N172</f>
        <v>0</v>
      </c>
      <c r="W172" s="12">
        <f t="shared" si="21"/>
        <v>6.758</v>
      </c>
      <c r="X172" s="13">
        <f>undergrid!AJ168</f>
        <v>0.3</v>
      </c>
    </row>
    <row r="173" spans="1:24" x14ac:dyDescent="0.3">
      <c r="A173" s="10">
        <v>168</v>
      </c>
      <c r="B173">
        <f>undergrid!C169*2+undergrid!E169</f>
        <v>5.0419999999999998</v>
      </c>
      <c r="C173">
        <f>undergrid!C169*2</f>
        <v>3.62</v>
      </c>
      <c r="D173">
        <f>undergrid!E169</f>
        <v>1.4219999999999999</v>
      </c>
      <c r="E173" s="11">
        <f>undergrid!G169</f>
        <v>0.08</v>
      </c>
      <c r="F173">
        <f>undergrid!AL169</f>
        <v>5.0436799999999966</v>
      </c>
      <c r="G173" s="12">
        <f>undergrid!Q169</f>
        <v>0</v>
      </c>
      <c r="H173" s="12">
        <f t="shared" si="17"/>
        <v>0</v>
      </c>
      <c r="I173" s="12">
        <f t="shared" si="18"/>
        <v>0</v>
      </c>
      <c r="J173" s="12">
        <f>-(undergrid!M169-Graphs!G173)</f>
        <v>-6.3999999999999996E-10</v>
      </c>
      <c r="K173" s="12">
        <f t="shared" si="19"/>
        <v>0</v>
      </c>
      <c r="L173" s="12">
        <f>Costs!AF169+Costs!AG169</f>
        <v>0</v>
      </c>
      <c r="M173" s="12">
        <f>-undergrid!Y169</f>
        <v>0</v>
      </c>
      <c r="N173" s="12">
        <f>undergrid!S169</f>
        <v>0</v>
      </c>
      <c r="O173" s="12">
        <f>IF(undergrid!S169&gt;0.0001,IF(C173-H173&gt;undergrid!S169,undergrid!S169,C173-H173),0)</f>
        <v>0</v>
      </c>
      <c r="P173" s="12">
        <f>undergrid!S169-O173</f>
        <v>0</v>
      </c>
      <c r="Q173" s="12">
        <f>-undergrid!W169</f>
        <v>-5.043881298352157</v>
      </c>
      <c r="R173" s="12">
        <f t="shared" si="20"/>
        <v>5.043881298352157</v>
      </c>
      <c r="S173" s="22">
        <f>IF(undergrid!K169=2,1,0)</f>
        <v>1</v>
      </c>
      <c r="T173" s="12">
        <f>-undergrid!O169*$AD$1</f>
        <v>-1.5959999999969553E-3</v>
      </c>
      <c r="U173" s="12">
        <f>undergrid!U169*$AD$2</f>
        <v>0</v>
      </c>
      <c r="V173" s="12">
        <f>undergrid!S169-N173</f>
        <v>0</v>
      </c>
      <c r="W173" s="12">
        <f t="shared" si="21"/>
        <v>5.0419999999999998</v>
      </c>
      <c r="X173" s="13">
        <f>undergrid!AJ169</f>
        <v>0.3</v>
      </c>
    </row>
  </sheetData>
  <mergeCells count="5">
    <mergeCell ref="A4:X4"/>
    <mergeCell ref="E2:F2"/>
    <mergeCell ref="G2:H2"/>
    <mergeCell ref="BS12:BV12"/>
    <mergeCell ref="BY12:CB12"/>
  </mergeCells>
  <hyperlinks>
    <hyperlink ref="E3" location="Graphs!AJ32" display="Week" xr:uid="{0FA4945F-45FE-4608-A8C4-A3C41D7D2875}"/>
    <hyperlink ref="F3" location="Graphs!BC25" display="48h" xr:uid="{352608A9-F628-4FC3-B48C-09254AC316C9}"/>
    <hyperlink ref="G3" location="Graphs!AK76" display="Week" xr:uid="{11D53F99-7841-4604-922A-464F7DEE70D7}"/>
    <hyperlink ref="H3" location="Graphs!BE71" display="48h" xr:uid="{AA93963B-9B64-4C41-BF22-3342EEC0B73B}"/>
    <hyperlink ref="I3" location="Graphs!AK115" display="Week" xr:uid="{C2C3A608-2E05-4135-9C0F-1D29B521AAE9}"/>
    <hyperlink ref="J3" location="Graphs!BE115" display="48h" xr:uid="{501F51E1-A6D9-468A-8B59-323C9E55353B}"/>
    <hyperlink ref="K3:L3" location="Battery!M17" display="Week" xr:uid="{39E25FBF-44EF-49B4-8263-0E7447924435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F72A5E3-D412-4AC2-A6E1-EEA781749353}">
          <x14:formula1>
            <xm:f>Costs!$A$2:$A$169</xm:f>
          </x14:formula1>
          <xm:sqref>BS11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D4DC-6266-47AC-AB3D-57836EB021BF}">
  <dimension ref="A1:K42"/>
  <sheetViews>
    <sheetView workbookViewId="0">
      <selection activeCell="L32" sqref="L32"/>
    </sheetView>
  </sheetViews>
  <sheetFormatPr defaultRowHeight="14.4" x14ac:dyDescent="0.3"/>
  <cols>
    <col min="3" max="3" width="17.88671875" customWidth="1"/>
    <col min="13" max="62" width="9.109375" customWidth="1"/>
  </cols>
  <sheetData>
    <row r="1" spans="1:11" x14ac:dyDescent="0.3">
      <c r="A1" t="s">
        <v>289</v>
      </c>
    </row>
    <row r="4" spans="1:11" x14ac:dyDescent="0.3">
      <c r="B4" t="s">
        <v>277</v>
      </c>
      <c r="C4" t="s">
        <v>278</v>
      </c>
    </row>
    <row r="5" spans="1:11" x14ac:dyDescent="0.3">
      <c r="B5" s="120" t="s">
        <v>21</v>
      </c>
      <c r="C5">
        <f>VLOOKUP(B5,Costs!A2:AO169,41)</f>
        <v>8.8445511799972731</v>
      </c>
      <c r="D5" s="102"/>
    </row>
    <row r="6" spans="1:11" x14ac:dyDescent="0.3">
      <c r="B6" s="145" t="s">
        <v>257</v>
      </c>
      <c r="C6" s="145"/>
      <c r="D6" s="145"/>
      <c r="E6" s="145"/>
      <c r="H6" s="145" t="s">
        <v>258</v>
      </c>
      <c r="I6" s="145"/>
      <c r="J6" s="145"/>
      <c r="K6" s="145"/>
    </row>
    <row r="7" spans="1:11" x14ac:dyDescent="0.3">
      <c r="C7" s="108" t="s">
        <v>264</v>
      </c>
      <c r="E7" s="108" t="s">
        <v>263</v>
      </c>
      <c r="I7" s="108" t="s">
        <v>265</v>
      </c>
      <c r="K7" s="108" t="s">
        <v>263</v>
      </c>
    </row>
    <row r="8" spans="1:11" x14ac:dyDescent="0.3">
      <c r="B8" t="s">
        <v>193</v>
      </c>
      <c r="C8" s="97">
        <f>Graphs!BT14</f>
        <v>0.5</v>
      </c>
      <c r="D8" t="str">
        <f>B8</f>
        <v>Load A</v>
      </c>
      <c r="E8">
        <f>VLOOKUP($B$5,Costs!A2:AK169,4)</f>
        <v>23.28</v>
      </c>
      <c r="H8" t="s">
        <v>259</v>
      </c>
      <c r="I8" s="99">
        <f>undergrid!AQ4</f>
        <v>1.9999999999999999E-6</v>
      </c>
      <c r="J8" t="str">
        <f>H8</f>
        <v>PV</v>
      </c>
      <c r="K8" s="12">
        <f>VLOOKUP(B5,Costs!A2:AK169,21)</f>
        <v>0</v>
      </c>
    </row>
    <row r="9" spans="1:11" x14ac:dyDescent="0.3">
      <c r="B9" t="s">
        <v>194</v>
      </c>
      <c r="C9" s="97">
        <f>Graphs!BT15</f>
        <v>0.14000000000000001</v>
      </c>
      <c r="D9" t="str">
        <f>B9</f>
        <v>Load B</v>
      </c>
      <c r="E9">
        <f>VLOOKUP(B5,Costs!A2:AK169,8)</f>
        <v>0</v>
      </c>
      <c r="H9" t="s">
        <v>260</v>
      </c>
      <c r="I9" s="126">
        <f>((undergrid!$AQ$7*7.5+undergrid!$AQ$8*undergrid!$AQ$9)*undergrid!$AQ$6)/7.5</f>
        <v>0.33332999999999996</v>
      </c>
      <c r="J9" t="str">
        <f>H9</f>
        <v>Genset</v>
      </c>
      <c r="K9" s="12">
        <f>VLOOKUP(B5,Costs!A2:AK169,23)</f>
        <v>7.7458824778439643</v>
      </c>
    </row>
    <row r="10" spans="1:11" x14ac:dyDescent="0.3">
      <c r="B10" t="s">
        <v>256</v>
      </c>
      <c r="C10" s="97">
        <f>Graphs!BT16</f>
        <v>0.13</v>
      </c>
      <c r="D10" t="str">
        <f>B10</f>
        <v>Grid Exp</v>
      </c>
      <c r="E10">
        <f>VLOOKUP(B5,Costs!A2:AK169,30)</f>
        <v>0</v>
      </c>
      <c r="H10" t="s">
        <v>261</v>
      </c>
      <c r="I10" s="108">
        <f>VLOOKUP(B5,Costs!A2:AK169,12)</f>
        <v>0.15</v>
      </c>
      <c r="J10" t="str">
        <f>H10</f>
        <v>Grid Imp</v>
      </c>
      <c r="K10" s="12">
        <f>VLOOKUP(B5,Costs!A2:AK169,28)</f>
        <v>0</v>
      </c>
    </row>
    <row r="11" spans="1:11" x14ac:dyDescent="0.3">
      <c r="B11" t="s">
        <v>266</v>
      </c>
      <c r="C11" s="97">
        <f>Graphs!BT17</f>
        <v>0</v>
      </c>
      <c r="D11" t="str">
        <f>B11</f>
        <v>Bat. Charge</v>
      </c>
      <c r="E11" s="11">
        <f>-SUM(E8:E10)+SUM(K8:K11)</f>
        <v>1.7260130575173349</v>
      </c>
      <c r="H11" t="s">
        <v>262</v>
      </c>
      <c r="I11" s="108">
        <f>undergrid!AQ5</f>
        <v>3.9999999999999998E-6</v>
      </c>
      <c r="J11" t="str">
        <f>H11</f>
        <v>Bat. Discharge</v>
      </c>
      <c r="K11">
        <f>VLOOKUP(B5,Costs!A2:AK169,25)</f>
        <v>17.260130579673373</v>
      </c>
    </row>
    <row r="12" spans="1:11" x14ac:dyDescent="0.3">
      <c r="B12" t="s">
        <v>274</v>
      </c>
      <c r="C12" s="97"/>
      <c r="E12">
        <f>VLOOKUP(B5,Costs!A2:AK169,18)</f>
        <v>0</v>
      </c>
    </row>
    <row r="13" spans="1:11" x14ac:dyDescent="0.3">
      <c r="B13" t="s">
        <v>275</v>
      </c>
      <c r="E13" s="118">
        <f>1-(E11-E12)/E11</f>
        <v>0</v>
      </c>
    </row>
    <row r="15" spans="1:11" x14ac:dyDescent="0.3">
      <c r="C15" t="str">
        <f>C7</f>
        <v>Price</v>
      </c>
      <c r="D15" t="str">
        <f>E7</f>
        <v>Energy</v>
      </c>
      <c r="E15" t="s">
        <v>276</v>
      </c>
      <c r="I15" t="str">
        <f>I7</f>
        <v>Cost</v>
      </c>
      <c r="J15" t="str">
        <f>K7</f>
        <v>Energy</v>
      </c>
      <c r="K15" t="s">
        <v>276</v>
      </c>
    </row>
    <row r="16" spans="1:11" x14ac:dyDescent="0.3">
      <c r="B16" t="str">
        <f>VLOOKUP(C16,$C$8:$D$10,2,FALSE)</f>
        <v>Load A</v>
      </c>
      <c r="C16" s="11">
        <f>LARGE($C$8:$C$10,ROWS(C8:$C$8))</f>
        <v>0.5</v>
      </c>
      <c r="D16" s="11">
        <f>VLOOKUP(C16,$C$8:$E$10,3,FALSE)</f>
        <v>23.28</v>
      </c>
      <c r="E16" s="11">
        <f>C16*D16</f>
        <v>11.64</v>
      </c>
      <c r="H16" t="str">
        <f>VLOOKUP(I16,$I$8:$J$11,2,FALSE)</f>
        <v>PV</v>
      </c>
      <c r="I16" s="101">
        <f>SMALL($I$8:$I$11,ROWS(I8:$I$8))</f>
        <v>1.9999999999999999E-6</v>
      </c>
      <c r="J16" s="11">
        <f>VLOOKUP(I16,$I$8:$K$11,3,FALSE)</f>
        <v>0</v>
      </c>
      <c r="K16" s="11">
        <f>I16*J16</f>
        <v>0</v>
      </c>
    </row>
    <row r="17" spans="2:11" x14ac:dyDescent="0.3">
      <c r="B17" t="str">
        <f t="shared" ref="B17:B18" si="0">VLOOKUP(C17,$C$8:$D$10,2,FALSE)</f>
        <v>Load B</v>
      </c>
      <c r="C17" s="11">
        <f>LARGE($C$8:$C$10,ROWS(C$8:$C9))</f>
        <v>0.14000000000000001</v>
      </c>
      <c r="D17" s="11">
        <f t="shared" ref="D17:D18" si="1">VLOOKUP(C17,$C$8:$E$10,3,FALSE)</f>
        <v>0</v>
      </c>
      <c r="E17" s="11">
        <f t="shared" ref="E17:E19" si="2">C17*D17</f>
        <v>0</v>
      </c>
      <c r="H17" t="str">
        <f t="shared" ref="H17:H19" si="3">VLOOKUP(I17,$I$8:$J$11,2,FALSE)</f>
        <v>Bat. Discharge</v>
      </c>
      <c r="I17" s="101">
        <f>SMALL($I$8:$I$11,ROWS(I$8:$I9))</f>
        <v>3.9999999999999998E-6</v>
      </c>
      <c r="J17" s="11">
        <f t="shared" ref="J17:J19" si="4">VLOOKUP(I17,$I$8:$K$11,3,FALSE)</f>
        <v>17.260130579673373</v>
      </c>
      <c r="K17" s="11">
        <f t="shared" ref="K17:K19" si="5">I17*J17</f>
        <v>6.9040522318693481E-5</v>
      </c>
    </row>
    <row r="18" spans="2:11" x14ac:dyDescent="0.3">
      <c r="B18" t="str">
        <f t="shared" si="0"/>
        <v>Grid Exp</v>
      </c>
      <c r="C18" s="11">
        <f>LARGE($C$8:$C$10,ROWS(C$8:$C10))</f>
        <v>0.13</v>
      </c>
      <c r="D18" s="11">
        <f t="shared" si="1"/>
        <v>0</v>
      </c>
      <c r="E18" s="11">
        <f t="shared" si="2"/>
        <v>0</v>
      </c>
      <c r="H18" t="str">
        <f t="shared" si="3"/>
        <v>Grid Imp</v>
      </c>
      <c r="I18" s="101">
        <f>SMALL($I$8:$I$11,ROWS(I$8:$I10))</f>
        <v>0.15</v>
      </c>
      <c r="J18" s="11">
        <f t="shared" si="4"/>
        <v>0</v>
      </c>
      <c r="K18" s="11">
        <f t="shared" si="5"/>
        <v>0</v>
      </c>
    </row>
    <row r="19" spans="2:11" x14ac:dyDescent="0.3">
      <c r="B19" t="str">
        <f>B11</f>
        <v>Bat. Charge</v>
      </c>
      <c r="C19">
        <f>C11</f>
        <v>0</v>
      </c>
      <c r="D19" s="102">
        <f>E11</f>
        <v>1.7260130575173349</v>
      </c>
      <c r="E19" s="11">
        <f t="shared" si="2"/>
        <v>0</v>
      </c>
      <c r="H19" t="str">
        <f t="shared" si="3"/>
        <v>Genset</v>
      </c>
      <c r="I19" s="101">
        <f>SMALL($I$8:$I$11,ROWS(I$8:$I11))</f>
        <v>0.33332999999999996</v>
      </c>
      <c r="J19" s="11">
        <f t="shared" si="4"/>
        <v>7.7458824778439643</v>
      </c>
      <c r="K19" s="11">
        <f t="shared" si="5"/>
        <v>2.5819350063397284</v>
      </c>
    </row>
    <row r="20" spans="2:11" x14ac:dyDescent="0.3">
      <c r="D20" s="11">
        <f>SUM(D16:D19)</f>
        <v>25.006013057517336</v>
      </c>
      <c r="E20" s="11">
        <f>SUM(E16:E19)</f>
        <v>11.64</v>
      </c>
      <c r="F20" s="11">
        <f>SUM(E16:E18)</f>
        <v>11.64</v>
      </c>
      <c r="J20" s="11">
        <f>SUM(J16:J19)</f>
        <v>25.006013057517336</v>
      </c>
      <c r="K20" s="11">
        <f>SUM(K16:K19)</f>
        <v>2.5820040468620471</v>
      </c>
    </row>
    <row r="22" spans="2:11" x14ac:dyDescent="0.3">
      <c r="B22" s="108" t="s">
        <v>257</v>
      </c>
      <c r="C22" s="108"/>
      <c r="D22" s="108"/>
      <c r="H22" s="108" t="s">
        <v>258</v>
      </c>
      <c r="I22" s="108"/>
      <c r="J22" s="108"/>
    </row>
    <row r="23" spans="2:11" x14ac:dyDescent="0.3">
      <c r="B23" t="str">
        <f>B16</f>
        <v>Load A</v>
      </c>
      <c r="C23">
        <v>0</v>
      </c>
      <c r="D23" s="97">
        <f>C16</f>
        <v>0.5</v>
      </c>
      <c r="H23" t="str">
        <f>H16</f>
        <v>PV</v>
      </c>
      <c r="I23">
        <v>0</v>
      </c>
      <c r="J23" s="97">
        <f>I16</f>
        <v>1.9999999999999999E-6</v>
      </c>
    </row>
    <row r="24" spans="2:11" x14ac:dyDescent="0.3">
      <c r="B24" t="str">
        <f>B23</f>
        <v>Load A</v>
      </c>
      <c r="C24" s="11">
        <f>D16</f>
        <v>23.28</v>
      </c>
      <c r="D24" s="97">
        <f>D23</f>
        <v>0.5</v>
      </c>
      <c r="H24" t="str">
        <f>H23</f>
        <v>PV</v>
      </c>
      <c r="I24" s="11">
        <f>J16</f>
        <v>0</v>
      </c>
      <c r="J24" s="97">
        <f>J23</f>
        <v>1.9999999999999999E-6</v>
      </c>
    </row>
    <row r="25" spans="2:11" x14ac:dyDescent="0.3">
      <c r="B25" t="str">
        <f>B17</f>
        <v>Load B</v>
      </c>
      <c r="C25">
        <f>C24</f>
        <v>23.28</v>
      </c>
      <c r="D25">
        <f>C17</f>
        <v>0.14000000000000001</v>
      </c>
      <c r="H25" t="str">
        <f>H17</f>
        <v>Bat. Discharge</v>
      </c>
      <c r="I25">
        <f>I24</f>
        <v>0</v>
      </c>
      <c r="J25">
        <f>I17</f>
        <v>3.9999999999999998E-6</v>
      </c>
    </row>
    <row r="26" spans="2:11" x14ac:dyDescent="0.3">
      <c r="B26" t="str">
        <f>B25</f>
        <v>Load B</v>
      </c>
      <c r="C26" s="11">
        <f>C25+D17</f>
        <v>23.28</v>
      </c>
      <c r="D26">
        <f>D25</f>
        <v>0.14000000000000001</v>
      </c>
      <c r="H26" t="str">
        <f>H25</f>
        <v>Bat. Discharge</v>
      </c>
      <c r="I26" s="11">
        <f>I25+J17</f>
        <v>17.260130579673373</v>
      </c>
      <c r="J26">
        <f>J25</f>
        <v>3.9999999999999998E-6</v>
      </c>
    </row>
    <row r="27" spans="2:11" x14ac:dyDescent="0.3">
      <c r="B27" t="str">
        <f>B18</f>
        <v>Grid Exp</v>
      </c>
      <c r="C27">
        <f>C26</f>
        <v>23.28</v>
      </c>
      <c r="D27">
        <f>C18</f>
        <v>0.13</v>
      </c>
      <c r="H27" t="str">
        <f>H18</f>
        <v>Grid Imp</v>
      </c>
      <c r="I27">
        <f>I26</f>
        <v>17.260130579673373</v>
      </c>
      <c r="J27">
        <f>I18</f>
        <v>0.15</v>
      </c>
    </row>
    <row r="28" spans="2:11" x14ac:dyDescent="0.3">
      <c r="B28" t="str">
        <f>B27</f>
        <v>Grid Exp</v>
      </c>
      <c r="C28" s="11">
        <f>C27+D18</f>
        <v>23.28</v>
      </c>
      <c r="D28">
        <f>D27</f>
        <v>0.13</v>
      </c>
      <c r="H28" t="str">
        <f>H27</f>
        <v>Grid Imp</v>
      </c>
      <c r="I28" s="11">
        <f>I27+J18</f>
        <v>17.260130579673373</v>
      </c>
      <c r="J28">
        <f>J27</f>
        <v>0.15</v>
      </c>
    </row>
    <row r="29" spans="2:11" x14ac:dyDescent="0.3">
      <c r="H29" t="str">
        <f>H19</f>
        <v>Genset</v>
      </c>
      <c r="I29" s="11">
        <f>I28</f>
        <v>17.260130579673373</v>
      </c>
      <c r="J29" s="100">
        <f>I19</f>
        <v>0.33332999999999996</v>
      </c>
    </row>
    <row r="30" spans="2:11" x14ac:dyDescent="0.3">
      <c r="B30" t="str">
        <f>B11</f>
        <v>Bat. Charge</v>
      </c>
      <c r="C30" s="11">
        <f>C28</f>
        <v>23.28</v>
      </c>
      <c r="D30">
        <f>C19</f>
        <v>0</v>
      </c>
      <c r="H30" t="str">
        <f>H29</f>
        <v>Genset</v>
      </c>
      <c r="I30" s="11">
        <f>I29+J19</f>
        <v>25.006013057517336</v>
      </c>
      <c r="J30" s="100">
        <f>J29</f>
        <v>0.33332999999999996</v>
      </c>
    </row>
    <row r="31" spans="2:11" x14ac:dyDescent="0.3">
      <c r="B31" t="str">
        <f>B30</f>
        <v>Bat. Charge</v>
      </c>
      <c r="C31" s="103">
        <f>C30+D19</f>
        <v>25.006013057517336</v>
      </c>
      <c r="D31" s="102">
        <f>D30</f>
        <v>0</v>
      </c>
    </row>
    <row r="32" spans="2:11" x14ac:dyDescent="0.3">
      <c r="H32" t="s">
        <v>278</v>
      </c>
      <c r="I32" s="11">
        <f>J20+5</f>
        <v>30.006013057517336</v>
      </c>
      <c r="J32">
        <v>0</v>
      </c>
    </row>
    <row r="33" spans="2:10" x14ac:dyDescent="0.3">
      <c r="B33" s="108" t="s">
        <v>257</v>
      </c>
      <c r="C33" s="108"/>
      <c r="D33" s="108"/>
      <c r="I33" s="11">
        <f>I32</f>
        <v>30.006013057517336</v>
      </c>
      <c r="J33">
        <f>C5</f>
        <v>8.8445511799972731</v>
      </c>
    </row>
    <row r="34" spans="2:10" x14ac:dyDescent="0.3">
      <c r="B34" t="str">
        <f>B23</f>
        <v>Load A</v>
      </c>
      <c r="C34">
        <f>C23</f>
        <v>0</v>
      </c>
      <c r="D34" s="97">
        <f>D23</f>
        <v>0.5</v>
      </c>
    </row>
    <row r="35" spans="2:10" x14ac:dyDescent="0.3">
      <c r="B35" t="str">
        <f t="shared" ref="B35:B42" si="6">B24</f>
        <v>Load A</v>
      </c>
      <c r="C35" s="11">
        <f>D20</f>
        <v>25.006013057517336</v>
      </c>
      <c r="D35" s="97">
        <f t="shared" ref="D35:D42" si="7">D24</f>
        <v>0.5</v>
      </c>
    </row>
    <row r="36" spans="2:10" x14ac:dyDescent="0.3">
      <c r="B36" t="str">
        <f t="shared" si="6"/>
        <v>Load B</v>
      </c>
      <c r="C36">
        <f>C34</f>
        <v>0</v>
      </c>
      <c r="D36" s="97">
        <f t="shared" si="7"/>
        <v>0.14000000000000001</v>
      </c>
    </row>
    <row r="37" spans="2:10" x14ac:dyDescent="0.3">
      <c r="B37" t="str">
        <f t="shared" si="6"/>
        <v>Load B</v>
      </c>
      <c r="C37" s="11">
        <f>C35</f>
        <v>25.006013057517336</v>
      </c>
      <c r="D37" s="97">
        <f t="shared" si="7"/>
        <v>0.14000000000000001</v>
      </c>
    </row>
    <row r="38" spans="2:10" x14ac:dyDescent="0.3">
      <c r="B38" t="str">
        <f t="shared" si="6"/>
        <v>Grid Exp</v>
      </c>
      <c r="C38">
        <f>C34</f>
        <v>0</v>
      </c>
      <c r="D38" s="97">
        <f t="shared" si="7"/>
        <v>0.13</v>
      </c>
    </row>
    <row r="39" spans="2:10" x14ac:dyDescent="0.3">
      <c r="B39" t="str">
        <f t="shared" si="6"/>
        <v>Grid Exp</v>
      </c>
      <c r="C39" s="11">
        <f>C37</f>
        <v>25.006013057517336</v>
      </c>
      <c r="D39" s="97">
        <f t="shared" si="7"/>
        <v>0.13</v>
      </c>
    </row>
    <row r="41" spans="2:10" x14ac:dyDescent="0.3">
      <c r="B41" t="str">
        <f t="shared" si="6"/>
        <v>Bat. Charge</v>
      </c>
      <c r="C41" s="11">
        <f>C38</f>
        <v>0</v>
      </c>
      <c r="D41" s="97">
        <f t="shared" si="7"/>
        <v>0</v>
      </c>
    </row>
    <row r="42" spans="2:10" x14ac:dyDescent="0.3">
      <c r="B42" t="str">
        <f t="shared" si="6"/>
        <v>Bat. Charge</v>
      </c>
      <c r="C42" s="103">
        <f>C39</f>
        <v>25.006013057517336</v>
      </c>
      <c r="D42" s="97">
        <f t="shared" si="7"/>
        <v>0</v>
      </c>
    </row>
  </sheetData>
  <mergeCells count="2">
    <mergeCell ref="B6:E6"/>
    <mergeCell ref="H6:K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CCA05E0-51F5-48AC-AA27-4BCABF122821}">
          <x14:formula1>
            <xm:f>Costs!$A$2:$A$169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7C39-579E-4CA5-BAB2-6BB9139482B5}">
  <sheetPr codeName="Sheet4"/>
  <dimension ref="A1:BA170"/>
  <sheetViews>
    <sheetView topLeftCell="A16" workbookViewId="0"/>
  </sheetViews>
  <sheetFormatPr defaultColWidth="11.5546875" defaultRowHeight="14.4" x14ac:dyDescent="0.3"/>
  <cols>
    <col min="5" max="53" width="11.5546875" style="19"/>
  </cols>
  <sheetData>
    <row r="1" spans="1:7" ht="49.2" x14ac:dyDescent="0.3">
      <c r="A1" s="27"/>
      <c r="B1" s="28" t="str">
        <f>Graphs!T5</f>
        <v>Bat_charge</v>
      </c>
      <c r="C1" s="29" t="str">
        <f>Graphs!U5</f>
        <v>Bat_discharge</v>
      </c>
      <c r="D1" s="30" t="str">
        <f>Graphs!X5</f>
        <v>SOC</v>
      </c>
      <c r="F1" s="41"/>
      <c r="G1" s="41"/>
    </row>
    <row r="2" spans="1:7" x14ac:dyDescent="0.3">
      <c r="A2" s="31">
        <f>Graphs!A6</f>
        <v>1</v>
      </c>
      <c r="B2" s="32">
        <f>-Graphs!T6</f>
        <v>0</v>
      </c>
      <c r="C2" s="32">
        <f>-Graphs!U6</f>
        <v>0</v>
      </c>
      <c r="D2" s="33">
        <f>Graphs!X6</f>
        <v>0.5</v>
      </c>
    </row>
    <row r="3" spans="1:7" x14ac:dyDescent="0.3">
      <c r="A3" s="31">
        <f>Graphs!A7</f>
        <v>2</v>
      </c>
      <c r="B3" s="32">
        <f>-Graphs!T7</f>
        <v>0</v>
      </c>
      <c r="C3" s="32">
        <f>-Graphs!U7</f>
        <v>0</v>
      </c>
      <c r="D3" s="33">
        <f>Graphs!X7</f>
        <v>0.49997199999999997</v>
      </c>
    </row>
    <row r="4" spans="1:7" x14ac:dyDescent="0.3">
      <c r="A4" s="31">
        <f>Graphs!A8</f>
        <v>3</v>
      </c>
      <c r="B4" s="32">
        <f>-Graphs!T8</f>
        <v>0.75902557278316707</v>
      </c>
      <c r="C4" s="32">
        <f>-Graphs!U8</f>
        <v>0</v>
      </c>
      <c r="D4" s="33">
        <f>Graphs!X8</f>
        <v>0.50793374443940176</v>
      </c>
    </row>
    <row r="5" spans="1:7" x14ac:dyDescent="0.3">
      <c r="A5" s="31">
        <f>Graphs!A9</f>
        <v>4</v>
      </c>
      <c r="B5" s="32">
        <f>-Graphs!T9</f>
        <v>15.534985200381755</v>
      </c>
      <c r="C5" s="32">
        <f>-Graphs!U9</f>
        <v>0</v>
      </c>
      <c r="D5" s="33">
        <f>Graphs!X9</f>
        <v>0.67143146015373167</v>
      </c>
    </row>
    <row r="6" spans="1:7" x14ac:dyDescent="0.3">
      <c r="A6" s="31">
        <f>Graphs!A10</f>
        <v>5</v>
      </c>
      <c r="B6" s="32">
        <f>-Graphs!T10</f>
        <v>15.506141300381755</v>
      </c>
      <c r="C6" s="32">
        <f>-Graphs!U10</f>
        <v>0</v>
      </c>
      <c r="D6" s="33">
        <f>Graphs!X10</f>
        <v>0.83461639999598147</v>
      </c>
    </row>
    <row r="7" spans="1:7" x14ac:dyDescent="0.3">
      <c r="A7" s="31">
        <f>Graphs!A11</f>
        <v>6</v>
      </c>
      <c r="B7" s="32">
        <f>-Graphs!T11</f>
        <v>15.711442000381759</v>
      </c>
      <c r="C7" s="32">
        <f>-Graphs!U11</f>
        <v>0</v>
      </c>
      <c r="D7" s="33">
        <f>Graphs!X11</f>
        <v>0.99995326148160035</v>
      </c>
    </row>
    <row r="8" spans="1:7" x14ac:dyDescent="0.3">
      <c r="A8" s="31">
        <f>Graphs!A12</f>
        <v>7</v>
      </c>
      <c r="B8" s="32">
        <f>-Graphs!T12</f>
        <v>0</v>
      </c>
      <c r="C8" s="32">
        <f>-Graphs!U12</f>
        <v>0</v>
      </c>
      <c r="D8" s="33">
        <f>Graphs!X12</f>
        <v>0.99989726409895741</v>
      </c>
    </row>
    <row r="9" spans="1:7" x14ac:dyDescent="0.3">
      <c r="A9" s="31">
        <f>Graphs!A13</f>
        <v>8</v>
      </c>
      <c r="B9" s="32">
        <f>-Graphs!T13</f>
        <v>0</v>
      </c>
      <c r="C9" s="32">
        <f>-Graphs!U13</f>
        <v>0</v>
      </c>
      <c r="D9" s="33">
        <f>Graphs!X13</f>
        <v>0.99984126985216792</v>
      </c>
    </row>
    <row r="10" spans="1:7" x14ac:dyDescent="0.3">
      <c r="A10" s="31">
        <f>Graphs!A14</f>
        <v>9</v>
      </c>
      <c r="B10" s="32">
        <f>-Graphs!T14</f>
        <v>0</v>
      </c>
      <c r="C10" s="32">
        <f>-Graphs!U14</f>
        <v>0</v>
      </c>
      <c r="D10" s="33">
        <f>Graphs!X14</f>
        <v>0.99978527874105627</v>
      </c>
    </row>
    <row r="11" spans="1:7" x14ac:dyDescent="0.3">
      <c r="A11" s="31">
        <f>Graphs!A15</f>
        <v>10</v>
      </c>
      <c r="B11" s="32">
        <f>-Graphs!T15</f>
        <v>0</v>
      </c>
      <c r="C11" s="32">
        <f>-Graphs!U15</f>
        <v>0</v>
      </c>
      <c r="D11" s="33">
        <f>Graphs!X15</f>
        <v>0.9997292907654467</v>
      </c>
    </row>
    <row r="12" spans="1:7" x14ac:dyDescent="0.3">
      <c r="A12" s="31">
        <f>Graphs!A16</f>
        <v>11</v>
      </c>
      <c r="B12" s="32">
        <f>-Graphs!T16</f>
        <v>0</v>
      </c>
      <c r="C12" s="32">
        <f>-Graphs!U16</f>
        <v>0</v>
      </c>
      <c r="D12" s="33">
        <f>Graphs!X16</f>
        <v>0.9996733059251639</v>
      </c>
    </row>
    <row r="13" spans="1:7" x14ac:dyDescent="0.3">
      <c r="A13" s="31">
        <f>Graphs!A17</f>
        <v>12</v>
      </c>
      <c r="B13" s="32">
        <f>-Graphs!T17</f>
        <v>0</v>
      </c>
      <c r="C13" s="32">
        <f>-Graphs!U17</f>
        <v>0</v>
      </c>
      <c r="D13" s="33">
        <f>Graphs!X17</f>
        <v>0.99961732422003213</v>
      </c>
    </row>
    <row r="14" spans="1:7" x14ac:dyDescent="0.3">
      <c r="A14" s="31">
        <f>Graphs!A18</f>
        <v>13</v>
      </c>
      <c r="B14" s="32">
        <f>-Graphs!T18</f>
        <v>0</v>
      </c>
      <c r="C14" s="32">
        <f>-Graphs!U18</f>
        <v>0</v>
      </c>
      <c r="D14" s="33">
        <f>Graphs!X18</f>
        <v>0.99956134564987575</v>
      </c>
    </row>
    <row r="15" spans="1:7" x14ac:dyDescent="0.3">
      <c r="A15" s="31">
        <f>Graphs!A19</f>
        <v>14</v>
      </c>
      <c r="B15" s="32">
        <f>-Graphs!T19</f>
        <v>0</v>
      </c>
      <c r="C15" s="32">
        <f>-Graphs!U19</f>
        <v>0</v>
      </c>
      <c r="D15" s="33">
        <f>Graphs!X19</f>
        <v>0.99950537021451946</v>
      </c>
    </row>
    <row r="16" spans="1:7" x14ac:dyDescent="0.3">
      <c r="A16" s="31">
        <f>Graphs!A20</f>
        <v>15</v>
      </c>
      <c r="B16" s="32">
        <f>-Graphs!T20</f>
        <v>0</v>
      </c>
      <c r="C16" s="32">
        <f>-Graphs!U20</f>
        <v>0</v>
      </c>
      <c r="D16" s="33">
        <f>Graphs!X20</f>
        <v>0.99944939791378762</v>
      </c>
    </row>
    <row r="17" spans="1:4" x14ac:dyDescent="0.3">
      <c r="A17" s="31">
        <f>Graphs!A21</f>
        <v>16</v>
      </c>
      <c r="B17" s="32">
        <f>-Graphs!T21</f>
        <v>5.2307198190180058E-2</v>
      </c>
      <c r="C17" s="32">
        <f>-Graphs!U21</f>
        <v>0</v>
      </c>
      <c r="D17" s="33">
        <f>Graphs!X21</f>
        <v>0.99994403083371697</v>
      </c>
    </row>
    <row r="18" spans="1:4" x14ac:dyDescent="0.3">
      <c r="A18" s="31">
        <f>Graphs!A22</f>
        <v>17</v>
      </c>
      <c r="B18" s="32">
        <f>-Graphs!T22</f>
        <v>0</v>
      </c>
      <c r="C18" s="32">
        <f>-Graphs!U22</f>
        <v>0</v>
      </c>
      <c r="D18" s="33">
        <f>Graphs!X22</f>
        <v>0.99988803396799031</v>
      </c>
    </row>
    <row r="19" spans="1:4" x14ac:dyDescent="0.3">
      <c r="A19" s="31">
        <f>Graphs!A23</f>
        <v>18</v>
      </c>
      <c r="B19" s="32">
        <f>-Graphs!T23</f>
        <v>1.063677304092323E-2</v>
      </c>
      <c r="C19" s="32">
        <f>-Graphs!U23</f>
        <v>0</v>
      </c>
      <c r="D19" s="33">
        <f>Graphs!X23</f>
        <v>0.99994400627009783</v>
      </c>
    </row>
    <row r="20" spans="1:4" x14ac:dyDescent="0.3">
      <c r="A20" s="31">
        <f>Graphs!A24</f>
        <v>19</v>
      </c>
      <c r="B20" s="32">
        <f>-Graphs!T24</f>
        <v>0</v>
      </c>
      <c r="C20" s="32">
        <f>-Graphs!U24</f>
        <v>-8.9600000000000026</v>
      </c>
      <c r="D20" s="33">
        <f>Graphs!X24</f>
        <v>0.90033245385019112</v>
      </c>
    </row>
    <row r="21" spans="1:4" x14ac:dyDescent="0.3">
      <c r="A21" s="31">
        <f>Graphs!A25</f>
        <v>20</v>
      </c>
      <c r="B21" s="32">
        <f>-Graphs!T25</f>
        <v>0</v>
      </c>
      <c r="C21" s="32">
        <f>-Graphs!U25</f>
        <v>-5.4199999995499999</v>
      </c>
      <c r="D21" s="33">
        <f>Graphs!X25</f>
        <v>0.84005981301555332</v>
      </c>
    </row>
    <row r="22" spans="1:4" x14ac:dyDescent="0.3">
      <c r="A22" s="31">
        <f>Graphs!A26</f>
        <v>21</v>
      </c>
      <c r="B22" s="32">
        <f>-Graphs!T26</f>
        <v>0</v>
      </c>
      <c r="C22" s="32">
        <f>-Graphs!U26</f>
        <v>-21.279999999550004</v>
      </c>
      <c r="D22" s="33">
        <f>Graphs!X26</f>
        <v>0.6035683252265801</v>
      </c>
    </row>
    <row r="23" spans="1:4" x14ac:dyDescent="0.3">
      <c r="A23" s="31">
        <f>Graphs!A27</f>
        <v>22</v>
      </c>
      <c r="B23" s="32">
        <f>-Graphs!T27</f>
        <v>0</v>
      </c>
      <c r="C23" s="32">
        <f>-Graphs!U27</f>
        <v>-15.534117521706035</v>
      </c>
      <c r="D23" s="33">
        <f>Graphs!X27</f>
        <v>0.43093321960363368</v>
      </c>
    </row>
    <row r="24" spans="1:4" x14ac:dyDescent="0.3">
      <c r="A24" s="31">
        <f>Graphs!A28</f>
        <v>23</v>
      </c>
      <c r="B24" s="32">
        <f>-Graphs!T28</f>
        <v>0</v>
      </c>
      <c r="C24" s="32">
        <f>-Graphs!U28</f>
        <v>-6.3199999995500002</v>
      </c>
      <c r="D24" s="33">
        <f>Graphs!X28</f>
        <v>0.3606868651261137</v>
      </c>
    </row>
    <row r="25" spans="1:4" x14ac:dyDescent="0.3">
      <c r="A25" s="31">
        <f>Graphs!A29</f>
        <v>24</v>
      </c>
      <c r="B25" s="32">
        <f>-Graphs!T29</f>
        <v>0</v>
      </c>
      <c r="C25" s="32">
        <f>-Graphs!U29</f>
        <v>-5.4599999995500008</v>
      </c>
      <c r="D25" s="33">
        <f>Graphs!X29</f>
        <v>0.3</v>
      </c>
    </row>
    <row r="26" spans="1:4" x14ac:dyDescent="0.3">
      <c r="A26" s="31">
        <f>Graphs!A30</f>
        <v>25</v>
      </c>
      <c r="B26" s="32">
        <f>-Graphs!T30</f>
        <v>1.5959999999969553E-3</v>
      </c>
      <c r="C26" s="32">
        <f>-Graphs!U30</f>
        <v>0</v>
      </c>
      <c r="D26" s="33">
        <f>Graphs!X30</f>
        <v>0.3</v>
      </c>
    </row>
    <row r="27" spans="1:4" x14ac:dyDescent="0.3">
      <c r="A27" s="31">
        <f>Graphs!A31</f>
        <v>26</v>
      </c>
      <c r="B27" s="32">
        <f>-Graphs!T31</f>
        <v>1.5959999999969553E-3</v>
      </c>
      <c r="C27" s="32">
        <f>-Graphs!U31</f>
        <v>0</v>
      </c>
      <c r="D27" s="33">
        <f>Graphs!X31</f>
        <v>0.3</v>
      </c>
    </row>
    <row r="28" spans="1:4" x14ac:dyDescent="0.3">
      <c r="A28" s="31">
        <f>Graphs!A32</f>
        <v>27</v>
      </c>
      <c r="B28" s="32">
        <f>-Graphs!T32</f>
        <v>13.270693377556745</v>
      </c>
      <c r="C28" s="32">
        <f>-Graphs!U32</f>
        <v>0</v>
      </c>
      <c r="D28" s="33">
        <f>Graphs!X32</f>
        <v>0.43967470923743945</v>
      </c>
    </row>
    <row r="29" spans="1:4" x14ac:dyDescent="0.3">
      <c r="A29" s="31">
        <f>Graphs!A33</f>
        <v>28</v>
      </c>
      <c r="B29" s="32">
        <f>-Graphs!T33</f>
        <v>16.552156850381756</v>
      </c>
      <c r="C29" s="32">
        <f>-Graphs!U33</f>
        <v>0</v>
      </c>
      <c r="D29" s="33">
        <f>Graphs!X33</f>
        <v>0.61388331745774072</v>
      </c>
    </row>
    <row r="30" spans="1:4" x14ac:dyDescent="0.3">
      <c r="A30" s="31">
        <f>Graphs!A34</f>
        <v>29</v>
      </c>
      <c r="B30" s="32">
        <f>-Graphs!T34</f>
        <v>18.546627700381759</v>
      </c>
      <c r="C30" s="32">
        <f>-Graphs!U34</f>
        <v>0</v>
      </c>
      <c r="D30" s="33">
        <f>Graphs!X34</f>
        <v>0.80907659999598147</v>
      </c>
    </row>
    <row r="31" spans="1:4" x14ac:dyDescent="0.3">
      <c r="A31" s="31">
        <f>Graphs!A35</f>
        <v>30</v>
      </c>
      <c r="B31" s="32">
        <f>-Graphs!T35</f>
        <v>18.137723000381758</v>
      </c>
      <c r="C31" s="32">
        <f>-Graphs!U35</f>
        <v>0</v>
      </c>
      <c r="D31" s="33">
        <f>Graphs!X35</f>
        <v>0.9999546917104003</v>
      </c>
    </row>
    <row r="32" spans="1:4" x14ac:dyDescent="0.3">
      <c r="A32" s="31">
        <f>Graphs!A36</f>
        <v>31</v>
      </c>
      <c r="B32" s="32">
        <f>-Graphs!T36</f>
        <v>0</v>
      </c>
      <c r="C32" s="32">
        <f>-Graphs!U36</f>
        <v>-27</v>
      </c>
      <c r="D32" s="33">
        <f>Graphs!X36</f>
        <v>0.69989869424766449</v>
      </c>
    </row>
    <row r="33" spans="1:4" x14ac:dyDescent="0.3">
      <c r="A33" s="31">
        <f>Graphs!A37</f>
        <v>32</v>
      </c>
      <c r="B33" s="32">
        <f>-Graphs!T37</f>
        <v>0</v>
      </c>
      <c r="C33" s="32">
        <f>-Graphs!U37</f>
        <v>-1.035844344518263</v>
      </c>
      <c r="D33" s="33">
        <f>Graphs!X37</f>
        <v>0.68835011831502824</v>
      </c>
    </row>
    <row r="34" spans="1:4" x14ac:dyDescent="0.3">
      <c r="A34" s="31">
        <f>Graphs!A38</f>
        <v>33</v>
      </c>
      <c r="B34" s="32">
        <f>-Graphs!T38</f>
        <v>0</v>
      </c>
      <c r="C34" s="32">
        <f>-Graphs!U38</f>
        <v>0</v>
      </c>
      <c r="D34" s="33">
        <f>Graphs!X38</f>
        <v>0.68831157070840265</v>
      </c>
    </row>
    <row r="35" spans="1:4" x14ac:dyDescent="0.3">
      <c r="A35" s="31">
        <f>Graphs!A39</f>
        <v>34</v>
      </c>
      <c r="B35" s="32">
        <f>-Graphs!T39</f>
        <v>0</v>
      </c>
      <c r="C35" s="32">
        <f>-Graphs!U39</f>
        <v>0</v>
      </c>
      <c r="D35" s="33">
        <f>Graphs!X39</f>
        <v>0.68827302526044287</v>
      </c>
    </row>
    <row r="36" spans="1:4" x14ac:dyDescent="0.3">
      <c r="A36" s="31">
        <f>Graphs!A40</f>
        <v>35</v>
      </c>
      <c r="B36" s="32">
        <f>-Graphs!T40</f>
        <v>0</v>
      </c>
      <c r="C36" s="32">
        <f>-Graphs!U40</f>
        <v>0</v>
      </c>
      <c r="D36" s="33">
        <f>Graphs!X40</f>
        <v>0.68823448197102832</v>
      </c>
    </row>
    <row r="37" spans="1:4" x14ac:dyDescent="0.3">
      <c r="A37" s="31">
        <f>Graphs!A41</f>
        <v>36</v>
      </c>
      <c r="B37" s="32">
        <f>-Graphs!T41</f>
        <v>0</v>
      </c>
      <c r="C37" s="32">
        <f>-Graphs!U41</f>
        <v>0</v>
      </c>
      <c r="D37" s="33">
        <f>Graphs!X41</f>
        <v>0.68819594084003799</v>
      </c>
    </row>
    <row r="38" spans="1:4" x14ac:dyDescent="0.3">
      <c r="A38" s="31">
        <f>Graphs!A42</f>
        <v>37</v>
      </c>
      <c r="B38" s="32">
        <f>-Graphs!T42</f>
        <v>0</v>
      </c>
      <c r="C38" s="32">
        <f>-Graphs!U42</f>
        <v>0</v>
      </c>
      <c r="D38" s="33">
        <f>Graphs!X42</f>
        <v>0.68815740186735097</v>
      </c>
    </row>
    <row r="39" spans="1:4" x14ac:dyDescent="0.3">
      <c r="A39" s="31">
        <f>Graphs!A43</f>
        <v>38</v>
      </c>
      <c r="B39" s="32">
        <f>-Graphs!T43</f>
        <v>10.44403685</v>
      </c>
      <c r="C39" s="32">
        <f>-Graphs!U43</f>
        <v>0</v>
      </c>
      <c r="D39" s="33">
        <f>Graphs!X43</f>
        <v>0.79805609505284636</v>
      </c>
    </row>
    <row r="40" spans="1:4" x14ac:dyDescent="0.3">
      <c r="A40" s="31">
        <f>Graphs!A44</f>
        <v>39</v>
      </c>
      <c r="B40" s="32">
        <f>-Graphs!T44</f>
        <v>2.3762283500000039</v>
      </c>
      <c r="C40" s="32">
        <f>-Graphs!U44</f>
        <v>0</v>
      </c>
      <c r="D40" s="33">
        <f>Graphs!X44</f>
        <v>0.82302433391152352</v>
      </c>
    </row>
    <row r="41" spans="1:4" x14ac:dyDescent="0.3">
      <c r="A41" s="31">
        <f>Graphs!A45</f>
        <v>40</v>
      </c>
      <c r="B41" s="32">
        <f>-Graphs!T45</f>
        <v>10.129299</v>
      </c>
      <c r="C41" s="32">
        <f>-Graphs!U45</f>
        <v>0</v>
      </c>
      <c r="D41" s="33">
        <f>Graphs!X45</f>
        <v>0.92960244454882457</v>
      </c>
    </row>
    <row r="42" spans="1:4" x14ac:dyDescent="0.3">
      <c r="A42" s="31">
        <f>Graphs!A46</f>
        <v>41</v>
      </c>
      <c r="B42" s="32">
        <f>-Graphs!T46</f>
        <v>0.26129179999999941</v>
      </c>
      <c r="C42" s="32">
        <f>-Graphs!U46</f>
        <v>0</v>
      </c>
      <c r="D42" s="33">
        <f>Graphs!X46</f>
        <v>0.93230082681192983</v>
      </c>
    </row>
    <row r="43" spans="1:4" x14ac:dyDescent="0.3">
      <c r="A43" s="31">
        <f>Graphs!A47</f>
        <v>42</v>
      </c>
      <c r="B43" s="32">
        <f>-Graphs!T47</f>
        <v>0</v>
      </c>
      <c r="C43" s="32">
        <f>-Graphs!U47</f>
        <v>-6.6730000000000009</v>
      </c>
      <c r="D43" s="33">
        <f>Graphs!X47</f>
        <v>0.85810417352118395</v>
      </c>
    </row>
    <row r="44" spans="1:4" x14ac:dyDescent="0.3">
      <c r="A44" s="31">
        <f>Graphs!A48</f>
        <v>43</v>
      </c>
      <c r="B44" s="32">
        <f>-Graphs!T48</f>
        <v>0</v>
      </c>
      <c r="C44" s="32">
        <f>-Graphs!U48</f>
        <v>-5.9849999999999985</v>
      </c>
      <c r="D44" s="33">
        <f>Graphs!X48</f>
        <v>0.79155611968746686</v>
      </c>
    </row>
    <row r="45" spans="1:4" x14ac:dyDescent="0.3">
      <c r="A45" s="31">
        <f>Graphs!A49</f>
        <v>44</v>
      </c>
      <c r="B45" s="32">
        <f>-Graphs!T49</f>
        <v>0</v>
      </c>
      <c r="C45" s="32">
        <f>-Graphs!U49</f>
        <v>-6.4189999993600013</v>
      </c>
      <c r="D45" s="33">
        <f>Graphs!X49</f>
        <v>0.72018957032965314</v>
      </c>
    </row>
    <row r="46" spans="1:4" x14ac:dyDescent="0.3">
      <c r="A46" s="31">
        <f>Graphs!A50</f>
        <v>45</v>
      </c>
      <c r="B46" s="32">
        <f>-Graphs!T50</f>
        <v>0</v>
      </c>
      <c r="C46" s="32">
        <f>-Graphs!U50</f>
        <v>-18.83699999936</v>
      </c>
      <c r="D46" s="33">
        <f>Graphs!X50</f>
        <v>0.51084923972082596</v>
      </c>
    </row>
    <row r="47" spans="1:4" x14ac:dyDescent="0.3">
      <c r="A47" s="31">
        <f>Graphs!A51</f>
        <v>46</v>
      </c>
      <c r="B47" s="32">
        <f>-Graphs!T51</f>
        <v>0</v>
      </c>
      <c r="C47" s="32">
        <f>-Graphs!U51</f>
        <v>-12.814999999360001</v>
      </c>
      <c r="D47" s="33">
        <f>Graphs!X51</f>
        <v>0.36843174328162376</v>
      </c>
    </row>
    <row r="48" spans="1:4" x14ac:dyDescent="0.3">
      <c r="A48" s="31">
        <f>Graphs!A52</f>
        <v>47</v>
      </c>
      <c r="B48" s="32">
        <f>-Graphs!T52</f>
        <v>0</v>
      </c>
      <c r="C48" s="32">
        <f>-Graphs!U52</f>
        <v>-6.15699999936</v>
      </c>
      <c r="D48" s="33">
        <f>Graphs!X52</f>
        <v>0.3</v>
      </c>
    </row>
    <row r="49" spans="1:4" x14ac:dyDescent="0.3">
      <c r="A49" s="31">
        <f>Graphs!A53</f>
        <v>48</v>
      </c>
      <c r="B49" s="32">
        <f>-Graphs!T53</f>
        <v>1.5959999999969553E-3</v>
      </c>
      <c r="C49" s="32">
        <f>-Graphs!U53</f>
        <v>0</v>
      </c>
      <c r="D49" s="33">
        <f>Graphs!X53</f>
        <v>0.3</v>
      </c>
    </row>
    <row r="50" spans="1:4" x14ac:dyDescent="0.3">
      <c r="A50" s="31">
        <f>Graphs!A54</f>
        <v>49</v>
      </c>
      <c r="B50" s="32">
        <f>-Graphs!T54</f>
        <v>1.5959999999969553E-3</v>
      </c>
      <c r="C50" s="32">
        <f>-Graphs!U54</f>
        <v>0</v>
      </c>
      <c r="D50" s="33">
        <f>Graphs!X54</f>
        <v>0.3</v>
      </c>
    </row>
    <row r="51" spans="1:4" x14ac:dyDescent="0.3">
      <c r="A51" s="31">
        <f>Graphs!A55</f>
        <v>50</v>
      </c>
      <c r="B51" s="32">
        <f>-Graphs!T55</f>
        <v>7.0746329296555457E-2</v>
      </c>
      <c r="C51" s="32">
        <f>-Graphs!U55</f>
        <v>0</v>
      </c>
      <c r="D51" s="33">
        <f>Graphs!X55</f>
        <v>0.30072789820312168</v>
      </c>
    </row>
    <row r="52" spans="1:4" x14ac:dyDescent="0.3">
      <c r="A52" s="31">
        <f>Graphs!A56</f>
        <v>51</v>
      </c>
      <c r="B52" s="32">
        <f>-Graphs!T56</f>
        <v>17.680462350542943</v>
      </c>
      <c r="C52" s="32">
        <f>-Graphs!U56</f>
        <v>0</v>
      </c>
      <c r="D52" s="33">
        <f>Graphs!X56</f>
        <v>0.48682118744653752</v>
      </c>
    </row>
    <row r="53" spans="1:4" x14ac:dyDescent="0.3">
      <c r="A53" s="31">
        <f>Graphs!A57</f>
        <v>52</v>
      </c>
      <c r="B53" s="32">
        <f>-Graphs!T57</f>
        <v>16.090654450542942</v>
      </c>
      <c r="C53" s="32">
        <f>-Graphs!U57</f>
        <v>0</v>
      </c>
      <c r="D53" s="33">
        <f>Graphs!X57</f>
        <v>0.65616923546575578</v>
      </c>
    </row>
    <row r="54" spans="1:4" x14ac:dyDescent="0.3">
      <c r="A54" s="31">
        <f>Graphs!A58</f>
        <v>53</v>
      </c>
      <c r="B54" s="32">
        <f>-Graphs!T58</f>
        <v>16.686196150542944</v>
      </c>
      <c r="C54" s="32">
        <f>-Graphs!U58</f>
        <v>0</v>
      </c>
      <c r="D54" s="33">
        <f>Graphs!X58</f>
        <v>0.83177665999428485</v>
      </c>
    </row>
    <row r="55" spans="1:4" x14ac:dyDescent="0.3">
      <c r="A55" s="31">
        <f>Graphs!A59</f>
        <v>54</v>
      </c>
      <c r="B55" s="32">
        <f>-Graphs!T59</f>
        <v>15.981217300542943</v>
      </c>
      <c r="C55" s="32">
        <f>-Graphs!U59</f>
        <v>0</v>
      </c>
      <c r="D55" s="33">
        <f>Graphs!X59</f>
        <v>0.99995342050704039</v>
      </c>
    </row>
    <row r="56" spans="1:4" x14ac:dyDescent="0.3">
      <c r="A56" s="31">
        <f>Graphs!A60</f>
        <v>55</v>
      </c>
      <c r="B56" s="32">
        <f>-Graphs!T60</f>
        <v>0</v>
      </c>
      <c r="C56" s="32">
        <f>-Graphs!U60</f>
        <v>-4.6669999993599998</v>
      </c>
      <c r="D56" s="33">
        <f>Graphs!X60</f>
        <v>0.94804186756704767</v>
      </c>
    </row>
    <row r="57" spans="1:4" x14ac:dyDescent="0.3">
      <c r="A57" s="31">
        <f>Graphs!A61</f>
        <v>56</v>
      </c>
      <c r="B57" s="32">
        <f>-Graphs!T61</f>
        <v>0</v>
      </c>
      <c r="C57" s="32">
        <f>-Graphs!U61</f>
        <v>-3.0509999993200001</v>
      </c>
      <c r="D57" s="33">
        <f>Graphs!X61</f>
        <v>0.91408877723001969</v>
      </c>
    </row>
    <row r="58" spans="1:4" x14ac:dyDescent="0.3">
      <c r="A58" s="31">
        <f>Graphs!A62</f>
        <v>57</v>
      </c>
      <c r="B58" s="32">
        <f>-Graphs!T62</f>
        <v>0</v>
      </c>
      <c r="C58" s="32">
        <f>-Graphs!U62</f>
        <v>0</v>
      </c>
      <c r="D58" s="33">
        <f>Graphs!X62</f>
        <v>0.91403758825849479</v>
      </c>
    </row>
    <row r="59" spans="1:4" x14ac:dyDescent="0.3">
      <c r="A59" s="31">
        <f>Graphs!A63</f>
        <v>58</v>
      </c>
      <c r="B59" s="32">
        <f>-Graphs!T63</f>
        <v>0</v>
      </c>
      <c r="C59" s="32">
        <f>-Graphs!U63</f>
        <v>-1.4315653151662404</v>
      </c>
      <c r="D59" s="33">
        <f>Graphs!X63</f>
        <v>0.89808012087392752</v>
      </c>
    </row>
    <row r="60" spans="1:4" x14ac:dyDescent="0.3">
      <c r="A60" s="31">
        <f>Graphs!A64</f>
        <v>59</v>
      </c>
      <c r="B60" s="32">
        <f>-Graphs!T64</f>
        <v>0</v>
      </c>
      <c r="C60" s="32">
        <f>-Graphs!U64</f>
        <v>-3.6990000000000012</v>
      </c>
      <c r="D60" s="33">
        <f>Graphs!X64</f>
        <v>0.85692982838715859</v>
      </c>
    </row>
    <row r="61" spans="1:4" x14ac:dyDescent="0.3">
      <c r="A61" s="31">
        <f>Graphs!A65</f>
        <v>60</v>
      </c>
      <c r="B61" s="32">
        <f>-Graphs!T65</f>
        <v>0</v>
      </c>
      <c r="C61" s="32">
        <f>-Graphs!U65</f>
        <v>-7.6630000000000003</v>
      </c>
      <c r="D61" s="33">
        <f>Graphs!X65</f>
        <v>0.77173739587232448</v>
      </c>
    </row>
    <row r="62" spans="1:4" x14ac:dyDescent="0.3">
      <c r="A62" s="31">
        <f>Graphs!A66</f>
        <v>61</v>
      </c>
      <c r="B62" s="32">
        <f>-Graphs!T66</f>
        <v>2.8776032000000002</v>
      </c>
      <c r="C62" s="32">
        <f>-Graphs!U66</f>
        <v>0</v>
      </c>
      <c r="D62" s="33">
        <f>Graphs!X66</f>
        <v>0.80198473857815566</v>
      </c>
    </row>
    <row r="63" spans="1:4" x14ac:dyDescent="0.3">
      <c r="A63" s="31">
        <f>Graphs!A67</f>
        <v>62</v>
      </c>
      <c r="B63" s="32">
        <f>-Graphs!T67</f>
        <v>0</v>
      </c>
      <c r="C63" s="32">
        <f>-Graphs!U67</f>
        <v>-0.16799999999999909</v>
      </c>
      <c r="D63" s="33">
        <f>Graphs!X67</f>
        <v>0.80007316076612878</v>
      </c>
    </row>
    <row r="64" spans="1:4" x14ac:dyDescent="0.3">
      <c r="A64" s="31">
        <f>Graphs!A68</f>
        <v>63</v>
      </c>
      <c r="B64" s="32">
        <f>-Graphs!T68</f>
        <v>0</v>
      </c>
      <c r="C64" s="32">
        <f>-Graphs!U68</f>
        <v>0</v>
      </c>
      <c r="D64" s="33">
        <f>Graphs!X68</f>
        <v>0.80002835666912586</v>
      </c>
    </row>
    <row r="65" spans="1:4" x14ac:dyDescent="0.3">
      <c r="A65" s="31">
        <f>Graphs!A69</f>
        <v>64</v>
      </c>
      <c r="B65" s="32">
        <f>-Graphs!T69</f>
        <v>0</v>
      </c>
      <c r="C65" s="32">
        <f>-Graphs!U69</f>
        <v>0</v>
      </c>
      <c r="D65" s="33">
        <f>Graphs!X69</f>
        <v>0.79998355508115238</v>
      </c>
    </row>
    <row r="66" spans="1:4" x14ac:dyDescent="0.3">
      <c r="A66" s="31">
        <f>Graphs!A70</f>
        <v>65</v>
      </c>
      <c r="B66" s="32">
        <f>-Graphs!T70</f>
        <v>0</v>
      </c>
      <c r="C66" s="32">
        <f>-Graphs!U70</f>
        <v>0</v>
      </c>
      <c r="D66" s="33">
        <f>Graphs!X70</f>
        <v>0.79993875600206787</v>
      </c>
    </row>
    <row r="67" spans="1:4" x14ac:dyDescent="0.3">
      <c r="A67" s="31">
        <f>Graphs!A71</f>
        <v>66</v>
      </c>
      <c r="B67" s="32">
        <f>-Graphs!T71</f>
        <v>0</v>
      </c>
      <c r="C67" s="32">
        <f>-Graphs!U71</f>
        <v>0</v>
      </c>
      <c r="D67" s="33">
        <f>Graphs!X71</f>
        <v>0.7998939594317318</v>
      </c>
    </row>
    <row r="68" spans="1:4" x14ac:dyDescent="0.3">
      <c r="A68" s="31">
        <f>Graphs!A72</f>
        <v>67</v>
      </c>
      <c r="B68" s="32">
        <f>-Graphs!T72</f>
        <v>0</v>
      </c>
      <c r="C68" s="32">
        <f>-Graphs!U72</f>
        <v>-16.16899999936</v>
      </c>
      <c r="D68" s="33">
        <f>Graphs!X72</f>
        <v>0.62019360982155924</v>
      </c>
    </row>
    <row r="69" spans="1:4" x14ac:dyDescent="0.3">
      <c r="A69" s="31">
        <f>Graphs!A73</f>
        <v>68</v>
      </c>
      <c r="B69" s="32">
        <f>-Graphs!T73</f>
        <v>0</v>
      </c>
      <c r="C69" s="32">
        <f>-Graphs!U73</f>
        <v>-6.0459999993600002</v>
      </c>
      <c r="D69" s="33">
        <f>Graphs!X73</f>
        <v>0.55298110120874255</v>
      </c>
    </row>
    <row r="70" spans="1:4" x14ac:dyDescent="0.3">
      <c r="A70" s="31">
        <f>Graphs!A74</f>
        <v>69</v>
      </c>
      <c r="B70" s="32">
        <f>-Graphs!T74</f>
        <v>0</v>
      </c>
      <c r="C70" s="32">
        <f>-Graphs!U74</f>
        <v>-22.763999999360003</v>
      </c>
      <c r="D70" s="33">
        <f>Graphs!X74</f>
        <v>0.30001680094085265</v>
      </c>
    </row>
    <row r="71" spans="1:4" x14ac:dyDescent="0.3">
      <c r="A71" s="31">
        <f>Graphs!A75</f>
        <v>70</v>
      </c>
      <c r="B71" s="32">
        <f>-Graphs!T75</f>
        <v>0</v>
      </c>
      <c r="C71" s="32">
        <f>-Graphs!U75</f>
        <v>0</v>
      </c>
      <c r="D71" s="33">
        <f>Graphs!X75</f>
        <v>0.3</v>
      </c>
    </row>
    <row r="72" spans="1:4" x14ac:dyDescent="0.3">
      <c r="A72" s="31">
        <f>Graphs!A76</f>
        <v>71</v>
      </c>
      <c r="B72" s="32">
        <f>-Graphs!T76</f>
        <v>1.5959999999969553E-3</v>
      </c>
      <c r="C72" s="32">
        <f>-Graphs!U76</f>
        <v>0</v>
      </c>
      <c r="D72" s="33">
        <f>Graphs!X76</f>
        <v>0.3</v>
      </c>
    </row>
    <row r="73" spans="1:4" x14ac:dyDescent="0.3">
      <c r="A73" s="31">
        <f>Graphs!A77</f>
        <v>72</v>
      </c>
      <c r="B73" s="32">
        <f>-Graphs!T77</f>
        <v>1.5959999999969553E-3</v>
      </c>
      <c r="C73" s="32">
        <f>-Graphs!U77</f>
        <v>0</v>
      </c>
      <c r="D73" s="33">
        <f>Graphs!X77</f>
        <v>0.3</v>
      </c>
    </row>
    <row r="74" spans="1:4" x14ac:dyDescent="0.3">
      <c r="A74" s="31">
        <f>Graphs!A78</f>
        <v>73</v>
      </c>
      <c r="B74" s="32">
        <f>-Graphs!T78</f>
        <v>1.5959999999969553E-3</v>
      </c>
      <c r="C74" s="32">
        <f>-Graphs!U78</f>
        <v>0</v>
      </c>
      <c r="D74" s="33">
        <f>Graphs!X78</f>
        <v>0.3</v>
      </c>
    </row>
    <row r="75" spans="1:4" x14ac:dyDescent="0.3">
      <c r="A75" s="31">
        <f>Graphs!A79</f>
        <v>74</v>
      </c>
      <c r="B75" s="32">
        <f>-Graphs!T79</f>
        <v>1.5959999999969553E-3</v>
      </c>
      <c r="C75" s="32">
        <f>-Graphs!U79</f>
        <v>0</v>
      </c>
      <c r="D75" s="33">
        <f>Graphs!X79</f>
        <v>0.3</v>
      </c>
    </row>
    <row r="76" spans="1:4" x14ac:dyDescent="0.3">
      <c r="A76" s="31">
        <f>Graphs!A80</f>
        <v>75</v>
      </c>
      <c r="B76" s="32">
        <f>-Graphs!T80</f>
        <v>12.972963104041833</v>
      </c>
      <c r="C76" s="32">
        <f>-Graphs!U80</f>
        <v>0</v>
      </c>
      <c r="D76" s="33">
        <f>Graphs!X80</f>
        <v>0.43654070635833514</v>
      </c>
    </row>
    <row r="77" spans="1:4" x14ac:dyDescent="0.3">
      <c r="A77" s="31">
        <f>Graphs!A81</f>
        <v>76</v>
      </c>
      <c r="B77" s="32">
        <f>-Graphs!T81</f>
        <v>17.872189450542944</v>
      </c>
      <c r="C77" s="32">
        <f>-Graphs!U81</f>
        <v>0</v>
      </c>
      <c r="D77" s="33">
        <f>Graphs!X81</f>
        <v>0.62464457008449426</v>
      </c>
    </row>
    <row r="78" spans="1:4" x14ac:dyDescent="0.3">
      <c r="A78" s="31">
        <f>Graphs!A82</f>
        <v>77</v>
      </c>
      <c r="B78" s="32">
        <f>-Graphs!T82</f>
        <v>18.221709650542945</v>
      </c>
      <c r="C78" s="32">
        <f>-Graphs!U82</f>
        <v>0</v>
      </c>
      <c r="D78" s="33">
        <f>Graphs!X82</f>
        <v>0.81641705999428482</v>
      </c>
    </row>
    <row r="79" spans="1:4" x14ac:dyDescent="0.3">
      <c r="A79" s="31">
        <f>Graphs!A83</f>
        <v>78</v>
      </c>
      <c r="B79" s="32">
        <f>-Graphs!T83</f>
        <v>17.440379300542943</v>
      </c>
      <c r="C79" s="32">
        <f>-Graphs!U83</f>
        <v>0</v>
      </c>
      <c r="D79" s="33">
        <f>Graphs!X83</f>
        <v>0.99995428064464031</v>
      </c>
    </row>
    <row r="80" spans="1:4" x14ac:dyDescent="0.3">
      <c r="A80" s="31">
        <f>Graphs!A84</f>
        <v>79</v>
      </c>
      <c r="B80" s="32">
        <f>-Graphs!T84</f>
        <v>0</v>
      </c>
      <c r="C80" s="32">
        <f>-Graphs!U84</f>
        <v>-27</v>
      </c>
      <c r="D80" s="33">
        <f>Graphs!X84</f>
        <v>0.69989828320492431</v>
      </c>
    </row>
    <row r="81" spans="1:4" x14ac:dyDescent="0.3">
      <c r="A81" s="31">
        <f>Graphs!A85</f>
        <v>80</v>
      </c>
      <c r="B81" s="32">
        <f>-Graphs!T85</f>
        <v>0</v>
      </c>
      <c r="C81" s="32">
        <f>-Graphs!U85</f>
        <v>-7.6777595852513132</v>
      </c>
      <c r="D81" s="33">
        <f>Graphs!X85</f>
        <v>0.61455064906493917</v>
      </c>
    </row>
    <row r="82" spans="1:4" x14ac:dyDescent="0.3">
      <c r="A82" s="31">
        <f>Graphs!A86</f>
        <v>81</v>
      </c>
      <c r="B82" s="32">
        <f>-Graphs!T86</f>
        <v>0</v>
      </c>
      <c r="C82" s="32">
        <f>-Graphs!U86</f>
        <v>0</v>
      </c>
      <c r="D82" s="33">
        <f>Graphs!X86</f>
        <v>0.61451623422859158</v>
      </c>
    </row>
    <row r="83" spans="1:4" x14ac:dyDescent="0.3">
      <c r="A83" s="31">
        <f>Graphs!A87</f>
        <v>82</v>
      </c>
      <c r="B83" s="32">
        <f>-Graphs!T87</f>
        <v>0</v>
      </c>
      <c r="C83" s="32">
        <f>-Graphs!U87</f>
        <v>-9.399999999999871E-2</v>
      </c>
      <c r="D83" s="33">
        <f>Graphs!X87</f>
        <v>0.61343737687503042</v>
      </c>
    </row>
    <row r="84" spans="1:4" x14ac:dyDescent="0.3">
      <c r="A84" s="31">
        <f>Graphs!A88</f>
        <v>83</v>
      </c>
      <c r="B84" s="32">
        <f>-Graphs!T88</f>
        <v>3.3145034500000001</v>
      </c>
      <c r="C84" s="32">
        <f>-Graphs!U88</f>
        <v>0</v>
      </c>
      <c r="D84" s="33">
        <f>Graphs!X88</f>
        <v>0.64829253438192536</v>
      </c>
    </row>
    <row r="85" spans="1:4" x14ac:dyDescent="0.3">
      <c r="A85" s="31">
        <f>Graphs!A89</f>
        <v>84</v>
      </c>
      <c r="B85" s="32">
        <f>-Graphs!T89</f>
        <v>13.524395699999998</v>
      </c>
      <c r="C85" s="32">
        <f>-Graphs!U89</f>
        <v>0</v>
      </c>
      <c r="D85" s="33">
        <f>Graphs!X89</f>
        <v>0.79061829000000006</v>
      </c>
    </row>
    <row r="86" spans="1:4" x14ac:dyDescent="0.3">
      <c r="A86" s="31">
        <f>Graphs!A90</f>
        <v>85</v>
      </c>
      <c r="B86" s="32">
        <f>-Graphs!T90</f>
        <v>19.891262449999996</v>
      </c>
      <c r="C86" s="32">
        <f>-Graphs!U90</f>
        <v>0</v>
      </c>
      <c r="D86" s="33">
        <f>Graphs!X90</f>
        <v>0.99995572537576005</v>
      </c>
    </row>
    <row r="87" spans="1:4" x14ac:dyDescent="0.3">
      <c r="A87" s="31">
        <f>Graphs!A91</f>
        <v>86</v>
      </c>
      <c r="B87" s="32">
        <f>-Graphs!T91</f>
        <v>0</v>
      </c>
      <c r="C87" s="32">
        <f>-Graphs!U91</f>
        <v>0</v>
      </c>
      <c r="D87" s="33">
        <f>Graphs!X91</f>
        <v>0.99989972785513914</v>
      </c>
    </row>
    <row r="88" spans="1:4" x14ac:dyDescent="0.3">
      <c r="A88" s="31">
        <f>Graphs!A92</f>
        <v>87</v>
      </c>
      <c r="B88" s="32">
        <f>-Graphs!T92</f>
        <v>0</v>
      </c>
      <c r="C88" s="32">
        <f>-Graphs!U92</f>
        <v>-6.3819771634017046</v>
      </c>
      <c r="D88" s="33">
        <f>Graphs!X92</f>
        <v>0.92893287609924924</v>
      </c>
    </row>
    <row r="89" spans="1:4" x14ac:dyDescent="0.3">
      <c r="A89" s="31">
        <f>Graphs!A93</f>
        <v>88</v>
      </c>
      <c r="B89" s="32">
        <f>-Graphs!T93</f>
        <v>0</v>
      </c>
      <c r="C89" s="32">
        <f>-Graphs!U93</f>
        <v>0</v>
      </c>
      <c r="D89" s="33">
        <f>Graphs!X93</f>
        <v>0.92888085585818769</v>
      </c>
    </row>
    <row r="90" spans="1:4" x14ac:dyDescent="0.3">
      <c r="A90" s="31">
        <f>Graphs!A94</f>
        <v>89</v>
      </c>
      <c r="B90" s="32">
        <f>-Graphs!T94</f>
        <v>0</v>
      </c>
      <c r="C90" s="32">
        <f>-Graphs!U94</f>
        <v>0</v>
      </c>
      <c r="D90" s="33">
        <f>Graphs!X94</f>
        <v>0.92882883853025977</v>
      </c>
    </row>
    <row r="91" spans="1:4" x14ac:dyDescent="0.3">
      <c r="A91" s="31">
        <f>Graphs!A95</f>
        <v>90</v>
      </c>
      <c r="B91" s="32">
        <f>-Graphs!T95</f>
        <v>0</v>
      </c>
      <c r="C91" s="32">
        <f>-Graphs!U95</f>
        <v>0</v>
      </c>
      <c r="D91" s="33">
        <f>Graphs!X95</f>
        <v>0.92877682411530205</v>
      </c>
    </row>
    <row r="92" spans="1:4" x14ac:dyDescent="0.3">
      <c r="A92" s="31">
        <f>Graphs!A96</f>
        <v>91</v>
      </c>
      <c r="B92" s="32">
        <f>-Graphs!T96</f>
        <v>0</v>
      </c>
      <c r="C92" s="32">
        <f>-Graphs!U96</f>
        <v>0</v>
      </c>
      <c r="D92" s="33">
        <f>Graphs!X96</f>
        <v>0.92872481261315154</v>
      </c>
    </row>
    <row r="93" spans="1:4" x14ac:dyDescent="0.3">
      <c r="A93" s="31">
        <f>Graphs!A97</f>
        <v>92</v>
      </c>
      <c r="B93" s="32">
        <f>-Graphs!T97</f>
        <v>0</v>
      </c>
      <c r="C93" s="32">
        <f>-Graphs!U97</f>
        <v>-8.0089999993600003</v>
      </c>
      <c r="D93" s="33">
        <f>Graphs!X97</f>
        <v>0.83968391514186747</v>
      </c>
    </row>
    <row r="94" spans="1:4" x14ac:dyDescent="0.3">
      <c r="A94" s="31">
        <f>Graphs!A98</f>
        <v>93</v>
      </c>
      <c r="B94" s="32">
        <f>-Graphs!T98</f>
        <v>0</v>
      </c>
      <c r="C94" s="32">
        <f>-Graphs!U98</f>
        <v>-17.491999999360001</v>
      </c>
      <c r="D94" s="33">
        <f>Graphs!X98</f>
        <v>0.64528133729417503</v>
      </c>
    </row>
    <row r="95" spans="1:4" x14ac:dyDescent="0.3">
      <c r="A95" s="31">
        <f>Graphs!A99</f>
        <v>94</v>
      </c>
      <c r="B95" s="32">
        <f>-Graphs!T99</f>
        <v>0</v>
      </c>
      <c r="C95" s="32">
        <f>-Graphs!U99</f>
        <v>-21.140999999360002</v>
      </c>
      <c r="D95" s="33">
        <f>Graphs!X99</f>
        <v>0.4103452015463977</v>
      </c>
    </row>
    <row r="96" spans="1:4" x14ac:dyDescent="0.3">
      <c r="A96" s="31">
        <f>Graphs!A100</f>
        <v>95</v>
      </c>
      <c r="B96" s="32">
        <f>-Graphs!T100</f>
        <v>0</v>
      </c>
      <c r="C96" s="32">
        <f>-Graphs!U100</f>
        <v>-9.928999999360002</v>
      </c>
      <c r="D96" s="33">
        <f>Graphs!X100</f>
        <v>0.3</v>
      </c>
    </row>
    <row r="97" spans="1:4" x14ac:dyDescent="0.3">
      <c r="A97" s="31">
        <f>Graphs!A101</f>
        <v>96</v>
      </c>
      <c r="B97" s="32">
        <f>-Graphs!T101</f>
        <v>1.5959999999969553E-3</v>
      </c>
      <c r="C97" s="32">
        <f>-Graphs!U101</f>
        <v>0</v>
      </c>
      <c r="D97" s="33">
        <f>Graphs!X101</f>
        <v>0.3</v>
      </c>
    </row>
    <row r="98" spans="1:4" x14ac:dyDescent="0.3">
      <c r="A98" s="31">
        <f>Graphs!A102</f>
        <v>97</v>
      </c>
      <c r="B98" s="32">
        <f>-Graphs!T102</f>
        <v>1.5959999999969553E-3</v>
      </c>
      <c r="C98" s="32">
        <f>-Graphs!U102</f>
        <v>0</v>
      </c>
      <c r="D98" s="33">
        <f>Graphs!X102</f>
        <v>0.3</v>
      </c>
    </row>
    <row r="99" spans="1:4" x14ac:dyDescent="0.3">
      <c r="A99" s="31">
        <f>Graphs!A103</f>
        <v>98</v>
      </c>
      <c r="B99" s="32">
        <f>-Graphs!T103</f>
        <v>1.5959999999969553E-3</v>
      </c>
      <c r="C99" s="32">
        <f>-Graphs!U103</f>
        <v>0</v>
      </c>
      <c r="D99" s="33">
        <f>Graphs!X103</f>
        <v>0.3</v>
      </c>
    </row>
    <row r="100" spans="1:4" x14ac:dyDescent="0.3">
      <c r="A100" s="31">
        <f>Graphs!A104</f>
        <v>99</v>
      </c>
      <c r="B100" s="32">
        <f>-Graphs!T104</f>
        <v>15.759162151996495</v>
      </c>
      <c r="C100" s="32">
        <f>-Graphs!U104</f>
        <v>0</v>
      </c>
      <c r="D100" s="33">
        <f>Graphs!X104</f>
        <v>0.46586911738943682</v>
      </c>
    </row>
    <row r="101" spans="1:4" x14ac:dyDescent="0.3">
      <c r="A101" s="31">
        <f>Graphs!A105</f>
        <v>100</v>
      </c>
      <c r="B101" s="32">
        <f>-Graphs!T105</f>
        <v>16.186518000542943</v>
      </c>
      <c r="C101" s="32">
        <f>-Graphs!U105</f>
        <v>0</v>
      </c>
      <c r="D101" s="33">
        <f>Graphs!X105</f>
        <v>0.63622742872457816</v>
      </c>
    </row>
    <row r="102" spans="1:4" x14ac:dyDescent="0.3">
      <c r="A102" s="31">
        <f>Graphs!A106</f>
        <v>101</v>
      </c>
      <c r="B102" s="32">
        <f>-Graphs!T106</f>
        <v>18.092760450542944</v>
      </c>
      <c r="C102" s="32">
        <f>-Graphs!U106</f>
        <v>0</v>
      </c>
      <c r="D102" s="33">
        <f>Graphs!X106</f>
        <v>0.82664190999428488</v>
      </c>
    </row>
    <row r="103" spans="1:4" x14ac:dyDescent="0.3">
      <c r="A103" s="31">
        <f>Graphs!A107</f>
        <v>102</v>
      </c>
      <c r="B103" s="32">
        <f>-Graphs!T107</f>
        <v>16.469018550542941</v>
      </c>
      <c r="C103" s="32">
        <f>-Graphs!U107</f>
        <v>0</v>
      </c>
      <c r="D103" s="33">
        <f>Graphs!X107</f>
        <v>0.99995370805304029</v>
      </c>
    </row>
    <row r="104" spans="1:4" x14ac:dyDescent="0.3">
      <c r="A104" s="31">
        <f>Graphs!A108</f>
        <v>103</v>
      </c>
      <c r="B104" s="32">
        <f>-Graphs!T108</f>
        <v>0</v>
      </c>
      <c r="C104" s="32">
        <f>-Graphs!U108</f>
        <v>-3.7049999993600005</v>
      </c>
      <c r="D104" s="33">
        <f>Graphs!X108</f>
        <v>0.95873104398583398</v>
      </c>
    </row>
    <row r="105" spans="1:4" x14ac:dyDescent="0.3">
      <c r="A105" s="31">
        <f>Graphs!A109</f>
        <v>104</v>
      </c>
      <c r="B105" s="32">
        <f>-Graphs!T109</f>
        <v>0</v>
      </c>
      <c r="C105" s="32">
        <f>-Graphs!U109</f>
        <v>-2.3359999992500002</v>
      </c>
      <c r="D105" s="33">
        <f>Graphs!X109</f>
        <v>0.93272179950014855</v>
      </c>
    </row>
    <row r="106" spans="1:4" x14ac:dyDescent="0.3">
      <c r="A106" s="31">
        <f>Graphs!A110</f>
        <v>105</v>
      </c>
      <c r="B106" s="32">
        <f>-Graphs!T110</f>
        <v>5.5872330999999997</v>
      </c>
      <c r="C106" s="32">
        <f>-Graphs!U110</f>
        <v>0</v>
      </c>
      <c r="D106" s="33">
        <f>Graphs!X110</f>
        <v>0.99148254707937666</v>
      </c>
    </row>
    <row r="107" spans="1:4" x14ac:dyDescent="0.3">
      <c r="A107" s="31">
        <f>Graphs!A111</f>
        <v>106</v>
      </c>
      <c r="B107" s="32">
        <f>-Graphs!T111</f>
        <v>0</v>
      </c>
      <c r="C107" s="32">
        <f>-Graphs!U111</f>
        <v>-3.5980000000000008</v>
      </c>
      <c r="D107" s="33">
        <f>Graphs!X111</f>
        <v>0.95144924627896243</v>
      </c>
    </row>
    <row r="108" spans="1:4" x14ac:dyDescent="0.3">
      <c r="A108" s="31">
        <f>Graphs!A112</f>
        <v>107</v>
      </c>
      <c r="B108" s="32">
        <f>-Graphs!T112</f>
        <v>0</v>
      </c>
      <c r="C108" s="32">
        <f>-Graphs!U112</f>
        <v>-6.766</v>
      </c>
      <c r="D108" s="33">
        <f>Graphs!X112</f>
        <v>0.87621818734339318</v>
      </c>
    </row>
    <row r="109" spans="1:4" x14ac:dyDescent="0.3">
      <c r="A109" s="31">
        <f>Graphs!A113</f>
        <v>108</v>
      </c>
      <c r="B109" s="32">
        <f>-Graphs!T113</f>
        <v>0</v>
      </c>
      <c r="C109" s="32">
        <f>-Graphs!U113</f>
        <v>-4.6780000000000008</v>
      </c>
      <c r="D109" s="33">
        <f>Graphs!X113</f>
        <v>0.82419134134712424</v>
      </c>
    </row>
    <row r="110" spans="1:4" x14ac:dyDescent="0.3">
      <c r="A110" s="31">
        <f>Graphs!A114</f>
        <v>109</v>
      </c>
      <c r="B110" s="32">
        <f>-Graphs!T114</f>
        <v>1.3997774999999992</v>
      </c>
      <c r="C110" s="32">
        <f>-Graphs!U114</f>
        <v>0</v>
      </c>
      <c r="D110" s="33">
        <f>Graphs!X114</f>
        <v>0.83887968663200885</v>
      </c>
    </row>
    <row r="111" spans="1:4" x14ac:dyDescent="0.3">
      <c r="A111" s="31">
        <f>Graphs!A115</f>
        <v>110</v>
      </c>
      <c r="B111" s="32">
        <f>-Graphs!T115</f>
        <v>1.901152349999998</v>
      </c>
      <c r="C111" s="32">
        <f>-Graphs!U115</f>
        <v>0</v>
      </c>
      <c r="D111" s="33">
        <f>Graphs!X115</f>
        <v>0.85884483936955736</v>
      </c>
    </row>
    <row r="112" spans="1:4" x14ac:dyDescent="0.3">
      <c r="A112" s="31">
        <f>Graphs!A116</f>
        <v>111</v>
      </c>
      <c r="B112" s="32">
        <f>-Graphs!T116</f>
        <v>0</v>
      </c>
      <c r="C112" s="32">
        <f>-Graphs!U116</f>
        <v>-4.9400000000000004</v>
      </c>
      <c r="D112" s="33">
        <f>Graphs!X116</f>
        <v>0.80390785516966379</v>
      </c>
    </row>
    <row r="113" spans="1:4" x14ac:dyDescent="0.3">
      <c r="A113" s="31">
        <f>Graphs!A117</f>
        <v>112</v>
      </c>
      <c r="B113" s="32">
        <f>-Graphs!T117</f>
        <v>0</v>
      </c>
      <c r="C113" s="32">
        <f>-Graphs!U117</f>
        <v>-9.751000000000003</v>
      </c>
      <c r="D113" s="33">
        <f>Graphs!X117</f>
        <v>0.69551839188532982</v>
      </c>
    </row>
    <row r="114" spans="1:4" x14ac:dyDescent="0.3">
      <c r="A114" s="31">
        <f>Graphs!A118</f>
        <v>113</v>
      </c>
      <c r="B114" s="32">
        <f>-Graphs!T118</f>
        <v>0</v>
      </c>
      <c r="C114" s="32">
        <f>-Graphs!U118</f>
        <v>-2.5969999999999991</v>
      </c>
      <c r="D114" s="33">
        <f>Graphs!X118</f>
        <v>0.66662388729982869</v>
      </c>
    </row>
    <row r="115" spans="1:4" x14ac:dyDescent="0.3">
      <c r="A115" s="31">
        <f>Graphs!A119</f>
        <v>114</v>
      </c>
      <c r="B115" s="32">
        <f>-Graphs!T119</f>
        <v>0</v>
      </c>
      <c r="C115" s="32">
        <f>-Graphs!U119</f>
        <v>-12.97599999919</v>
      </c>
      <c r="D115" s="33">
        <f>Graphs!X119</f>
        <v>0.52240877859336221</v>
      </c>
    </row>
    <row r="116" spans="1:4" x14ac:dyDescent="0.3">
      <c r="A116" s="31">
        <f>Graphs!A120</f>
        <v>115</v>
      </c>
      <c r="B116" s="32">
        <f>-Graphs!T120</f>
        <v>0</v>
      </c>
      <c r="C116" s="32">
        <f>-Graphs!U120</f>
        <v>-11.072999999360002</v>
      </c>
      <c r="D116" s="33">
        <f>Graphs!X120</f>
        <v>0.3993461903755387</v>
      </c>
    </row>
    <row r="117" spans="1:4" x14ac:dyDescent="0.3">
      <c r="A117" s="31">
        <f>Graphs!A121</f>
        <v>116</v>
      </c>
      <c r="B117" s="32">
        <f>-Graphs!T121</f>
        <v>0</v>
      </c>
      <c r="C117" s="32">
        <f>-Graphs!U121</f>
        <v>-6.9449999993600011</v>
      </c>
      <c r="D117" s="33">
        <f>Graphs!X121</f>
        <v>0.32215716032932212</v>
      </c>
    </row>
    <row r="118" spans="1:4" x14ac:dyDescent="0.3">
      <c r="A118" s="31">
        <f>Graphs!A122</f>
        <v>117</v>
      </c>
      <c r="B118" s="32">
        <f>-Graphs!T122</f>
        <v>0</v>
      </c>
      <c r="C118" s="32">
        <f>-Graphs!U122</f>
        <v>-1.991008672874196</v>
      </c>
      <c r="D118" s="33">
        <f>Graphs!X122</f>
        <v>0.30001680094085265</v>
      </c>
    </row>
    <row r="119" spans="1:4" x14ac:dyDescent="0.3">
      <c r="A119" s="31">
        <f>Graphs!A123</f>
        <v>118</v>
      </c>
      <c r="B119" s="32">
        <f>-Graphs!T123</f>
        <v>0</v>
      </c>
      <c r="C119" s="32">
        <f>-Graphs!U123</f>
        <v>0</v>
      </c>
      <c r="D119" s="33">
        <f>Graphs!X123</f>
        <v>0.3</v>
      </c>
    </row>
    <row r="120" spans="1:4" x14ac:dyDescent="0.3">
      <c r="A120" s="31">
        <f>Graphs!A124</f>
        <v>119</v>
      </c>
      <c r="B120" s="32">
        <f>-Graphs!T124</f>
        <v>1.5959999999969553E-3</v>
      </c>
      <c r="C120" s="32">
        <f>-Graphs!U124</f>
        <v>0</v>
      </c>
      <c r="D120" s="33">
        <f>Graphs!X124</f>
        <v>0.3</v>
      </c>
    </row>
    <row r="121" spans="1:4" x14ac:dyDescent="0.3">
      <c r="A121" s="31">
        <f>Graphs!A125</f>
        <v>120</v>
      </c>
      <c r="B121" s="32">
        <f>-Graphs!T125</f>
        <v>1.5959999999969553E-3</v>
      </c>
      <c r="C121" s="32">
        <f>-Graphs!U125</f>
        <v>0</v>
      </c>
      <c r="D121" s="33">
        <f>Graphs!X125</f>
        <v>0.3</v>
      </c>
    </row>
    <row r="122" spans="1:4" x14ac:dyDescent="0.3">
      <c r="A122" s="31">
        <f>Graphs!A126</f>
        <v>121</v>
      </c>
      <c r="B122" s="32">
        <f>-Graphs!T126</f>
        <v>1.5959999999969553E-3</v>
      </c>
      <c r="C122" s="32">
        <f>-Graphs!U126</f>
        <v>0</v>
      </c>
      <c r="D122" s="33">
        <f>Graphs!X126</f>
        <v>0.3</v>
      </c>
    </row>
    <row r="123" spans="1:4" x14ac:dyDescent="0.3">
      <c r="A123" s="31">
        <f>Graphs!A127</f>
        <v>122</v>
      </c>
      <c r="B123" s="32">
        <f>-Graphs!T127</f>
        <v>1.5959999999969553E-3</v>
      </c>
      <c r="C123" s="32">
        <f>-Graphs!U127</f>
        <v>0</v>
      </c>
      <c r="D123" s="33">
        <f>Graphs!X127</f>
        <v>0.3</v>
      </c>
    </row>
    <row r="124" spans="1:4" x14ac:dyDescent="0.3">
      <c r="A124" s="31">
        <f>Graphs!A128</f>
        <v>123</v>
      </c>
      <c r="B124" s="32">
        <f>-Graphs!T128</f>
        <v>15.478443351006321</v>
      </c>
      <c r="C124" s="32">
        <f>-Graphs!U128</f>
        <v>0</v>
      </c>
      <c r="D124" s="33">
        <f>Graphs!X128</f>
        <v>0.46291418264217188</v>
      </c>
    </row>
    <row r="125" spans="1:4" x14ac:dyDescent="0.3">
      <c r="A125" s="31">
        <f>Graphs!A129</f>
        <v>124</v>
      </c>
      <c r="B125" s="32">
        <f>-Graphs!T129</f>
        <v>18.266672200542942</v>
      </c>
      <c r="C125" s="32">
        <f>-Graphs!U129</f>
        <v>0</v>
      </c>
      <c r="D125" s="33">
        <f>Graphs!X129</f>
        <v>0.65516901945365902</v>
      </c>
    </row>
    <row r="126" spans="1:4" x14ac:dyDescent="0.3">
      <c r="A126" s="31">
        <f>Graphs!A130</f>
        <v>125</v>
      </c>
      <c r="B126" s="32">
        <f>-Graphs!T130</f>
        <v>16.036360050542942</v>
      </c>
      <c r="C126" s="32">
        <f>-Graphs!U130</f>
        <v>0</v>
      </c>
      <c r="D126" s="33">
        <f>Graphs!X130</f>
        <v>0.82393611999428484</v>
      </c>
    </row>
    <row r="127" spans="1:4" x14ac:dyDescent="0.3">
      <c r="A127" s="31">
        <f>Graphs!A131</f>
        <v>126</v>
      </c>
      <c r="B127" s="32">
        <f>-Graphs!T131</f>
        <v>16.726068600542945</v>
      </c>
      <c r="C127" s="32">
        <f>-Graphs!U131</f>
        <v>0</v>
      </c>
      <c r="D127" s="33">
        <f>Graphs!X131</f>
        <v>0.99995385957728045</v>
      </c>
    </row>
    <row r="128" spans="1:4" x14ac:dyDescent="0.3">
      <c r="A128" s="31">
        <f>Graphs!A132</f>
        <v>127</v>
      </c>
      <c r="B128" s="32">
        <f>-Graphs!T132</f>
        <v>0</v>
      </c>
      <c r="C128" s="32">
        <f>-Graphs!U132</f>
        <v>-5.0169999993600003</v>
      </c>
      <c r="D128" s="33">
        <f>Graphs!X132</f>
        <v>0.94415341772381101</v>
      </c>
    </row>
    <row r="129" spans="1:4" x14ac:dyDescent="0.3">
      <c r="A129" s="31">
        <f>Graphs!A133</f>
        <v>128</v>
      </c>
      <c r="B129" s="32">
        <f>-Graphs!T133</f>
        <v>0</v>
      </c>
      <c r="C129" s="32">
        <f>-Graphs!U133</f>
        <v>-3.0949999994499997</v>
      </c>
      <c r="D129" s="33">
        <f>Graphs!X133</f>
        <v>0.90971165624964068</v>
      </c>
    </row>
    <row r="130" spans="1:4" x14ac:dyDescent="0.3">
      <c r="A130" s="31">
        <f>Graphs!A134</f>
        <v>129</v>
      </c>
      <c r="B130" s="32">
        <f>-Graphs!T134</f>
        <v>0</v>
      </c>
      <c r="C130" s="32">
        <f>-Graphs!U134</f>
        <v>-2.1967658386136564</v>
      </c>
      <c r="D130" s="33">
        <f>Graphs!X134</f>
        <v>0.88525220307896135</v>
      </c>
    </row>
    <row r="131" spans="1:4" x14ac:dyDescent="0.3">
      <c r="A131" s="31">
        <f>Graphs!A135</f>
        <v>130</v>
      </c>
      <c r="B131" s="32">
        <f>-Graphs!T135</f>
        <v>0</v>
      </c>
      <c r="C131" s="32">
        <f>-Graphs!U135</f>
        <v>0</v>
      </c>
      <c r="D131" s="33">
        <f>Graphs!X135</f>
        <v>0.88520262895558899</v>
      </c>
    </row>
    <row r="132" spans="1:4" x14ac:dyDescent="0.3">
      <c r="A132" s="31">
        <f>Graphs!A136</f>
        <v>131</v>
      </c>
      <c r="B132" s="32">
        <f>-Graphs!T136</f>
        <v>0</v>
      </c>
      <c r="C132" s="32">
        <f>-Graphs!U136</f>
        <v>-7.57</v>
      </c>
      <c r="D132" s="33">
        <f>Graphs!X136</f>
        <v>0.80104194649725646</v>
      </c>
    </row>
    <row r="133" spans="1:4" x14ac:dyDescent="0.3">
      <c r="A133" s="31">
        <f>Graphs!A137</f>
        <v>132</v>
      </c>
      <c r="B133" s="32">
        <f>-Graphs!T137</f>
        <v>0</v>
      </c>
      <c r="C133" s="32">
        <f>-Graphs!U137</f>
        <v>-4.4779999999999998</v>
      </c>
      <c r="D133" s="33">
        <f>Graphs!X137</f>
        <v>0.75124153259269699</v>
      </c>
    </row>
    <row r="134" spans="1:4" x14ac:dyDescent="0.3">
      <c r="A134" s="31">
        <f>Graphs!A138</f>
        <v>133</v>
      </c>
      <c r="B134" s="32">
        <f>-Graphs!T138</f>
        <v>1.4455883999999997</v>
      </c>
      <c r="C134" s="32">
        <f>-Graphs!U138</f>
        <v>0</v>
      </c>
      <c r="D134" s="33">
        <f>Graphs!X138</f>
        <v>0.76641618306687187</v>
      </c>
    </row>
    <row r="135" spans="1:4" x14ac:dyDescent="0.3">
      <c r="A135" s="31">
        <f>Graphs!A139</f>
        <v>134</v>
      </c>
      <c r="B135" s="32">
        <f>-Graphs!T139</f>
        <v>0</v>
      </c>
      <c r="C135" s="32">
        <f>-Graphs!U139</f>
        <v>-1.1840000000000013</v>
      </c>
      <c r="D135" s="33">
        <f>Graphs!X139</f>
        <v>0.75321770820506462</v>
      </c>
    </row>
    <row r="136" spans="1:4" x14ac:dyDescent="0.3">
      <c r="A136" s="31">
        <f>Graphs!A140</f>
        <v>135</v>
      </c>
      <c r="B136" s="32">
        <f>-Graphs!T140</f>
        <v>0</v>
      </c>
      <c r="C136" s="32">
        <f>-Graphs!U140</f>
        <v>-9.8640000000000008</v>
      </c>
      <c r="D136" s="33">
        <f>Graphs!X140</f>
        <v>0.64357552801340501</v>
      </c>
    </row>
    <row r="137" spans="1:4" x14ac:dyDescent="0.3">
      <c r="A137" s="31">
        <f>Graphs!A141</f>
        <v>136</v>
      </c>
      <c r="B137" s="32">
        <f>-Graphs!T141</f>
        <v>0</v>
      </c>
      <c r="C137" s="32">
        <f>-Graphs!U141</f>
        <v>0</v>
      </c>
      <c r="D137" s="33">
        <f>Graphs!X141</f>
        <v>0.64353948778383629</v>
      </c>
    </row>
    <row r="138" spans="1:4" x14ac:dyDescent="0.3">
      <c r="A138" s="31">
        <f>Graphs!A142</f>
        <v>137</v>
      </c>
      <c r="B138" s="32">
        <f>-Graphs!T142</f>
        <v>0</v>
      </c>
      <c r="C138" s="32">
        <f>-Graphs!U142</f>
        <v>0</v>
      </c>
      <c r="D138" s="33">
        <f>Graphs!X142</f>
        <v>0.64350344957252037</v>
      </c>
    </row>
    <row r="139" spans="1:4" x14ac:dyDescent="0.3">
      <c r="A139" s="31">
        <f>Graphs!A143</f>
        <v>138</v>
      </c>
      <c r="B139" s="32">
        <f>-Graphs!T143</f>
        <v>0</v>
      </c>
      <c r="C139" s="32">
        <f>-Graphs!U143</f>
        <v>0</v>
      </c>
      <c r="D139" s="33">
        <f>Graphs!X143</f>
        <v>0.64346741337934432</v>
      </c>
    </row>
    <row r="140" spans="1:4" x14ac:dyDescent="0.3">
      <c r="A140" s="31">
        <f>Graphs!A144</f>
        <v>139</v>
      </c>
      <c r="B140" s="32">
        <f>-Graphs!T144</f>
        <v>0</v>
      </c>
      <c r="C140" s="32">
        <f>-Graphs!U144</f>
        <v>0</v>
      </c>
      <c r="D140" s="33">
        <f>Graphs!X144</f>
        <v>0.64343137920419513</v>
      </c>
    </row>
    <row r="141" spans="1:4" x14ac:dyDescent="0.3">
      <c r="A141" s="31">
        <f>Graphs!A145</f>
        <v>140</v>
      </c>
      <c r="B141" s="32">
        <f>-Graphs!T145</f>
        <v>0</v>
      </c>
      <c r="C141" s="32">
        <f>-Graphs!U145</f>
        <v>0</v>
      </c>
      <c r="D141" s="33">
        <f>Graphs!X145</f>
        <v>0.64339534704695966</v>
      </c>
    </row>
    <row r="142" spans="1:4" x14ac:dyDescent="0.3">
      <c r="A142" s="31">
        <f>Graphs!A146</f>
        <v>141</v>
      </c>
      <c r="B142" s="32">
        <f>-Graphs!T146</f>
        <v>0</v>
      </c>
      <c r="C142" s="32">
        <f>-Graphs!U146</f>
        <v>-16.142999999360001</v>
      </c>
      <c r="D142" s="33">
        <f>Graphs!X146</f>
        <v>0.46399265024796948</v>
      </c>
    </row>
    <row r="143" spans="1:4" x14ac:dyDescent="0.3">
      <c r="A143" s="31">
        <f>Graphs!A147</f>
        <v>142</v>
      </c>
      <c r="B143" s="32">
        <f>-Graphs!T147</f>
        <v>0</v>
      </c>
      <c r="C143" s="32">
        <f>-Graphs!U147</f>
        <v>-14.756999999360001</v>
      </c>
      <c r="D143" s="33">
        <f>Graphs!X147</f>
        <v>0.3</v>
      </c>
    </row>
    <row r="144" spans="1:4" x14ac:dyDescent="0.3">
      <c r="A144" s="31">
        <f>Graphs!A148</f>
        <v>143</v>
      </c>
      <c r="B144" s="32">
        <f>-Graphs!T148</f>
        <v>1.5959999999969553E-3</v>
      </c>
      <c r="C144" s="32">
        <f>-Graphs!U148</f>
        <v>0</v>
      </c>
      <c r="D144" s="33">
        <f>Graphs!X148</f>
        <v>0.3</v>
      </c>
    </row>
    <row r="145" spans="1:4" x14ac:dyDescent="0.3">
      <c r="A145" s="31">
        <f>Graphs!A149</f>
        <v>144</v>
      </c>
      <c r="B145" s="32">
        <f>-Graphs!T149</f>
        <v>1.5959999999969553E-3</v>
      </c>
      <c r="C145" s="32">
        <f>-Graphs!U149</f>
        <v>0</v>
      </c>
      <c r="D145" s="33">
        <f>Graphs!X149</f>
        <v>0.3</v>
      </c>
    </row>
    <row r="146" spans="1:4" x14ac:dyDescent="0.3">
      <c r="A146" s="31">
        <f>Graphs!A150</f>
        <v>145</v>
      </c>
      <c r="B146" s="32">
        <f>-Graphs!T150</f>
        <v>1.5959999999969553E-3</v>
      </c>
      <c r="C146" s="32">
        <f>-Graphs!U150</f>
        <v>0</v>
      </c>
      <c r="D146" s="33">
        <f>Graphs!X150</f>
        <v>0.3</v>
      </c>
    </row>
    <row r="147" spans="1:4" x14ac:dyDescent="0.3">
      <c r="A147" s="31">
        <f>Graphs!A151</f>
        <v>146</v>
      </c>
      <c r="B147" s="32">
        <f>-Graphs!T151</f>
        <v>1.5959999999969553E-3</v>
      </c>
      <c r="C147" s="32">
        <f>-Graphs!U151</f>
        <v>0</v>
      </c>
      <c r="D147" s="33">
        <f>Graphs!X151</f>
        <v>0.3</v>
      </c>
    </row>
    <row r="148" spans="1:4" x14ac:dyDescent="0.3">
      <c r="A148" s="31">
        <f>Graphs!A152</f>
        <v>147</v>
      </c>
      <c r="B148" s="32">
        <f>-Graphs!T152</f>
        <v>12.146612430921076</v>
      </c>
      <c r="C148" s="32">
        <f>-Graphs!U152</f>
        <v>0</v>
      </c>
      <c r="D148" s="33">
        <f>Graphs!X152</f>
        <v>0.42784227822022186</v>
      </c>
    </row>
    <row r="149" spans="1:4" x14ac:dyDescent="0.3">
      <c r="A149" s="31">
        <f>Graphs!A153</f>
        <v>148</v>
      </c>
      <c r="B149" s="32">
        <f>-Graphs!T153</f>
        <v>18.493181650542944</v>
      </c>
      <c r="C149" s="32">
        <f>-Graphs!U153</f>
        <v>0</v>
      </c>
      <c r="D149" s="33">
        <f>Graphs!X153</f>
        <v>0.62248338905835676</v>
      </c>
    </row>
    <row r="150" spans="1:4" x14ac:dyDescent="0.3">
      <c r="A150" s="31">
        <f>Graphs!A154</f>
        <v>149</v>
      </c>
      <c r="B150" s="32">
        <f>-Graphs!T154</f>
        <v>17.990110100542942</v>
      </c>
      <c r="C150" s="32">
        <f>-Graphs!U154</f>
        <v>0</v>
      </c>
      <c r="D150" s="33">
        <f>Graphs!X154</f>
        <v>0.81181810999428483</v>
      </c>
    </row>
    <row r="151" spans="1:4" x14ac:dyDescent="0.3">
      <c r="A151" s="31">
        <f>Graphs!A155</f>
        <v>150</v>
      </c>
      <c r="B151" s="32">
        <f>-Graphs!T155</f>
        <v>17.877279550542944</v>
      </c>
      <c r="C151" s="32">
        <f>-Graphs!U155</f>
        <v>0</v>
      </c>
      <c r="D151" s="33">
        <f>Graphs!X155</f>
        <v>0.99995453818584035</v>
      </c>
    </row>
    <row r="152" spans="1:4" x14ac:dyDescent="0.3">
      <c r="A152" s="31">
        <f>Graphs!A156</f>
        <v>151</v>
      </c>
      <c r="B152" s="32">
        <f>-Graphs!T156</f>
        <v>0</v>
      </c>
      <c r="C152" s="32">
        <f>-Graphs!U156</f>
        <v>-2.5479999993600004</v>
      </c>
      <c r="D152" s="33">
        <f>Graphs!X156</f>
        <v>0.97158742962770206</v>
      </c>
    </row>
    <row r="153" spans="1:4" x14ac:dyDescent="0.3">
      <c r="A153" s="31">
        <f>Graphs!A157</f>
        <v>152</v>
      </c>
      <c r="B153" s="32">
        <f>-Graphs!T157</f>
        <v>0</v>
      </c>
      <c r="C153" s="32">
        <f>-Graphs!U157</f>
        <v>-2.3529999994799997</v>
      </c>
      <c r="D153" s="33">
        <f>Graphs!X157</f>
        <v>0.94538857629297635</v>
      </c>
    </row>
    <row r="154" spans="1:4" x14ac:dyDescent="0.3">
      <c r="A154" s="31">
        <f>Graphs!A158</f>
        <v>153</v>
      </c>
      <c r="B154" s="32">
        <f>-Graphs!T158</f>
        <v>0</v>
      </c>
      <c r="C154" s="32">
        <f>-Graphs!U158</f>
        <v>-2.8079999993200002</v>
      </c>
      <c r="D154" s="33">
        <f>Graphs!X158</f>
        <v>0.91413563454025959</v>
      </c>
    </row>
    <row r="155" spans="1:4" x14ac:dyDescent="0.3">
      <c r="A155" s="31">
        <f>Graphs!A159</f>
        <v>154</v>
      </c>
      <c r="B155" s="32">
        <f>-Graphs!T159</f>
        <v>0</v>
      </c>
      <c r="C155" s="32">
        <f>-Graphs!U159</f>
        <v>0</v>
      </c>
      <c r="D155" s="33">
        <f>Graphs!X159</f>
        <v>0.91408444294472546</v>
      </c>
    </row>
    <row r="156" spans="1:4" x14ac:dyDescent="0.3">
      <c r="A156" s="31">
        <f>Graphs!A160</f>
        <v>155</v>
      </c>
      <c r="B156" s="32">
        <f>-Graphs!T160</f>
        <v>0</v>
      </c>
      <c r="C156" s="32">
        <f>-Graphs!U160</f>
        <v>-2.1930000000000009</v>
      </c>
      <c r="D156" s="33">
        <f>Graphs!X160</f>
        <v>0.88966658754925387</v>
      </c>
    </row>
    <row r="157" spans="1:4" x14ac:dyDescent="0.3">
      <c r="A157" s="31">
        <f>Graphs!A161</f>
        <v>156</v>
      </c>
      <c r="B157" s="32">
        <f>-Graphs!T161</f>
        <v>0</v>
      </c>
      <c r="C157" s="32">
        <f>-Graphs!U161</f>
        <v>-1.019000000000001</v>
      </c>
      <c r="D157" s="33">
        <f>Graphs!X161</f>
        <v>0.8782945439981289</v>
      </c>
    </row>
    <row r="158" spans="1:4" x14ac:dyDescent="0.3">
      <c r="A158" s="31">
        <f>Graphs!A162</f>
        <v>157</v>
      </c>
      <c r="B158" s="32">
        <f>-Graphs!T162</f>
        <v>0</v>
      </c>
      <c r="C158" s="32">
        <f>-Graphs!U162</f>
        <v>0</v>
      </c>
      <c r="D158" s="33">
        <f>Graphs!X162</f>
        <v>0.87824535950366511</v>
      </c>
    </row>
    <row r="159" spans="1:4" x14ac:dyDescent="0.3">
      <c r="A159" s="31">
        <f>Graphs!A163</f>
        <v>158</v>
      </c>
      <c r="B159" s="32">
        <f>-Graphs!T163</f>
        <v>0</v>
      </c>
      <c r="C159" s="32">
        <f>-Graphs!U163</f>
        <v>-0.71199999999999941</v>
      </c>
      <c r="D159" s="33">
        <f>Graphs!X163</f>
        <v>0.87028506665242189</v>
      </c>
    </row>
    <row r="160" spans="1:4" x14ac:dyDescent="0.3">
      <c r="A160" s="31">
        <f>Graphs!A164</f>
        <v>159</v>
      </c>
      <c r="B160" s="32">
        <f>-Graphs!T164</f>
        <v>0</v>
      </c>
      <c r="C160" s="32">
        <f>-Graphs!U164</f>
        <v>-3.9380000000000019</v>
      </c>
      <c r="D160" s="33">
        <f>Graphs!X164</f>
        <v>0.82648077513313378</v>
      </c>
    </row>
    <row r="161" spans="1:4" x14ac:dyDescent="0.3">
      <c r="A161" s="31">
        <f>Graphs!A165</f>
        <v>160</v>
      </c>
      <c r="B161" s="32">
        <f>-Graphs!T165</f>
        <v>0</v>
      </c>
      <c r="C161" s="32">
        <f>-Graphs!U165</f>
        <v>0</v>
      </c>
      <c r="D161" s="33">
        <f>Graphs!X165</f>
        <v>0.82643449220972642</v>
      </c>
    </row>
    <row r="162" spans="1:4" x14ac:dyDescent="0.3">
      <c r="A162" s="31">
        <f>Graphs!A166</f>
        <v>161</v>
      </c>
      <c r="B162" s="32">
        <f>-Graphs!T166</f>
        <v>0</v>
      </c>
      <c r="C162" s="32">
        <f>-Graphs!U166</f>
        <v>-8.2890000000000015</v>
      </c>
      <c r="D162" s="33">
        <f>Graphs!X166</f>
        <v>0.73428821187816284</v>
      </c>
    </row>
    <row r="163" spans="1:4" x14ac:dyDescent="0.3">
      <c r="A163" s="31">
        <f>Graphs!A167</f>
        <v>162</v>
      </c>
      <c r="B163" s="32">
        <f>-Graphs!T167</f>
        <v>0</v>
      </c>
      <c r="C163" s="32">
        <f>-Graphs!U167</f>
        <v>-4.9483395045288292</v>
      </c>
      <c r="D163" s="33">
        <f>Graphs!X167</f>
        <v>0.67926554168797737</v>
      </c>
    </row>
    <row r="164" spans="1:4" x14ac:dyDescent="0.3">
      <c r="A164" s="31">
        <f>Graphs!A168</f>
        <v>163</v>
      </c>
      <c r="B164" s="32">
        <f>-Graphs!T168</f>
        <v>0</v>
      </c>
      <c r="C164" s="32">
        <f>-Graphs!U168</f>
        <v>-7.2429999993300003</v>
      </c>
      <c r="D164" s="33">
        <f>Graphs!X168</f>
        <v>0.5987497250473095</v>
      </c>
    </row>
    <row r="165" spans="1:4" x14ac:dyDescent="0.3">
      <c r="A165" s="31">
        <f>Graphs!A169</f>
        <v>164</v>
      </c>
      <c r="B165" s="32">
        <f>-Graphs!T169</f>
        <v>0</v>
      </c>
      <c r="C165" s="32">
        <f>-Graphs!U169</f>
        <v>-6.1539999993600007</v>
      </c>
      <c r="D165" s="33">
        <f>Graphs!X169</f>
        <v>0.53033841729204023</v>
      </c>
    </row>
    <row r="166" spans="1:4" x14ac:dyDescent="0.3">
      <c r="A166" s="31">
        <f>Graphs!A170</f>
        <v>165</v>
      </c>
      <c r="B166" s="32">
        <f>-Graphs!T170</f>
        <v>0</v>
      </c>
      <c r="C166" s="32">
        <f>-Graphs!U170</f>
        <v>-15.858999999360002</v>
      </c>
      <c r="D166" s="33">
        <f>Graphs!X170</f>
        <v>0.35409760723667189</v>
      </c>
    </row>
    <row r="167" spans="1:4" x14ac:dyDescent="0.3">
      <c r="A167" s="31">
        <f>Graphs!A171</f>
        <v>166</v>
      </c>
      <c r="B167" s="32">
        <f>-Graphs!T171</f>
        <v>0</v>
      </c>
      <c r="C167" s="32">
        <f>-Graphs!U171</f>
        <v>-4.8669999993599999</v>
      </c>
      <c r="D167" s="33">
        <f>Graphs!X171</f>
        <v>0.3</v>
      </c>
    </row>
    <row r="168" spans="1:4" x14ac:dyDescent="0.3">
      <c r="A168" s="31">
        <f>Graphs!A172</f>
        <v>167</v>
      </c>
      <c r="B168" s="32">
        <f>-Graphs!T172</f>
        <v>1.5959999999969553E-3</v>
      </c>
      <c r="C168" s="32">
        <f>-Graphs!U172</f>
        <v>0</v>
      </c>
      <c r="D168" s="33">
        <f>Graphs!X172</f>
        <v>0.3</v>
      </c>
    </row>
    <row r="169" spans="1:4" ht="15" thickBot="1" x14ac:dyDescent="0.35">
      <c r="A169" s="34">
        <f>Graphs!A173</f>
        <v>168</v>
      </c>
      <c r="B169" s="35">
        <f>-Graphs!T173</f>
        <v>1.5959999999969553E-3</v>
      </c>
      <c r="C169" s="35">
        <f>-Graphs!U173</f>
        <v>0</v>
      </c>
      <c r="D169" s="36">
        <f>Graphs!X173</f>
        <v>0.3</v>
      </c>
    </row>
    <row r="170" spans="1:4" x14ac:dyDescent="0.3">
      <c r="B170" s="11"/>
      <c r="C170" s="11"/>
      <c r="D170" s="1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7CF66-DC58-478E-8732-8D6C967D30A4}">
  <dimension ref="B2:L177"/>
  <sheetViews>
    <sheetView zoomScale="115" zoomScaleNormal="115" workbookViewId="0">
      <selection activeCell="B5" sqref="B5:K8"/>
    </sheetView>
  </sheetViews>
  <sheetFormatPr defaultRowHeight="14.4" x14ac:dyDescent="0.3"/>
  <cols>
    <col min="2" max="2" width="9.109375" style="108"/>
    <col min="3" max="3" width="23.6640625" customWidth="1"/>
    <col min="4" max="4" width="14.109375" customWidth="1"/>
    <col min="5" max="5" width="19.6640625" customWidth="1"/>
    <col min="6" max="6" width="18.88671875" customWidth="1"/>
    <col min="7" max="9" width="17.33203125" customWidth="1"/>
    <col min="10" max="10" width="15.5546875" customWidth="1"/>
    <col min="11" max="11" width="18.5546875" customWidth="1"/>
  </cols>
  <sheetData>
    <row r="2" spans="2:11" ht="15" thickBot="1" x14ac:dyDescent="0.35">
      <c r="C2" s="108"/>
      <c r="D2" s="108"/>
    </row>
    <row r="3" spans="2:11" ht="15" thickBot="1" x14ac:dyDescent="0.35">
      <c r="C3" s="137" t="s">
        <v>288</v>
      </c>
      <c r="D3" s="138">
        <v>48</v>
      </c>
    </row>
    <row r="4" spans="2:11" ht="15" thickBot="1" x14ac:dyDescent="0.35">
      <c r="C4" s="146" t="str">
        <f>"Hours 1 to "&amp;D3</f>
        <v>Hours 1 to 48</v>
      </c>
      <c r="D4" s="147"/>
      <c r="E4" s="147"/>
      <c r="F4" s="147"/>
      <c r="G4" s="147"/>
      <c r="H4" s="147"/>
      <c r="I4" s="147"/>
      <c r="J4" s="147"/>
      <c r="K4" s="148"/>
    </row>
    <row r="5" spans="2:11" ht="43.2" x14ac:dyDescent="0.3">
      <c r="C5" s="127" t="s">
        <v>282</v>
      </c>
      <c r="D5" s="128" t="s">
        <v>280</v>
      </c>
      <c r="E5" s="128" t="s">
        <v>283</v>
      </c>
      <c r="F5" s="128" t="s">
        <v>293</v>
      </c>
      <c r="G5" s="128" t="s">
        <v>291</v>
      </c>
      <c r="H5" s="128" t="s">
        <v>290</v>
      </c>
      <c r="I5" s="128" t="s">
        <v>292</v>
      </c>
      <c r="J5" s="128" t="s">
        <v>284</v>
      </c>
      <c r="K5" s="129" t="s">
        <v>285</v>
      </c>
    </row>
    <row r="6" spans="2:11" ht="16.2" thickBot="1" x14ac:dyDescent="0.35">
      <c r="C6" s="130" t="s">
        <v>286</v>
      </c>
      <c r="D6" s="131" t="s">
        <v>286</v>
      </c>
      <c r="E6" s="131" t="s">
        <v>286</v>
      </c>
      <c r="F6" s="131" t="s">
        <v>287</v>
      </c>
      <c r="G6" s="131" t="s">
        <v>287</v>
      </c>
      <c r="H6" s="131" t="s">
        <v>287</v>
      </c>
      <c r="I6" s="131" t="s">
        <v>287</v>
      </c>
      <c r="J6" s="131" t="s">
        <v>287</v>
      </c>
      <c r="K6" s="132" t="s">
        <v>287</v>
      </c>
    </row>
    <row r="7" spans="2:11" ht="16.2" thickBot="1" x14ac:dyDescent="0.35">
      <c r="B7" s="141" t="str">
        <f>D3&amp;"h"</f>
        <v>48h</v>
      </c>
      <c r="C7" s="133">
        <f>SUMIF($B$10:$B$177,"&lt;="&amp;$D$3,C10:C177)</f>
        <v>181.143124280948</v>
      </c>
      <c r="D7" s="134">
        <f t="shared" ref="D7:K7" si="0">SUMIF($B$10:$B$177,"&lt;="&amp;$D$3,D10:D177)</f>
        <v>-29.279413127979563</v>
      </c>
      <c r="E7" s="134">
        <f t="shared" si="0"/>
        <v>151.86371115296848</v>
      </c>
      <c r="F7" s="134">
        <f t="shared" si="0"/>
        <v>694.77674780164102</v>
      </c>
      <c r="G7" s="134">
        <f t="shared" si="0"/>
        <v>728.52656528520424</v>
      </c>
      <c r="H7" s="134">
        <f t="shared" si="0"/>
        <v>484.96472899102645</v>
      </c>
      <c r="I7" s="134">
        <f t="shared" si="0"/>
        <v>243.56183629417762</v>
      </c>
      <c r="J7" s="134">
        <f t="shared" si="0"/>
        <v>33.749817495313302</v>
      </c>
      <c r="K7" s="135">
        <f t="shared" si="0"/>
        <v>18.759</v>
      </c>
    </row>
    <row r="8" spans="2:11" ht="16.2" thickBot="1" x14ac:dyDescent="0.35">
      <c r="B8" s="141" t="s">
        <v>295</v>
      </c>
      <c r="C8" s="133">
        <f>SUMIF($B$10:$B$177,"&lt;="&amp;$B$177,C10:C177)</f>
        <v>579.76309302711377</v>
      </c>
      <c r="D8" s="134">
        <f t="shared" ref="D8:K8" si="1">SUMIF($B$10:$B$177,"&lt;="&amp;$B$177,D10:D177)</f>
        <v>-118.05307722190027</v>
      </c>
      <c r="E8" s="134">
        <f t="shared" si="1"/>
        <v>461.71001580521346</v>
      </c>
      <c r="F8" s="134">
        <f t="shared" si="1"/>
        <v>2232.7305066780054</v>
      </c>
      <c r="G8" s="134">
        <f t="shared" si="1"/>
        <v>2354.9445929765693</v>
      </c>
      <c r="H8" s="134">
        <f t="shared" si="1"/>
        <v>1315.6896357284215</v>
      </c>
      <c r="I8" s="134">
        <f t="shared" si="1"/>
        <v>1039.2549572481457</v>
      </c>
      <c r="J8" s="134">
        <f t="shared" si="1"/>
        <v>122.21408635951276</v>
      </c>
      <c r="K8" s="135">
        <f t="shared" si="1"/>
        <v>18.759</v>
      </c>
    </row>
    <row r="9" spans="2:11" ht="45.75" customHeight="1" x14ac:dyDescent="0.3">
      <c r="B9" s="136"/>
      <c r="C9" s="127" t="str">
        <f>C5</f>
        <v>Net Revenues</v>
      </c>
      <c r="D9" s="128" t="str">
        <f t="shared" ref="D9:K9" si="2">D5</f>
        <v>OPEX</v>
      </c>
      <c r="E9" s="128" t="str">
        <f t="shared" si="2"/>
        <v>Net Benefit</v>
      </c>
      <c r="F9" s="128" t="s">
        <v>293</v>
      </c>
      <c r="G9" s="128" t="str">
        <f t="shared" si="2"/>
        <v>Total Supply</v>
      </c>
      <c r="H9" s="128" t="str">
        <f t="shared" si="2"/>
        <v>MG Generation</v>
      </c>
      <c r="I9" s="128" t="str">
        <f t="shared" si="2"/>
        <v>Grid Import</v>
      </c>
      <c r="J9" s="128" t="str">
        <f t="shared" si="2"/>
        <v>Total losses</v>
      </c>
      <c r="K9" s="129" t="str">
        <f t="shared" si="2"/>
        <v>Total shortage</v>
      </c>
    </row>
    <row r="10" spans="2:11" x14ac:dyDescent="0.3">
      <c r="B10" s="89">
        <f>Costs!AL2</f>
        <v>1</v>
      </c>
      <c r="C10" s="32">
        <f>Costs!AM2</f>
        <v>2.0076000000000001</v>
      </c>
      <c r="D10" s="32">
        <f>Costs!AN2</f>
        <v>-0.53399999995500003</v>
      </c>
      <c r="E10" s="32">
        <f>Costs!AO2</f>
        <v>1.473600000045</v>
      </c>
      <c r="F10" s="32">
        <f>Costs!AR2</f>
        <v>5.34</v>
      </c>
      <c r="G10" s="32">
        <f>Costs!AS2</f>
        <v>5.3399999995499998</v>
      </c>
      <c r="H10" s="32">
        <f>Costs!W2+Costs!U2+Costs!Y2</f>
        <v>0</v>
      </c>
      <c r="I10" s="32">
        <f>Costs!AB2</f>
        <v>5.3399999995499998</v>
      </c>
      <c r="J10" s="32">
        <f>+Costs!R2*(1/undergrid!$AQ$15-1)+Costs!Y2*(1-undergrid!$AQ$12)</f>
        <v>0</v>
      </c>
      <c r="K10" s="33">
        <f>SUM(Costs!AF2:AG2)</f>
        <v>0</v>
      </c>
    </row>
    <row r="11" spans="2:11" x14ac:dyDescent="0.3">
      <c r="B11" s="89">
        <f>Costs!AL3</f>
        <v>2</v>
      </c>
      <c r="C11" s="32">
        <f>Costs!AM3</f>
        <v>1.20878</v>
      </c>
      <c r="D11" s="32">
        <f>Costs!AN3</f>
        <v>-0.36969999995500002</v>
      </c>
      <c r="E11" s="32">
        <f>Costs!AO3</f>
        <v>0.83908000004499994</v>
      </c>
      <c r="F11" s="32">
        <f>Costs!AR3</f>
        <v>3.6970000000000001</v>
      </c>
      <c r="G11" s="32">
        <f>Costs!AS3</f>
        <v>3.69699999955</v>
      </c>
      <c r="H11" s="32">
        <f>Costs!W3+Costs!U3+Costs!Y3</f>
        <v>0</v>
      </c>
      <c r="I11" s="32">
        <f>Costs!AB3</f>
        <v>3.69699999955</v>
      </c>
      <c r="J11" s="32">
        <f>+Costs!R3*(1/undergrid!$AQ$15-1)+Costs!Y3*(1-undergrid!$AQ$12)</f>
        <v>0</v>
      </c>
      <c r="K11" s="33">
        <f>SUM(Costs!AF3:AG3)</f>
        <v>0</v>
      </c>
    </row>
    <row r="12" spans="2:11" x14ac:dyDescent="0.3">
      <c r="B12" s="89">
        <f>Costs!AL4</f>
        <v>3</v>
      </c>
      <c r="C12" s="32">
        <f>Costs!AM4</f>
        <v>1.7763800000000001</v>
      </c>
      <c r="D12" s="32">
        <f>Costs!AN4</f>
        <v>-0.63317400068307539</v>
      </c>
      <c r="E12" s="32">
        <f>Costs!AO4</f>
        <v>1.1432059993169248</v>
      </c>
      <c r="F12" s="32">
        <f>Costs!AR4</f>
        <v>6.2359742871401753</v>
      </c>
      <c r="G12" s="32">
        <f>Costs!AS4</f>
        <v>6.3317080478592676</v>
      </c>
      <c r="H12" s="32">
        <f>Costs!W4+Costs!U4+Costs!Y4</f>
        <v>0</v>
      </c>
      <c r="I12" s="32">
        <f>Costs!AB4</f>
        <v>6.3317080478592676</v>
      </c>
      <c r="J12" s="32">
        <f>+Costs!R4*(1/undergrid!$AQ$15-1)+Costs!Y4*(1-undergrid!$AQ$12)</f>
        <v>9.5733761169091769E-2</v>
      </c>
      <c r="K12" s="33">
        <f>SUM(Costs!AF4:AG4)</f>
        <v>0</v>
      </c>
    </row>
    <row r="13" spans="2:11" x14ac:dyDescent="0.3">
      <c r="B13" s="89">
        <f>Costs!AL5</f>
        <v>4</v>
      </c>
      <c r="C13" s="32">
        <f>Costs!AM5</f>
        <v>2.1819199999999999</v>
      </c>
      <c r="D13" s="32">
        <f>Costs!AN5</f>
        <v>-2.5000654104640017</v>
      </c>
      <c r="E13" s="32">
        <f>Costs!AO5</f>
        <v>-0.3181454104640018</v>
      </c>
      <c r="F13" s="32">
        <f>Costs!AR5</f>
        <v>23.040616000401847</v>
      </c>
      <c r="G13" s="32">
        <f>Costs!AS5</f>
        <v>25</v>
      </c>
      <c r="H13" s="32">
        <f>Costs!W5+Costs!U5+Costs!Y5</f>
        <v>0</v>
      </c>
      <c r="I13" s="32">
        <f>Costs!AB5</f>
        <v>25</v>
      </c>
      <c r="J13" s="32">
        <f>+Costs!R5*(1/undergrid!$AQ$15-1)+Costs!Y5*(1-undergrid!$AQ$12)</f>
        <v>1.9593840000481528</v>
      </c>
      <c r="K13" s="33">
        <f>SUM(Costs!AF5:AG5)</f>
        <v>0</v>
      </c>
    </row>
    <row r="14" spans="2:11" x14ac:dyDescent="0.3">
      <c r="B14" s="89">
        <f>Costs!AL6</f>
        <v>5</v>
      </c>
      <c r="C14" s="32">
        <f>Costs!AM6</f>
        <v>2.1938800000000001</v>
      </c>
      <c r="D14" s="32">
        <f>Costs!AN6</f>
        <v>-2.5000652890160016</v>
      </c>
      <c r="E14" s="32">
        <f>Costs!AO6</f>
        <v>-0.30618528901600151</v>
      </c>
      <c r="F14" s="32">
        <f>Costs!AR6</f>
        <v>23.04425400040185</v>
      </c>
      <c r="G14" s="32">
        <f>Costs!AS6</f>
        <v>25</v>
      </c>
      <c r="H14" s="32">
        <f>Costs!W6+Costs!U6+Costs!Y6</f>
        <v>0</v>
      </c>
      <c r="I14" s="32">
        <f>Costs!AB6</f>
        <v>25</v>
      </c>
      <c r="J14" s="32">
        <f>+Costs!R6*(1/undergrid!$AQ$15-1)+Costs!Y6*(1-undergrid!$AQ$12)</f>
        <v>1.9557460000481528</v>
      </c>
      <c r="K14" s="33">
        <f>SUM(Costs!AF6:AG6)</f>
        <v>0</v>
      </c>
    </row>
    <row r="15" spans="2:11" x14ac:dyDescent="0.3">
      <c r="B15" s="89">
        <f>Costs!AL7</f>
        <v>6</v>
      </c>
      <c r="C15" s="32">
        <f>Costs!AM7</f>
        <v>2.1168</v>
      </c>
      <c r="D15" s="32">
        <f>Costs!AN7</f>
        <v>-2.5000661534400015</v>
      </c>
      <c r="E15" s="32">
        <f>Costs!AO7</f>
        <v>-0.38326615344000148</v>
      </c>
      <c r="F15" s="32">
        <f>Costs!AR7</f>
        <v>23.018360000401852</v>
      </c>
      <c r="G15" s="32">
        <f>Costs!AS7</f>
        <v>25</v>
      </c>
      <c r="H15" s="32">
        <f>Costs!W7+Costs!U7+Costs!Y7</f>
        <v>0</v>
      </c>
      <c r="I15" s="32">
        <f>Costs!AB7</f>
        <v>25</v>
      </c>
      <c r="J15" s="32">
        <f>+Costs!R7*(1/undergrid!$AQ$15-1)+Costs!Y7*(1-undergrid!$AQ$12)</f>
        <v>1.9816400000481531</v>
      </c>
      <c r="K15" s="33">
        <f>SUM(Costs!AF7:AG7)</f>
        <v>0</v>
      </c>
    </row>
    <row r="16" spans="2:11" x14ac:dyDescent="0.3">
      <c r="B16" s="89">
        <f>Costs!AL8</f>
        <v>7</v>
      </c>
      <c r="C16" s="32">
        <f>Costs!AM8</f>
        <v>1.5631200000000001</v>
      </c>
      <c r="D16" s="32">
        <f>Costs!AN8</f>
        <v>-0.71819999993250005</v>
      </c>
      <c r="E16" s="32">
        <f>Costs!AO8</f>
        <v>0.84492000006750001</v>
      </c>
      <c r="F16" s="32">
        <f>Costs!AR8</f>
        <v>4.7880000000000003</v>
      </c>
      <c r="G16" s="32">
        <f>Costs!AS8</f>
        <v>4.7879999995500002</v>
      </c>
      <c r="H16" s="32">
        <f>Costs!W8+Costs!U8+Costs!Y8</f>
        <v>0</v>
      </c>
      <c r="I16" s="32">
        <f>Costs!AB8</f>
        <v>4.7879999995500002</v>
      </c>
      <c r="J16" s="32">
        <f>+Costs!R8*(1/undergrid!$AQ$15-1)+Costs!Y8*(1-undergrid!$AQ$12)</f>
        <v>0</v>
      </c>
      <c r="K16" s="33">
        <f>SUM(Costs!AF8:AG8)</f>
        <v>0</v>
      </c>
    </row>
    <row r="17" spans="2:11" x14ac:dyDescent="0.3">
      <c r="B17" s="89">
        <f>Costs!AL9</f>
        <v>8</v>
      </c>
      <c r="C17" s="32">
        <f>Costs!AM9</f>
        <v>1.2309400000000001</v>
      </c>
      <c r="D17" s="32">
        <f>Costs!AN9</f>
        <v>-0.32865373999999992</v>
      </c>
      <c r="E17" s="32">
        <f>Costs!AO9</f>
        <v>0.90228626000000023</v>
      </c>
      <c r="F17" s="32">
        <f>Costs!AR9</f>
        <v>4.0609999999999999</v>
      </c>
      <c r="G17" s="32">
        <f>Costs!AS9</f>
        <v>4.0609999999999999</v>
      </c>
      <c r="H17" s="32">
        <f>Costs!W9+Costs!U9+Costs!Y9</f>
        <v>1.87</v>
      </c>
      <c r="I17" s="32">
        <f>Costs!AB9</f>
        <v>2.1909999999999998</v>
      </c>
      <c r="J17" s="32">
        <f>+Costs!R9*(1/undergrid!$AQ$15-1)+Costs!Y9*(1-undergrid!$AQ$12)</f>
        <v>0</v>
      </c>
      <c r="K17" s="33">
        <f>SUM(Costs!AF9:AG9)</f>
        <v>0</v>
      </c>
    </row>
    <row r="18" spans="2:11" x14ac:dyDescent="0.3">
      <c r="B18" s="89">
        <f>Costs!AL10</f>
        <v>9</v>
      </c>
      <c r="C18" s="32">
        <f>Costs!AM10</f>
        <v>1.2217800000000001</v>
      </c>
      <c r="D18" s="32">
        <f>Costs!AN10</f>
        <v>-5.8057319999999933E-2</v>
      </c>
      <c r="E18" s="32">
        <f>Costs!AO10</f>
        <v>1.1637226800000002</v>
      </c>
      <c r="F18" s="32">
        <f>Costs!AR10</f>
        <v>4.0469999999999997</v>
      </c>
      <c r="G18" s="32">
        <f>Costs!AS10</f>
        <v>4.0469999999999997</v>
      </c>
      <c r="H18" s="32">
        <f>Costs!W10+Costs!U10+Costs!Y10</f>
        <v>3.66</v>
      </c>
      <c r="I18" s="32">
        <f>Costs!AB10</f>
        <v>0.38699999999999957</v>
      </c>
      <c r="J18" s="32">
        <f>+Costs!R10*(1/undergrid!$AQ$15-1)+Costs!Y10*(1-undergrid!$AQ$12)</f>
        <v>0</v>
      </c>
      <c r="K18" s="33">
        <f>SUM(Costs!AF10:AG10)</f>
        <v>0</v>
      </c>
    </row>
    <row r="19" spans="2:11" x14ac:dyDescent="0.3">
      <c r="B19" s="89">
        <f>Costs!AL11</f>
        <v>10</v>
      </c>
      <c r="C19" s="32">
        <f>Costs!AM11</f>
        <v>3.1652200000000001</v>
      </c>
      <c r="D19" s="32">
        <f>Costs!AN11</f>
        <v>-1.2484580000000001</v>
      </c>
      <c r="E19" s="32">
        <f>Costs!AO11</f>
        <v>1.9167620000000001</v>
      </c>
      <c r="F19" s="32">
        <f>Costs!AR11</f>
        <v>12.323</v>
      </c>
      <c r="G19" s="32">
        <f>Costs!AS11</f>
        <v>12.323</v>
      </c>
      <c r="H19" s="32">
        <f>Costs!W11+Costs!U11+Costs!Y11</f>
        <v>4</v>
      </c>
      <c r="I19" s="32">
        <f>Costs!AB11</f>
        <v>8.3230000000000004</v>
      </c>
      <c r="J19" s="32">
        <f>+Costs!R11*(1/undergrid!$AQ$15-1)+Costs!Y11*(1-undergrid!$AQ$12)</f>
        <v>0</v>
      </c>
      <c r="K19" s="33">
        <f>SUM(Costs!AF11:AG11)</f>
        <v>0</v>
      </c>
    </row>
    <row r="20" spans="2:11" x14ac:dyDescent="0.3">
      <c r="B20" s="89">
        <f>Costs!AL12</f>
        <v>11</v>
      </c>
      <c r="C20" s="32">
        <f>Costs!AM12</f>
        <v>4.0897600000000001</v>
      </c>
      <c r="D20" s="32">
        <f>Costs!AN12</f>
        <v>-1.14511086</v>
      </c>
      <c r="E20" s="32">
        <f>Costs!AO12</f>
        <v>2.9446491400000001</v>
      </c>
      <c r="F20" s="32">
        <f>Costs!AR12</f>
        <v>13.064</v>
      </c>
      <c r="G20" s="32">
        <f>Costs!AS12</f>
        <v>13.064</v>
      </c>
      <c r="H20" s="32">
        <f>Costs!W12+Costs!U12+Costs!Y12</f>
        <v>5.43</v>
      </c>
      <c r="I20" s="32">
        <f>Costs!AB12</f>
        <v>7.6340000000000003</v>
      </c>
      <c r="J20" s="32">
        <f>+Costs!R12*(1/undergrid!$AQ$15-1)+Costs!Y12*(1-undergrid!$AQ$12)</f>
        <v>0</v>
      </c>
      <c r="K20" s="33">
        <f>SUM(Costs!AF12:AG12)</f>
        <v>0</v>
      </c>
    </row>
    <row r="21" spans="2:11" x14ac:dyDescent="0.3">
      <c r="B21" s="89">
        <f>Costs!AL13</f>
        <v>12</v>
      </c>
      <c r="C21" s="32">
        <f>Costs!AM13</f>
        <v>5.3015800000000004</v>
      </c>
      <c r="D21" s="32">
        <f>Costs!AN13</f>
        <v>-0.46907762000000008</v>
      </c>
      <c r="E21" s="32">
        <f>Costs!AO13</f>
        <v>4.8325023800000002</v>
      </c>
      <c r="F21" s="32">
        <f>Costs!AR13</f>
        <v>16.937000000000001</v>
      </c>
      <c r="G21" s="32">
        <f>Costs!AS13</f>
        <v>16.937000000000001</v>
      </c>
      <c r="H21" s="32">
        <f>Costs!W13+Costs!U13+Costs!Y13</f>
        <v>13.81</v>
      </c>
      <c r="I21" s="32">
        <f>Costs!AB13</f>
        <v>3.1270000000000007</v>
      </c>
      <c r="J21" s="32">
        <f>+Costs!R13*(1/undergrid!$AQ$15-1)+Costs!Y13*(1-undergrid!$AQ$12)</f>
        <v>0</v>
      </c>
      <c r="K21" s="33">
        <f>SUM(Costs!AF13:AG13)</f>
        <v>0</v>
      </c>
    </row>
    <row r="22" spans="2:11" x14ac:dyDescent="0.3">
      <c r="B22" s="89">
        <f>Costs!AL14</f>
        <v>13</v>
      </c>
      <c r="C22" s="32">
        <f>Costs!AM14</f>
        <v>4.5177700000000005</v>
      </c>
      <c r="D22" s="32">
        <f>Costs!AN14</f>
        <v>-2.476E-5</v>
      </c>
      <c r="E22" s="32">
        <f>Costs!AO14</f>
        <v>4.5177452400000009</v>
      </c>
      <c r="F22" s="32">
        <f>Costs!AR14</f>
        <v>12.38</v>
      </c>
      <c r="G22" s="32">
        <f>Costs!AS14</f>
        <v>12.38</v>
      </c>
      <c r="H22" s="32">
        <f>Costs!W14+Costs!U14+Costs!Y14</f>
        <v>12.38</v>
      </c>
      <c r="I22" s="32">
        <f>Costs!AB14</f>
        <v>0</v>
      </c>
      <c r="J22" s="32">
        <f>+Costs!R14*(1/undergrid!$AQ$15-1)+Costs!Y14*(1-undergrid!$AQ$12)</f>
        <v>0</v>
      </c>
      <c r="K22" s="33">
        <f>SUM(Costs!AF14:AG14)</f>
        <v>0</v>
      </c>
    </row>
    <row r="23" spans="2:11" x14ac:dyDescent="0.3">
      <c r="B23" s="89">
        <f>Costs!AL15</f>
        <v>14</v>
      </c>
      <c r="C23" s="32">
        <f>Costs!AM15</f>
        <v>6.7112799999999995</v>
      </c>
      <c r="D23" s="32">
        <f>Costs!AN15</f>
        <v>-3.4499999999999998E-5</v>
      </c>
      <c r="E23" s="32">
        <f>Costs!AO15</f>
        <v>6.7112454999999995</v>
      </c>
      <c r="F23" s="32">
        <f>Costs!AR15</f>
        <v>17.25</v>
      </c>
      <c r="G23" s="32">
        <f>Costs!AS15</f>
        <v>17.25</v>
      </c>
      <c r="H23" s="32">
        <f>Costs!W15+Costs!U15+Costs!Y15</f>
        <v>17.25</v>
      </c>
      <c r="I23" s="32">
        <f>Costs!AB15</f>
        <v>0</v>
      </c>
      <c r="J23" s="32">
        <f>+Costs!R15*(1/undergrid!$AQ$15-1)+Costs!Y15*(1-undergrid!$AQ$12)</f>
        <v>0</v>
      </c>
      <c r="K23" s="33">
        <f>SUM(Costs!AF15:AG15)</f>
        <v>0</v>
      </c>
    </row>
    <row r="24" spans="2:11" x14ac:dyDescent="0.3">
      <c r="B24" s="89">
        <f>Costs!AL16</f>
        <v>15</v>
      </c>
      <c r="C24" s="32">
        <f>Costs!AM16</f>
        <v>6.7367400000000002</v>
      </c>
      <c r="D24" s="32">
        <f>Costs!AN16</f>
        <v>-0.44268140000000006</v>
      </c>
      <c r="E24" s="32">
        <f>Costs!AO16</f>
        <v>6.2940586000000005</v>
      </c>
      <c r="F24" s="32">
        <f>Costs!AR16</f>
        <v>18.651</v>
      </c>
      <c r="G24" s="32">
        <f>Costs!AS16</f>
        <v>18.651</v>
      </c>
      <c r="H24" s="32">
        <f>Costs!W16+Costs!U16+Costs!Y16</f>
        <v>15.7</v>
      </c>
      <c r="I24" s="32">
        <f>Costs!AB16</f>
        <v>2.9510000000000005</v>
      </c>
      <c r="J24" s="32">
        <f>+Costs!R16*(1/undergrid!$AQ$15-1)+Costs!Y16*(1-undergrid!$AQ$12)</f>
        <v>0</v>
      </c>
      <c r="K24" s="33">
        <f>SUM(Costs!AF16:AG16)</f>
        <v>0</v>
      </c>
    </row>
    <row r="25" spans="2:11" x14ac:dyDescent="0.3">
      <c r="B25" s="89">
        <f>Costs!AL17</f>
        <v>16</v>
      </c>
      <c r="C25" s="32">
        <f>Costs!AM17</f>
        <v>2.7962445161021705</v>
      </c>
      <c r="D25" s="32">
        <f>Costs!AN17</f>
        <v>-1.9460240834484967E-5</v>
      </c>
      <c r="E25" s="32">
        <f>Costs!AO17</f>
        <v>2.7962250558613362</v>
      </c>
      <c r="F25" s="32">
        <f>Costs!AR17</f>
        <v>9.6134026401764014</v>
      </c>
      <c r="G25" s="32">
        <f>Costs!AS17</f>
        <v>9.6199999999999992</v>
      </c>
      <c r="H25" s="32">
        <f>Costs!W17+Costs!U17+Costs!Y17</f>
        <v>9.6199999999999992</v>
      </c>
      <c r="I25" s="32">
        <f>Costs!AB17</f>
        <v>0</v>
      </c>
      <c r="J25" s="32">
        <f>+Costs!R17*(1/undergrid!$AQ$15-1)+Costs!Y17*(1-undergrid!$AQ$12)</f>
        <v>6.5973598235978953E-3</v>
      </c>
      <c r="K25" s="33">
        <f>SUM(Costs!AF17:AG17)</f>
        <v>0</v>
      </c>
    </row>
    <row r="26" spans="2:11" x14ac:dyDescent="0.3">
      <c r="B26" s="89">
        <f>Costs!AL18</f>
        <v>17</v>
      </c>
      <c r="C26" s="32">
        <f>Costs!AM18</f>
        <v>4.5571400000000004</v>
      </c>
      <c r="D26" s="32">
        <f>Costs!AN18</f>
        <v>-0.69466983999999998</v>
      </c>
      <c r="E26" s="32">
        <f>Costs!AO18</f>
        <v>3.8624701600000004</v>
      </c>
      <c r="F26" s="32">
        <f>Costs!AR18</f>
        <v>14.551</v>
      </c>
      <c r="G26" s="32">
        <f>Costs!AS18</f>
        <v>14.551</v>
      </c>
      <c r="H26" s="32">
        <f>Costs!W18+Costs!U18+Costs!Y18</f>
        <v>9.92</v>
      </c>
      <c r="I26" s="32">
        <f>Costs!AB18</f>
        <v>4.6310000000000002</v>
      </c>
      <c r="J26" s="32">
        <f>+Costs!R18*(1/undergrid!$AQ$15-1)+Costs!Y18*(1-undergrid!$AQ$12)</f>
        <v>0</v>
      </c>
      <c r="K26" s="33">
        <f>SUM(Costs!AF18:AG18)</f>
        <v>0</v>
      </c>
    </row>
    <row r="27" spans="2:11" x14ac:dyDescent="0.3">
      <c r="B27" s="89">
        <f>Costs!AL19</f>
        <v>18</v>
      </c>
      <c r="C27" s="32">
        <f>Costs!AM19</f>
        <v>4.0823</v>
      </c>
      <c r="D27" s="32">
        <f>Costs!AN19</f>
        <v>-1.2731387132076286</v>
      </c>
      <c r="E27" s="32">
        <f>Costs!AO19</f>
        <v>2.8091612867923716</v>
      </c>
      <c r="F27" s="32">
        <f>Costs!AR19</f>
        <v>12.456196603200972</v>
      </c>
      <c r="G27" s="32">
        <f>Costs!AS19</f>
        <v>12.457538189474773</v>
      </c>
      <c r="H27" s="32">
        <f>Costs!W19+Costs!U19+Costs!Y19</f>
        <v>3.97</v>
      </c>
      <c r="I27" s="32">
        <f>Costs!AB19</f>
        <v>8.4875381894747726</v>
      </c>
      <c r="J27" s="32">
        <f>+Costs!R19*(1/undergrid!$AQ$15-1)+Costs!Y19*(1-undergrid!$AQ$12)</f>
        <v>1.3415862738006571E-3</v>
      </c>
      <c r="K27" s="33">
        <f>SUM(Costs!AF19:AG19)</f>
        <v>0</v>
      </c>
    </row>
    <row r="28" spans="2:11" x14ac:dyDescent="0.3">
      <c r="B28" s="89">
        <f>Costs!AL20</f>
        <v>19</v>
      </c>
      <c r="C28" s="32">
        <f>Costs!AM20</f>
        <v>5.51</v>
      </c>
      <c r="D28" s="32">
        <f>Costs!AN20</f>
        <v>-4.3942222222222232E-5</v>
      </c>
      <c r="E28" s="32">
        <f>Costs!AO20</f>
        <v>5.509956057777778</v>
      </c>
      <c r="F28" s="32">
        <f>Costs!AR20</f>
        <v>11.02</v>
      </c>
      <c r="G28" s="32">
        <f>Costs!AS20</f>
        <v>12.015555555555558</v>
      </c>
      <c r="H28" s="32">
        <f>Costs!W20+Costs!U20+Costs!Y20</f>
        <v>12.015555555555558</v>
      </c>
      <c r="I28" s="32">
        <f>Costs!AB20</f>
        <v>0</v>
      </c>
      <c r="J28" s="32">
        <f>+Costs!R20*(1/undergrid!$AQ$15-1)+Costs!Y20*(1-undergrid!$AQ$12)</f>
        <v>0.99555555555555553</v>
      </c>
      <c r="K28" s="33">
        <f>SUM(Costs!AF20:AG20)</f>
        <v>4.5010000000000003</v>
      </c>
    </row>
    <row r="29" spans="2:11" x14ac:dyDescent="0.3">
      <c r="B29" s="89">
        <f>Costs!AL21</f>
        <v>20</v>
      </c>
      <c r="C29" s="32">
        <f>Costs!AM21</f>
        <v>2.71</v>
      </c>
      <c r="D29" s="32">
        <f>Costs!AN21</f>
        <v>-2.4088888886888886E-5</v>
      </c>
      <c r="E29" s="32">
        <f>Costs!AO21</f>
        <v>2.7099759111111132</v>
      </c>
      <c r="F29" s="32">
        <f>Costs!AR21</f>
        <v>5.42</v>
      </c>
      <c r="G29" s="32">
        <f>Costs!AS21</f>
        <v>6.0222222217222221</v>
      </c>
      <c r="H29" s="32">
        <f>Costs!W21+Costs!U21+Costs!Y21</f>
        <v>6.0222222217222221</v>
      </c>
      <c r="I29" s="32">
        <f>Costs!AB21</f>
        <v>0</v>
      </c>
      <c r="J29" s="32">
        <f>+Costs!R21*(1/undergrid!$AQ$15-1)+Costs!Y21*(1-undergrid!$AQ$12)</f>
        <v>0.6022222221722221</v>
      </c>
      <c r="K29" s="33">
        <f>SUM(Costs!AF21:AG21)</f>
        <v>3.5840000000000001</v>
      </c>
    </row>
    <row r="30" spans="2:11" x14ac:dyDescent="0.3">
      <c r="B30" s="89">
        <f>Costs!AL22</f>
        <v>21</v>
      </c>
      <c r="C30" s="32">
        <f>Costs!AM22</f>
        <v>10.64</v>
      </c>
      <c r="D30" s="32">
        <f>Costs!AN22</f>
        <v>-9.4577777775777783E-5</v>
      </c>
      <c r="E30" s="32">
        <f>Costs!AO22</f>
        <v>10.639905422222224</v>
      </c>
      <c r="F30" s="32">
        <f>Costs!AR22</f>
        <v>21.28</v>
      </c>
      <c r="G30" s="32">
        <f>Costs!AS22</f>
        <v>23.644444443944447</v>
      </c>
      <c r="H30" s="32">
        <f>Costs!W22+Costs!U22+Costs!Y22</f>
        <v>23.644444443944447</v>
      </c>
      <c r="I30" s="32">
        <f>Costs!AB22</f>
        <v>0</v>
      </c>
      <c r="J30" s="32">
        <f>+Costs!R22*(1/undergrid!$AQ$15-1)+Costs!Y22*(1-undergrid!$AQ$12)</f>
        <v>2.3644444443944441</v>
      </c>
      <c r="K30" s="33">
        <f>SUM(Costs!AF22:AG22)</f>
        <v>3.871</v>
      </c>
    </row>
    <row r="31" spans="2:11" x14ac:dyDescent="0.3">
      <c r="B31" s="89">
        <f>Costs!AL23</f>
        <v>22</v>
      </c>
      <c r="C31" s="32">
        <f>Costs!AM23</f>
        <v>11.64</v>
      </c>
      <c r="D31" s="32">
        <f>Costs!AN23</f>
        <v>-2.7954488200027274</v>
      </c>
      <c r="E31" s="32">
        <f>Costs!AO23</f>
        <v>8.8445511799972731</v>
      </c>
      <c r="F31" s="32">
        <f>Costs!AR23</f>
        <v>23.28</v>
      </c>
      <c r="G31" s="32">
        <f>Costs!AS23</f>
        <v>25.006013057517336</v>
      </c>
      <c r="H31" s="32">
        <f>Costs!W23+Costs!U23+Costs!Y23</f>
        <v>25.006013057517336</v>
      </c>
      <c r="I31" s="32">
        <f>Costs!AB23</f>
        <v>0</v>
      </c>
      <c r="J31" s="32">
        <f>+Costs!R23*(1/undergrid!$AQ$15-1)+Costs!Y23*(1-undergrid!$AQ$12)</f>
        <v>1.7260130579673369</v>
      </c>
      <c r="K31" s="33">
        <f>SUM(Costs!AF23:AG23)</f>
        <v>2.7050000000000001</v>
      </c>
    </row>
    <row r="32" spans="2:11" x14ac:dyDescent="0.3">
      <c r="B32" s="89">
        <f>Costs!AL24</f>
        <v>23</v>
      </c>
      <c r="C32" s="32">
        <f>Costs!AM24</f>
        <v>3.16</v>
      </c>
      <c r="D32" s="32">
        <f>Costs!AN24</f>
        <v>-2.8088888886888888E-5</v>
      </c>
      <c r="E32" s="32">
        <f>Costs!AO24</f>
        <v>3.1599719111111133</v>
      </c>
      <c r="F32" s="32">
        <f>Costs!AR24</f>
        <v>6.32</v>
      </c>
      <c r="G32" s="32">
        <f>Costs!AS24</f>
        <v>7.0222222217222221</v>
      </c>
      <c r="H32" s="32">
        <f>Costs!W24+Costs!U24+Costs!Y24</f>
        <v>7.0222222217222221</v>
      </c>
      <c r="I32" s="32">
        <f>Costs!AB24</f>
        <v>0</v>
      </c>
      <c r="J32" s="32">
        <f>+Costs!R24*(1/undergrid!$AQ$15-1)+Costs!Y24*(1-undergrid!$AQ$12)</f>
        <v>0.70222222217222208</v>
      </c>
      <c r="K32" s="33">
        <f>SUM(Costs!AF24:AG24)</f>
        <v>1.956</v>
      </c>
    </row>
    <row r="33" spans="2:11" x14ac:dyDescent="0.3">
      <c r="B33" s="89">
        <f>Costs!AL25</f>
        <v>24</v>
      </c>
      <c r="C33" s="32">
        <f>Costs!AM25</f>
        <v>2.73</v>
      </c>
      <c r="D33" s="32">
        <f>Costs!AN25</f>
        <v>-2.4266666664666669E-5</v>
      </c>
      <c r="E33" s="32">
        <f>Costs!AO25</f>
        <v>2.7299757333333354</v>
      </c>
      <c r="F33" s="32">
        <f>Costs!AR25</f>
        <v>5.46</v>
      </c>
      <c r="G33" s="32">
        <f>Costs!AS25</f>
        <v>6.0666666661666673</v>
      </c>
      <c r="H33" s="32">
        <f>Costs!W25+Costs!U25+Costs!Y25</f>
        <v>6.0666666661666673</v>
      </c>
      <c r="I33" s="32">
        <f>Costs!AB25</f>
        <v>0</v>
      </c>
      <c r="J33" s="32">
        <f>+Costs!R25*(1/undergrid!$AQ$15-1)+Costs!Y25*(1-undergrid!$AQ$12)</f>
        <v>0.60666666661666657</v>
      </c>
      <c r="K33" s="33">
        <f>SUM(Costs!AF25:AG25)</f>
        <v>2.1419999999999999</v>
      </c>
    </row>
    <row r="34" spans="2:11" x14ac:dyDescent="0.3">
      <c r="B34" s="89">
        <f>Costs!AL26</f>
        <v>25</v>
      </c>
      <c r="C34" s="32">
        <f>Costs!AM26</f>
        <v>2.5128399999999997</v>
      </c>
      <c r="D34" s="32">
        <f>Costs!AN26</f>
        <v>-0.66878813657421576</v>
      </c>
      <c r="E34" s="32">
        <f>Costs!AO26</f>
        <v>1.8440518634257841</v>
      </c>
      <c r="F34" s="32">
        <f>Costs!AR26</f>
        <v>6.6876799999999967</v>
      </c>
      <c r="G34" s="32">
        <f>Costs!AS26</f>
        <v>6.6878812985421572</v>
      </c>
      <c r="H34" s="32">
        <f>Costs!W26+Costs!U26+Costs!Y26</f>
        <v>0</v>
      </c>
      <c r="I34" s="32">
        <f>Costs!AB26</f>
        <v>6.6878812985421572</v>
      </c>
      <c r="J34" s="32">
        <f>+Costs!R26*(1/undergrid!$AQ$15-1)+Costs!Y26*(1-undergrid!$AQ$12)</f>
        <v>2.0129899216087051E-4</v>
      </c>
      <c r="K34" s="33">
        <f>SUM(Costs!AF26:AG26)</f>
        <v>0</v>
      </c>
    </row>
    <row r="35" spans="2:11" x14ac:dyDescent="0.3">
      <c r="B35" s="89">
        <f>Costs!AL27</f>
        <v>26</v>
      </c>
      <c r="C35" s="32">
        <f>Costs!AM27</f>
        <v>1.2718</v>
      </c>
      <c r="D35" s="32">
        <f>Costs!AN27</f>
        <v>-0.3891881365742158</v>
      </c>
      <c r="E35" s="32">
        <f>Costs!AO27</f>
        <v>0.88261186342578424</v>
      </c>
      <c r="F35" s="32">
        <f>Costs!AR27</f>
        <v>3.8916799999999969</v>
      </c>
      <c r="G35" s="32">
        <f>Costs!AS27</f>
        <v>3.8918812985421578</v>
      </c>
      <c r="H35" s="32">
        <f>Costs!W27+Costs!U27+Costs!Y27</f>
        <v>0</v>
      </c>
      <c r="I35" s="32">
        <f>Costs!AB27</f>
        <v>3.8918812985421578</v>
      </c>
      <c r="J35" s="32">
        <f>+Costs!R27*(1/undergrid!$AQ$15-1)+Costs!Y27*(1-undergrid!$AQ$12)</f>
        <v>2.0129899216087051E-4</v>
      </c>
      <c r="K35" s="33">
        <f>SUM(Costs!AF27:AG27)</f>
        <v>0</v>
      </c>
    </row>
    <row r="36" spans="2:11" x14ac:dyDescent="0.3">
      <c r="B36" s="89">
        <f>Costs!AL28</f>
        <v>27</v>
      </c>
      <c r="C36" s="32">
        <f>Costs!AM28</f>
        <v>0.54046000000000005</v>
      </c>
      <c r="D36" s="32">
        <f>Costs!AN28</f>
        <v>-1.7292504928794057</v>
      </c>
      <c r="E36" s="32">
        <f>Costs!AO28</f>
        <v>-1.1887904928794057</v>
      </c>
      <c r="F36" s="32">
        <f>Costs!AR28</f>
        <v>15.618150923743944</v>
      </c>
      <c r="G36" s="32">
        <f>Costs!AS28</f>
        <v>17.291946162757107</v>
      </c>
      <c r="H36" s="32">
        <f>Costs!W28+Costs!U28+Costs!Y28</f>
        <v>0</v>
      </c>
      <c r="I36" s="32">
        <f>Costs!AB28</f>
        <v>17.291946162757107</v>
      </c>
      <c r="J36" s="32">
        <f>+Costs!R28*(1/undergrid!$AQ$15-1)+Costs!Y28*(1-undergrid!$AQ$12)</f>
        <v>1.6737952394631626</v>
      </c>
      <c r="K36" s="33">
        <f>SUM(Costs!AF28:AG28)</f>
        <v>0</v>
      </c>
    </row>
    <row r="37" spans="2:11" x14ac:dyDescent="0.3">
      <c r="B37" s="89">
        <f>Costs!AL29</f>
        <v>28</v>
      </c>
      <c r="C37" s="32">
        <f>Costs!AM29</f>
        <v>1.7908599999999999</v>
      </c>
      <c r="D37" s="32">
        <f>Costs!AN29</f>
        <v>-2.5000696932920015</v>
      </c>
      <c r="E37" s="32">
        <f>Costs!AO29</f>
        <v>-0.70920969329200156</v>
      </c>
      <c r="F37" s="32">
        <f>Costs!AR29</f>
        <v>22.912323000401852</v>
      </c>
      <c r="G37" s="32">
        <f>Costs!AS29</f>
        <v>25</v>
      </c>
      <c r="H37" s="32">
        <f>Costs!W29+Costs!U29+Costs!Y29</f>
        <v>0</v>
      </c>
      <c r="I37" s="32">
        <f>Costs!AB29</f>
        <v>25</v>
      </c>
      <c r="J37" s="32">
        <f>+Costs!R29*(1/undergrid!$AQ$15-1)+Costs!Y29*(1-undergrid!$AQ$12)</f>
        <v>2.0876770000481533</v>
      </c>
      <c r="K37" s="33">
        <f>SUM(Costs!AF29:AG29)</f>
        <v>0</v>
      </c>
    </row>
    <row r="38" spans="2:11" x14ac:dyDescent="0.3">
      <c r="B38" s="89">
        <f>Costs!AL30</f>
        <v>29</v>
      </c>
      <c r="C38" s="32">
        <f>Costs!AM30</f>
        <v>1.0225200000000001</v>
      </c>
      <c r="D38" s="32">
        <f>Costs!AN30</f>
        <v>-2.5000780910640015</v>
      </c>
      <c r="E38" s="32">
        <f>Costs!AO30</f>
        <v>-1.4775580910640014</v>
      </c>
      <c r="F38" s="32">
        <f>Costs!AR30</f>
        <v>22.66076600040185</v>
      </c>
      <c r="G38" s="32">
        <f>Costs!AS30</f>
        <v>25</v>
      </c>
      <c r="H38" s="32">
        <f>Costs!W30+Costs!U30+Costs!Y30</f>
        <v>0</v>
      </c>
      <c r="I38" s="32">
        <f>Costs!AB30</f>
        <v>25</v>
      </c>
      <c r="J38" s="32">
        <f>+Costs!R30*(1/undergrid!$AQ$15-1)+Costs!Y30*(1-undergrid!$AQ$12)</f>
        <v>2.3392340000481537</v>
      </c>
      <c r="K38" s="33">
        <f>SUM(Costs!AF30:AG30)</f>
        <v>0</v>
      </c>
    </row>
    <row r="39" spans="2:11" x14ac:dyDescent="0.3">
      <c r="B39" s="89">
        <f>Costs!AL31</f>
        <v>30</v>
      </c>
      <c r="C39" s="32">
        <f>Costs!AM31</f>
        <v>1.1836</v>
      </c>
      <c r="D39" s="32">
        <f>Costs!AN31</f>
        <v>-2.5000763693600017</v>
      </c>
      <c r="E39" s="32">
        <f>Costs!AO31</f>
        <v>-1.3164763693600017</v>
      </c>
      <c r="F39" s="32">
        <f>Costs!AR31</f>
        <v>22.712340000401852</v>
      </c>
      <c r="G39" s="32">
        <f>Costs!AS31</f>
        <v>25</v>
      </c>
      <c r="H39" s="32">
        <f>Costs!W31+Costs!U31+Costs!Y31</f>
        <v>0</v>
      </c>
      <c r="I39" s="32">
        <f>Costs!AB31</f>
        <v>25</v>
      </c>
      <c r="J39" s="32">
        <f>+Costs!R31*(1/undergrid!$AQ$15-1)+Costs!Y31*(1-undergrid!$AQ$12)</f>
        <v>2.2876600000481537</v>
      </c>
      <c r="K39" s="33">
        <f>SUM(Costs!AF31:AG31)</f>
        <v>0</v>
      </c>
    </row>
    <row r="40" spans="2:11" x14ac:dyDescent="0.3">
      <c r="B40" s="89">
        <f>Costs!AL32</f>
        <v>31</v>
      </c>
      <c r="C40" s="32">
        <f>Costs!AM32</f>
        <v>4.1091900000584998</v>
      </c>
      <c r="D40" s="32">
        <f>Costs!AN32</f>
        <v>-1.1999999999999999E-4</v>
      </c>
      <c r="E40" s="32">
        <f>Costs!AO32</f>
        <v>4.1090700000584999</v>
      </c>
      <c r="F40" s="32">
        <f>Costs!AR32</f>
        <v>27.000000000450001</v>
      </c>
      <c r="G40" s="32">
        <f>Costs!AS32</f>
        <v>30</v>
      </c>
      <c r="H40" s="32">
        <f>Costs!W32+Costs!U32+Costs!Y32</f>
        <v>30</v>
      </c>
      <c r="I40" s="32">
        <f>Costs!AB32</f>
        <v>0</v>
      </c>
      <c r="J40" s="32">
        <f>+Costs!R32*(1/undergrid!$AQ$15-1)+Costs!Y32*(1-undergrid!$AQ$12)</f>
        <v>2.9999999999999991</v>
      </c>
      <c r="K40" s="33">
        <f>SUM(Costs!AF32:AG32)</f>
        <v>0</v>
      </c>
    </row>
    <row r="41" spans="2:11" x14ac:dyDescent="0.3">
      <c r="B41" s="89">
        <f>Costs!AL33</f>
        <v>32</v>
      </c>
      <c r="C41" s="32">
        <f>Costs!AM33</f>
        <v>1.3448297647873741</v>
      </c>
      <c r="D41" s="32">
        <f>Costs!AN33</f>
        <v>-1.452375264230339E-5</v>
      </c>
      <c r="E41" s="32">
        <f>Costs!AO33</f>
        <v>1.3448152410347318</v>
      </c>
      <c r="F41" s="32">
        <f>Costs!AR33</f>
        <v>5.9958443445182628</v>
      </c>
      <c r="G41" s="32">
        <f>Costs!AS33</f>
        <v>6.1109381605758477</v>
      </c>
      <c r="H41" s="32">
        <f>Costs!W33+Costs!U33+Costs!Y33</f>
        <v>6.1109381605758477</v>
      </c>
      <c r="I41" s="32">
        <f>Costs!AB33</f>
        <v>0</v>
      </c>
      <c r="J41" s="32">
        <f>+Costs!R33*(1/undergrid!$AQ$15-1)+Costs!Y33*(1-undergrid!$AQ$12)</f>
        <v>0.11509381605758474</v>
      </c>
      <c r="K41" s="33">
        <f>SUM(Costs!AF33:AG33)</f>
        <v>0</v>
      </c>
    </row>
    <row r="42" spans="2:11" x14ac:dyDescent="0.3">
      <c r="B42" s="89">
        <f>Costs!AL34</f>
        <v>33</v>
      </c>
      <c r="C42" s="32">
        <f>Costs!AM34</f>
        <v>1.9128699999999998</v>
      </c>
      <c r="D42" s="32">
        <f>Costs!AN34</f>
        <v>-1.4439999999999999E-5</v>
      </c>
      <c r="E42" s="32">
        <f>Costs!AO34</f>
        <v>1.9128555599999999</v>
      </c>
      <c r="F42" s="32">
        <f>Costs!AR34</f>
        <v>7.22</v>
      </c>
      <c r="G42" s="32">
        <f>Costs!AS34</f>
        <v>7.22</v>
      </c>
      <c r="H42" s="32">
        <f>Costs!W34+Costs!U34+Costs!Y34</f>
        <v>7.22</v>
      </c>
      <c r="I42" s="32">
        <f>Costs!AB34</f>
        <v>0</v>
      </c>
      <c r="J42" s="32">
        <f>+Costs!R34*(1/undergrid!$AQ$15-1)+Costs!Y34*(1-undergrid!$AQ$12)</f>
        <v>0</v>
      </c>
      <c r="K42" s="33">
        <f>SUM(Costs!AF34:AG34)</f>
        <v>0</v>
      </c>
    </row>
    <row r="43" spans="2:11" x14ac:dyDescent="0.3">
      <c r="B43" s="89">
        <f>Costs!AL35</f>
        <v>34</v>
      </c>
      <c r="C43" s="32">
        <f>Costs!AM35</f>
        <v>3.1416599999999999</v>
      </c>
      <c r="D43" s="32">
        <f>Costs!AN35</f>
        <v>-3.222E-5</v>
      </c>
      <c r="E43" s="32">
        <f>Costs!AO35</f>
        <v>3.1416277799999999</v>
      </c>
      <c r="F43" s="32">
        <f>Costs!AR35</f>
        <v>16.11</v>
      </c>
      <c r="G43" s="32">
        <f>Costs!AS35</f>
        <v>16.11</v>
      </c>
      <c r="H43" s="32">
        <f>Costs!W35+Costs!U35+Costs!Y35</f>
        <v>16.11</v>
      </c>
      <c r="I43" s="32">
        <f>Costs!AB35</f>
        <v>0</v>
      </c>
      <c r="J43" s="32">
        <f>+Costs!R35*(1/undergrid!$AQ$15-1)+Costs!Y35*(1-undergrid!$AQ$12)</f>
        <v>0</v>
      </c>
      <c r="K43" s="33">
        <f>SUM(Costs!AF35:AG35)</f>
        <v>0</v>
      </c>
    </row>
    <row r="44" spans="2:11" x14ac:dyDescent="0.3">
      <c r="B44" s="89">
        <f>Costs!AL36</f>
        <v>35</v>
      </c>
      <c r="C44" s="32">
        <f>Costs!AM36</f>
        <v>5.4459300000000006</v>
      </c>
      <c r="D44" s="32">
        <f>Costs!AN36</f>
        <v>-6.0039999999999994E-5</v>
      </c>
      <c r="E44" s="32">
        <f>Costs!AO36</f>
        <v>5.4458699600000005</v>
      </c>
      <c r="F44" s="32">
        <f>Costs!AR36</f>
        <v>30</v>
      </c>
      <c r="G44" s="32">
        <f>Costs!AS36</f>
        <v>30</v>
      </c>
      <c r="H44" s="32">
        <f>Costs!W36+Costs!U36+Costs!Y36</f>
        <v>30</v>
      </c>
      <c r="I44" s="32">
        <f>Costs!AB36</f>
        <v>0</v>
      </c>
      <c r="J44" s="32">
        <f>+Costs!R36*(1/undergrid!$AQ$15-1)+Costs!Y36*(1-undergrid!$AQ$12)</f>
        <v>0</v>
      </c>
      <c r="K44" s="33">
        <f>SUM(Costs!AF36:AG36)</f>
        <v>0</v>
      </c>
    </row>
    <row r="45" spans="2:11" x14ac:dyDescent="0.3">
      <c r="B45" s="89">
        <f>Costs!AL37</f>
        <v>36</v>
      </c>
      <c r="C45" s="32">
        <f>Costs!AM37</f>
        <v>5.6745800000000006</v>
      </c>
      <c r="D45" s="32">
        <f>Costs!AN37</f>
        <v>-6.9679999999999997E-5</v>
      </c>
      <c r="E45" s="32">
        <f>Costs!AO37</f>
        <v>5.6745103200000004</v>
      </c>
      <c r="F45" s="32">
        <f>Costs!AR37</f>
        <v>30</v>
      </c>
      <c r="G45" s="32">
        <f>Costs!AS37</f>
        <v>30</v>
      </c>
      <c r="H45" s="32">
        <f>Costs!W37+Costs!U37+Costs!Y37</f>
        <v>30</v>
      </c>
      <c r="I45" s="32">
        <f>Costs!AB37</f>
        <v>0</v>
      </c>
      <c r="J45" s="32">
        <f>+Costs!R37*(1/undergrid!$AQ$15-1)+Costs!Y37*(1-undergrid!$AQ$12)</f>
        <v>0</v>
      </c>
      <c r="K45" s="33">
        <f>SUM(Costs!AF37:AG37)</f>
        <v>0</v>
      </c>
    </row>
    <row r="46" spans="2:11" x14ac:dyDescent="0.3">
      <c r="B46" s="89">
        <f>Costs!AL38</f>
        <v>37</v>
      </c>
      <c r="C46" s="32">
        <f>Costs!AM38</f>
        <v>6.1389100000000001</v>
      </c>
      <c r="D46" s="32">
        <f>Costs!AN38</f>
        <v>-6.19E-5</v>
      </c>
      <c r="E46" s="32">
        <f>Costs!AO38</f>
        <v>6.1388480999999997</v>
      </c>
      <c r="F46" s="32">
        <f>Costs!AR38</f>
        <v>30</v>
      </c>
      <c r="G46" s="32">
        <f>Costs!AS38</f>
        <v>30</v>
      </c>
      <c r="H46" s="32">
        <f>Costs!W38+Costs!U38+Costs!Y38</f>
        <v>30</v>
      </c>
      <c r="I46" s="32">
        <f>Costs!AB38</f>
        <v>0</v>
      </c>
      <c r="J46" s="32">
        <f>+Costs!R38*(1/undergrid!$AQ$15-1)+Costs!Y38*(1-undergrid!$AQ$12)</f>
        <v>0</v>
      </c>
      <c r="K46" s="33">
        <f>SUM(Costs!AF38:AG38)</f>
        <v>0</v>
      </c>
    </row>
    <row r="47" spans="2:11" x14ac:dyDescent="0.3">
      <c r="B47" s="89">
        <f>Costs!AL39</f>
        <v>38</v>
      </c>
      <c r="C47" s="32">
        <f>Costs!AM39</f>
        <v>6.04026</v>
      </c>
      <c r="D47" s="32">
        <f>Costs!AN39</f>
        <v>-9.4714892000000002E-5</v>
      </c>
      <c r="E47" s="32">
        <f>Costs!AO39</f>
        <v>6.0401652851080003</v>
      </c>
      <c r="F47" s="32">
        <f>Costs!AR39</f>
        <v>24.052723</v>
      </c>
      <c r="G47" s="32">
        <f>Costs!AS39</f>
        <v>25.37</v>
      </c>
      <c r="H47" s="32">
        <f>Costs!W39+Costs!U39+Costs!Y39</f>
        <v>25.37</v>
      </c>
      <c r="I47" s="32">
        <f>Costs!AB39</f>
        <v>0</v>
      </c>
      <c r="J47" s="32">
        <f>+Costs!R39*(1/undergrid!$AQ$15-1)+Costs!Y39*(1-undergrid!$AQ$12)</f>
        <v>1.317277000000002</v>
      </c>
      <c r="K47" s="33">
        <f>SUM(Costs!AF39:AG39)</f>
        <v>0</v>
      </c>
    </row>
    <row r="48" spans="2:11" x14ac:dyDescent="0.3">
      <c r="B48" s="89">
        <f>Costs!AL40</f>
        <v>39</v>
      </c>
      <c r="C48" s="32">
        <f>Costs!AM40</f>
        <v>7.1010600000000004</v>
      </c>
      <c r="D48" s="32">
        <f>Costs!AN40</f>
        <v>-5.4925172000000011E-5</v>
      </c>
      <c r="E48" s="32">
        <f>Costs!AO40</f>
        <v>7.1010050748280005</v>
      </c>
      <c r="F48" s="32">
        <f>Costs!AR40</f>
        <v>22.160293000000003</v>
      </c>
      <c r="G48" s="32">
        <f>Costs!AS40</f>
        <v>22.46</v>
      </c>
      <c r="H48" s="32">
        <f>Costs!W40+Costs!U40+Costs!Y40</f>
        <v>22.46</v>
      </c>
      <c r="I48" s="32">
        <f>Costs!AB40</f>
        <v>0</v>
      </c>
      <c r="J48" s="32">
        <f>+Costs!R40*(1/undergrid!$AQ$15-1)+Costs!Y40*(1-undergrid!$AQ$12)</f>
        <v>0.29970700000000094</v>
      </c>
      <c r="K48" s="33">
        <f>SUM(Costs!AF40:AG40)</f>
        <v>0</v>
      </c>
    </row>
    <row r="49" spans="2:11" x14ac:dyDescent="0.3">
      <c r="B49" s="89">
        <f>Costs!AL41</f>
        <v>40</v>
      </c>
      <c r="C49" s="32">
        <f>Costs!AM41</f>
        <v>3.4508000000000001</v>
      </c>
      <c r="D49" s="32">
        <f>Costs!AN41</f>
        <v>-8.8569680000000005E-5</v>
      </c>
      <c r="E49" s="32">
        <f>Costs!AO41</f>
        <v>3.4507114303200002</v>
      </c>
      <c r="F49" s="32">
        <f>Costs!AR41</f>
        <v>21.68242</v>
      </c>
      <c r="G49" s="32">
        <f>Costs!AS41</f>
        <v>22.96</v>
      </c>
      <c r="H49" s="32">
        <f>Costs!W41+Costs!U41+Costs!Y41</f>
        <v>22.96</v>
      </c>
      <c r="I49" s="32">
        <f>Costs!AB41</f>
        <v>0</v>
      </c>
      <c r="J49" s="32">
        <f>+Costs!R41*(1/undergrid!$AQ$15-1)+Costs!Y41*(1-undergrid!$AQ$12)</f>
        <v>1.2775800000000019</v>
      </c>
      <c r="K49" s="33">
        <f>SUM(Costs!AF41:AG41)</f>
        <v>0</v>
      </c>
    </row>
    <row r="50" spans="2:11" x14ac:dyDescent="0.3">
      <c r="B50" s="89">
        <f>Costs!AL42</f>
        <v>41</v>
      </c>
      <c r="C50" s="32">
        <f>Costs!AM42</f>
        <v>3.9856800000000003</v>
      </c>
      <c r="D50" s="32">
        <f>Costs!AN42</f>
        <v>-2.7180175999999995E-5</v>
      </c>
      <c r="E50" s="32">
        <f>Costs!AO42</f>
        <v>3.9856528198240002</v>
      </c>
      <c r="F50" s="32">
        <f>Costs!AR42</f>
        <v>13.007043999999999</v>
      </c>
      <c r="G50" s="32">
        <f>Costs!AS42</f>
        <v>13.04</v>
      </c>
      <c r="H50" s="32">
        <f>Costs!W42+Costs!U42+Costs!Y42</f>
        <v>13.04</v>
      </c>
      <c r="I50" s="32">
        <f>Costs!AB42</f>
        <v>0</v>
      </c>
      <c r="J50" s="32">
        <f>+Costs!R42*(1/undergrid!$AQ$15-1)+Costs!Y42*(1-undergrid!$AQ$12)</f>
        <v>3.2955999999999978E-2</v>
      </c>
      <c r="K50" s="33">
        <f>SUM(Costs!AF42:AG42)</f>
        <v>0</v>
      </c>
    </row>
    <row r="51" spans="2:11" x14ac:dyDescent="0.3">
      <c r="B51" s="89">
        <f>Costs!AL43</f>
        <v>42</v>
      </c>
      <c r="C51" s="32">
        <f>Costs!AM43</f>
        <v>4.9740200000000003</v>
      </c>
      <c r="D51" s="32">
        <f>Costs!AN43</f>
        <v>-4.6637777777777778E-5</v>
      </c>
      <c r="E51" s="32">
        <f>Costs!AO43</f>
        <v>4.9739733622222229</v>
      </c>
      <c r="F51" s="32">
        <f>Costs!AR43</f>
        <v>15.163</v>
      </c>
      <c r="G51" s="32">
        <f>Costs!AS43</f>
        <v>15.904444444444445</v>
      </c>
      <c r="H51" s="32">
        <f>Costs!W43+Costs!U43+Costs!Y43</f>
        <v>15.904444444444445</v>
      </c>
      <c r="I51" s="32">
        <f>Costs!AB43</f>
        <v>0</v>
      </c>
      <c r="J51" s="32">
        <f>+Costs!R43*(1/undergrid!$AQ$15-1)+Costs!Y43*(1-undergrid!$AQ$12)</f>
        <v>0.74144444444444435</v>
      </c>
      <c r="K51" s="33">
        <f>SUM(Costs!AF43:AG43)</f>
        <v>0</v>
      </c>
    </row>
    <row r="52" spans="2:11" x14ac:dyDescent="0.3">
      <c r="B52" s="89">
        <f>Costs!AL44</f>
        <v>43</v>
      </c>
      <c r="C52" s="32">
        <f>Costs!AM44</f>
        <v>3.3992999999999998</v>
      </c>
      <c r="D52" s="32">
        <f>Costs!AN44</f>
        <v>-3.181999999999999E-5</v>
      </c>
      <c r="E52" s="32">
        <f>Costs!AO44</f>
        <v>3.39926818</v>
      </c>
      <c r="F52" s="32">
        <f>Costs!AR44</f>
        <v>8.5949999999999989</v>
      </c>
      <c r="G52" s="32">
        <f>Costs!AS44</f>
        <v>9.259999999999998</v>
      </c>
      <c r="H52" s="32">
        <f>Costs!W44+Costs!U44+Costs!Y44</f>
        <v>9.259999999999998</v>
      </c>
      <c r="I52" s="32">
        <f>Costs!AB44</f>
        <v>0</v>
      </c>
      <c r="J52" s="32">
        <f>+Costs!R44*(1/undergrid!$AQ$15-1)+Costs!Y44*(1-undergrid!$AQ$12)</f>
        <v>0.6649999999999997</v>
      </c>
      <c r="K52" s="33">
        <f>SUM(Costs!AF44:AG44)</f>
        <v>0</v>
      </c>
    </row>
    <row r="53" spans="2:11" x14ac:dyDescent="0.3">
      <c r="B53" s="89">
        <f>Costs!AL45</f>
        <v>44</v>
      </c>
      <c r="C53" s="32">
        <f>Costs!AM45</f>
        <v>2.2882600000000002</v>
      </c>
      <c r="D53" s="32">
        <f>Costs!AN45</f>
        <v>-2.8528888886044447E-5</v>
      </c>
      <c r="E53" s="32">
        <f>Costs!AO45</f>
        <v>2.2882314711111142</v>
      </c>
      <c r="F53" s="32">
        <f>Costs!AR45</f>
        <v>6.4190000000000005</v>
      </c>
      <c r="G53" s="32">
        <f>Costs!AS45</f>
        <v>7.1322222215111122</v>
      </c>
      <c r="H53" s="32">
        <f>Costs!W45+Costs!U45+Costs!Y45</f>
        <v>7.1322222215111122</v>
      </c>
      <c r="I53" s="32">
        <f>Costs!AB45</f>
        <v>0</v>
      </c>
      <c r="J53" s="32">
        <f>+Costs!R45*(1/undergrid!$AQ$15-1)+Costs!Y45*(1-undergrid!$AQ$12)</f>
        <v>0.71322222215111108</v>
      </c>
      <c r="K53" s="33">
        <f>SUM(Costs!AF45:AG45)</f>
        <v>0</v>
      </c>
    </row>
    <row r="54" spans="2:11" x14ac:dyDescent="0.3">
      <c r="B54" s="89">
        <f>Costs!AL46</f>
        <v>45</v>
      </c>
      <c r="C54" s="32">
        <f>Costs!AM46</f>
        <v>8.3755799999999994</v>
      </c>
      <c r="D54" s="32">
        <f>Costs!AN46</f>
        <v>-8.3719999997155546E-5</v>
      </c>
      <c r="E54" s="32">
        <f>Costs!AO46</f>
        <v>8.3754962800000019</v>
      </c>
      <c r="F54" s="32">
        <f>Costs!AR46</f>
        <v>18.837</v>
      </c>
      <c r="G54" s="32">
        <f>Costs!AS46</f>
        <v>20.929999999288889</v>
      </c>
      <c r="H54" s="32">
        <f>Costs!W46+Costs!U46+Costs!Y46</f>
        <v>20.929999999288889</v>
      </c>
      <c r="I54" s="32">
        <f>Costs!AB46</f>
        <v>0</v>
      </c>
      <c r="J54" s="32">
        <f>+Costs!R46*(1/undergrid!$AQ$15-1)+Costs!Y46*(1-undergrid!$AQ$12)</f>
        <v>2.0929999999288884</v>
      </c>
      <c r="K54" s="33">
        <f>SUM(Costs!AF46:AG46)</f>
        <v>0</v>
      </c>
    </row>
    <row r="55" spans="2:11" x14ac:dyDescent="0.3">
      <c r="B55" s="89">
        <f>Costs!AL47</f>
        <v>46</v>
      </c>
      <c r="C55" s="32">
        <f>Costs!AM47</f>
        <v>5.9268999999999998</v>
      </c>
      <c r="D55" s="32">
        <f>Costs!AN47</f>
        <v>-5.6955555552711113E-5</v>
      </c>
      <c r="E55" s="32">
        <f>Costs!AO47</f>
        <v>5.9268430444444471</v>
      </c>
      <c r="F55" s="32">
        <f>Costs!AR47</f>
        <v>12.815000000000001</v>
      </c>
      <c r="G55" s="32">
        <f>Costs!AS47</f>
        <v>14.23888888817778</v>
      </c>
      <c r="H55" s="32">
        <f>Costs!W47+Costs!U47+Costs!Y47</f>
        <v>14.23888888817778</v>
      </c>
      <c r="I55" s="32">
        <f>Costs!AB47</f>
        <v>0</v>
      </c>
      <c r="J55" s="32">
        <f>+Costs!R47*(1/undergrid!$AQ$15-1)+Costs!Y47*(1-undergrid!$AQ$12)</f>
        <v>1.4238888888177776</v>
      </c>
      <c r="K55" s="33">
        <f>SUM(Costs!AF47:AG47)</f>
        <v>0</v>
      </c>
    </row>
    <row r="56" spans="2:11" x14ac:dyDescent="0.3">
      <c r="B56" s="89">
        <f>Costs!AL48</f>
        <v>47</v>
      </c>
      <c r="C56" s="32">
        <f>Costs!AM48</f>
        <v>2.5539800000000001</v>
      </c>
      <c r="D56" s="32">
        <f>Costs!AN48</f>
        <v>-2.7364444441599999E-5</v>
      </c>
      <c r="E56" s="32">
        <f>Costs!AO48</f>
        <v>2.5539526355555586</v>
      </c>
      <c r="F56" s="32">
        <f>Costs!AR48</f>
        <v>6.157</v>
      </c>
      <c r="G56" s="32">
        <f>Costs!AS48</f>
        <v>6.8411111104</v>
      </c>
      <c r="H56" s="32">
        <f>Costs!W48+Costs!U48+Costs!Y48</f>
        <v>6.8411111104</v>
      </c>
      <c r="I56" s="32">
        <f>Costs!AB48</f>
        <v>0</v>
      </c>
      <c r="J56" s="32">
        <f>+Costs!R48*(1/undergrid!$AQ$15-1)+Costs!Y48*(1-undergrid!$AQ$12)</f>
        <v>0.68411111103999989</v>
      </c>
      <c r="K56" s="33">
        <f>SUM(Costs!AF48:AG48)</f>
        <v>0</v>
      </c>
    </row>
    <row r="57" spans="2:11" x14ac:dyDescent="0.3">
      <c r="B57" s="89">
        <f>Costs!AL49</f>
        <v>48</v>
      </c>
      <c r="C57" s="32">
        <f>Costs!AM49</f>
        <v>3.1079999999999997</v>
      </c>
      <c r="D57" s="32">
        <f>Costs!AN49</f>
        <v>-0.78018813655521579</v>
      </c>
      <c r="E57" s="32">
        <f>Costs!AO49</f>
        <v>2.3278118634447837</v>
      </c>
      <c r="F57" s="32">
        <f>Costs!AR49</f>
        <v>7.8016799999999966</v>
      </c>
      <c r="G57" s="32">
        <f>Costs!AS49</f>
        <v>7.801881298352157</v>
      </c>
      <c r="H57" s="32">
        <f>Costs!W49+Costs!U49+Costs!Y49</f>
        <v>0</v>
      </c>
      <c r="I57" s="32">
        <f>Costs!AB49</f>
        <v>7.801881298352157</v>
      </c>
      <c r="J57" s="32">
        <f>+Costs!R49*(1/undergrid!$AQ$15-1)+Costs!Y49*(1-undergrid!$AQ$12)</f>
        <v>2.0129899216087051E-4</v>
      </c>
      <c r="K57" s="33">
        <f>SUM(Costs!AF49:AG49)</f>
        <v>0</v>
      </c>
    </row>
    <row r="58" spans="2:11" x14ac:dyDescent="0.3">
      <c r="B58" s="89">
        <f>Costs!AL50</f>
        <v>49</v>
      </c>
      <c r="C58" s="32">
        <f>Costs!AM50</f>
        <v>2.7891000000000004</v>
      </c>
      <c r="D58" s="32">
        <f>Costs!AN50</f>
        <v>-0.74268813655521582</v>
      </c>
      <c r="E58" s="32">
        <f>Costs!AO50</f>
        <v>2.0464118634447845</v>
      </c>
      <c r="F58" s="32">
        <f>Costs!AR50</f>
        <v>7.4266799999999975</v>
      </c>
      <c r="G58" s="32">
        <f>Costs!AS50</f>
        <v>7.4268812983521579</v>
      </c>
      <c r="H58" s="32">
        <f>Costs!W50+Costs!U50+Costs!Y50</f>
        <v>0</v>
      </c>
      <c r="I58" s="32">
        <f>Costs!AB50</f>
        <v>7.4268812983521579</v>
      </c>
      <c r="J58" s="32">
        <f>+Costs!R50*(1/undergrid!$AQ$15-1)+Costs!Y50*(1-undergrid!$AQ$12)</f>
        <v>2.0129899216087051E-4</v>
      </c>
      <c r="K58" s="33">
        <f>SUM(Costs!AF50:AG50)</f>
        <v>0</v>
      </c>
    </row>
    <row r="59" spans="2:11" x14ac:dyDescent="0.3">
      <c r="B59" s="89">
        <f>Costs!AL51</f>
        <v>50</v>
      </c>
      <c r="C59" s="32">
        <f>Costs!AM51</f>
        <v>1.27278</v>
      </c>
      <c r="D59" s="32">
        <f>Costs!AN51</f>
        <v>-0.39803958340454937</v>
      </c>
      <c r="E59" s="32">
        <f>Costs!AO51</f>
        <v>0.87474041659545065</v>
      </c>
      <c r="F59" s="32">
        <f>Costs!AR51</f>
        <v>3.9714698203121639</v>
      </c>
      <c r="G59" s="32">
        <f>Costs!AS51</f>
        <v>3.9803928552526808</v>
      </c>
      <c r="H59" s="32">
        <f>Costs!W51+Costs!U51+Costs!Y51</f>
        <v>0</v>
      </c>
      <c r="I59" s="32">
        <f>Costs!AB51</f>
        <v>3.9803928552526808</v>
      </c>
      <c r="J59" s="32">
        <f>+Costs!R51*(1/undergrid!$AQ$15-1)+Costs!Y51*(1-undergrid!$AQ$12)</f>
        <v>8.9230355805168214E-3</v>
      </c>
      <c r="K59" s="33">
        <f>SUM(Costs!AF51:AG51)</f>
        <v>0</v>
      </c>
    </row>
    <row r="60" spans="2:11" x14ac:dyDescent="0.3">
      <c r="B60" s="89">
        <f>Costs!AL52</f>
        <v>51</v>
      </c>
      <c r="C60" s="32">
        <f>Costs!AM52</f>
        <v>1.3598600000000001</v>
      </c>
      <c r="D60" s="32">
        <f>Costs!AN52</f>
        <v>-2.5000744440520024</v>
      </c>
      <c r="E60" s="32">
        <f>Costs!AO52</f>
        <v>-1.1402144440520023</v>
      </c>
      <c r="F60" s="32">
        <f>Costs!AR52</f>
        <v>22.770013000571517</v>
      </c>
      <c r="G60" s="32">
        <f>Costs!AS52</f>
        <v>25</v>
      </c>
      <c r="H60" s="32">
        <f>Costs!W52+Costs!U52+Costs!Y52</f>
        <v>0</v>
      </c>
      <c r="I60" s="32">
        <f>Costs!AB52</f>
        <v>25</v>
      </c>
      <c r="J60" s="32">
        <f>+Costs!R52*(1/undergrid!$AQ$15-1)+Costs!Y52*(1-undergrid!$AQ$12)</f>
        <v>2.2299870000684829</v>
      </c>
      <c r="K60" s="33">
        <f>SUM(Costs!AF52:AG52)</f>
        <v>0</v>
      </c>
    </row>
    <row r="61" spans="2:11" x14ac:dyDescent="0.3">
      <c r="B61" s="89">
        <f>Costs!AL53</f>
        <v>52</v>
      </c>
      <c r="C61" s="32">
        <f>Costs!AM53</f>
        <v>1.9678200000000001</v>
      </c>
      <c r="D61" s="32">
        <f>Costs!AN53</f>
        <v>-2.5000677501240025</v>
      </c>
      <c r="E61" s="32">
        <f>Costs!AO53</f>
        <v>-0.53224775012400238</v>
      </c>
      <c r="F61" s="32">
        <f>Costs!AR53</f>
        <v>22.970531000571519</v>
      </c>
      <c r="G61" s="32">
        <f>Costs!AS53</f>
        <v>25</v>
      </c>
      <c r="H61" s="32">
        <f>Costs!W53+Costs!U53+Costs!Y53</f>
        <v>0</v>
      </c>
      <c r="I61" s="32">
        <f>Costs!AB53</f>
        <v>25</v>
      </c>
      <c r="J61" s="32">
        <f>+Costs!R53*(1/undergrid!$AQ$15-1)+Costs!Y53*(1-undergrid!$AQ$12)</f>
        <v>2.0294690000684827</v>
      </c>
      <c r="K61" s="33">
        <f>SUM(Costs!AF53:AG53)</f>
        <v>0</v>
      </c>
    </row>
    <row r="62" spans="2:11" x14ac:dyDescent="0.3">
      <c r="B62" s="89">
        <f>Costs!AL54</f>
        <v>53</v>
      </c>
      <c r="C62" s="32">
        <f>Costs!AM54</f>
        <v>1.7399399999999998</v>
      </c>
      <c r="D62" s="32">
        <f>Costs!AN54</f>
        <v>-2.5000702576680025</v>
      </c>
      <c r="E62" s="32">
        <f>Costs!AO54</f>
        <v>-0.76013025766800268</v>
      </c>
      <c r="F62" s="32">
        <f>Costs!AR54</f>
        <v>22.89541700057152</v>
      </c>
      <c r="G62" s="32">
        <f>Costs!AS54</f>
        <v>25</v>
      </c>
      <c r="H62" s="32">
        <f>Costs!W54+Costs!U54+Costs!Y54</f>
        <v>0</v>
      </c>
      <c r="I62" s="32">
        <f>Costs!AB54</f>
        <v>25</v>
      </c>
      <c r="J62" s="32">
        <f>+Costs!R54*(1/undergrid!$AQ$15-1)+Costs!Y54*(1-undergrid!$AQ$12)</f>
        <v>2.1045830000684833</v>
      </c>
      <c r="K62" s="33">
        <f>SUM(Costs!AF54:AG54)</f>
        <v>0</v>
      </c>
    </row>
    <row r="63" spans="2:11" x14ac:dyDescent="0.3">
      <c r="B63" s="89">
        <f>Costs!AL55</f>
        <v>54</v>
      </c>
      <c r="C63" s="32">
        <f>Costs!AM55</f>
        <v>2.0146800000000002</v>
      </c>
      <c r="D63" s="32">
        <f>Costs!AN55</f>
        <v>-2.5000672893360023</v>
      </c>
      <c r="E63" s="32">
        <f>Costs!AO55</f>
        <v>-0.48538728933600206</v>
      </c>
      <c r="F63" s="32">
        <f>Costs!AR55</f>
        <v>22.984334000571522</v>
      </c>
      <c r="G63" s="32">
        <f>Costs!AS55</f>
        <v>25</v>
      </c>
      <c r="H63" s="32">
        <f>Costs!W55+Costs!U55+Costs!Y55</f>
        <v>0</v>
      </c>
      <c r="I63" s="32">
        <f>Costs!AB55</f>
        <v>25</v>
      </c>
      <c r="J63" s="32">
        <f>+Costs!R55*(1/undergrid!$AQ$15-1)+Costs!Y55*(1-undergrid!$AQ$12)</f>
        <v>2.015666000068483</v>
      </c>
      <c r="K63" s="33">
        <f>SUM(Costs!AF55:AG55)</f>
        <v>0</v>
      </c>
    </row>
    <row r="64" spans="2:11" x14ac:dyDescent="0.3">
      <c r="B64" s="89">
        <f>Costs!AL56</f>
        <v>55</v>
      </c>
      <c r="C64" s="32">
        <f>Costs!AM56</f>
        <v>1.52458</v>
      </c>
      <c r="D64" s="32">
        <f>Costs!AN56</f>
        <v>-2.0742222219377775E-5</v>
      </c>
      <c r="E64" s="32">
        <f>Costs!AO56</f>
        <v>1.5245592577777807</v>
      </c>
      <c r="F64" s="32">
        <f>Costs!AR56</f>
        <v>4.6669999999999998</v>
      </c>
      <c r="G64" s="32">
        <f>Costs!AS56</f>
        <v>5.1855555548444441</v>
      </c>
      <c r="H64" s="32">
        <f>Costs!W56+Costs!U56+Costs!Y56</f>
        <v>5.1855555548444441</v>
      </c>
      <c r="I64" s="32">
        <f>Costs!AB56</f>
        <v>0</v>
      </c>
      <c r="J64" s="32">
        <f>+Costs!R56*(1/undergrid!$AQ$15-1)+Costs!Y56*(1-undergrid!$AQ$12)</f>
        <v>0.51855555548444432</v>
      </c>
      <c r="K64" s="33">
        <f>SUM(Costs!AF56:AG56)</f>
        <v>0</v>
      </c>
    </row>
    <row r="65" spans="2:11" x14ac:dyDescent="0.3">
      <c r="B65" s="89">
        <f>Costs!AL57</f>
        <v>56</v>
      </c>
      <c r="C65" s="32">
        <f>Costs!AM57</f>
        <v>0.92393999999999998</v>
      </c>
      <c r="D65" s="32">
        <f>Costs!AN57</f>
        <v>-1.3559999996977777E-5</v>
      </c>
      <c r="E65" s="32">
        <f>Costs!AO57</f>
        <v>0.92392644000000301</v>
      </c>
      <c r="F65" s="32">
        <f>Costs!AR57</f>
        <v>3.0510000000000002</v>
      </c>
      <c r="G65" s="32">
        <f>Costs!AS57</f>
        <v>3.3899999992444445</v>
      </c>
      <c r="H65" s="32">
        <f>Costs!W57+Costs!U57+Costs!Y57</f>
        <v>3.3899999992444445</v>
      </c>
      <c r="I65" s="32">
        <f>Costs!AB57</f>
        <v>0</v>
      </c>
      <c r="J65" s="32">
        <f>+Costs!R57*(1/undergrid!$AQ$15-1)+Costs!Y57*(1-undergrid!$AQ$12)</f>
        <v>0.33899999992444435</v>
      </c>
      <c r="K65" s="33">
        <f>SUM(Costs!AF57:AG57)</f>
        <v>0</v>
      </c>
    </row>
    <row r="66" spans="2:11" x14ac:dyDescent="0.3">
      <c r="B66" s="89">
        <f>Costs!AL58</f>
        <v>57</v>
      </c>
      <c r="C66" s="32">
        <f>Costs!AM58</f>
        <v>1.68994</v>
      </c>
      <c r="D66" s="32">
        <f>Costs!AN58</f>
        <v>-1.5179999999999999E-5</v>
      </c>
      <c r="E66" s="32">
        <f>Costs!AO58</f>
        <v>1.6899248200000001</v>
      </c>
      <c r="F66" s="32">
        <f>Costs!AR58</f>
        <v>7.59</v>
      </c>
      <c r="G66" s="32">
        <f>Costs!AS58</f>
        <v>7.59</v>
      </c>
      <c r="H66" s="32">
        <f>Costs!W58+Costs!U58+Costs!Y58</f>
        <v>7.59</v>
      </c>
      <c r="I66" s="32">
        <f>Costs!AB58</f>
        <v>0</v>
      </c>
      <c r="J66" s="32">
        <f>+Costs!R58*(1/undergrid!$AQ$15-1)+Costs!Y58*(1-undergrid!$AQ$12)</f>
        <v>0</v>
      </c>
      <c r="K66" s="33">
        <f>SUM(Costs!AF58:AG58)</f>
        <v>0</v>
      </c>
    </row>
    <row r="67" spans="2:11" x14ac:dyDescent="0.3">
      <c r="B67" s="89">
        <f>Costs!AL59</f>
        <v>58</v>
      </c>
      <c r="C67" s="32">
        <f>Costs!AM59</f>
        <v>2.9308000000000001</v>
      </c>
      <c r="D67" s="32">
        <f>Costs!AN59</f>
        <v>-0.42578586523757572</v>
      </c>
      <c r="E67" s="32">
        <f>Costs!AO59</f>
        <v>2.5050141347624244</v>
      </c>
      <c r="F67" s="32">
        <f>Costs!AR59</f>
        <v>11.42</v>
      </c>
      <c r="G67" s="32">
        <f>Costs!AS59</f>
        <v>11.579062812796248</v>
      </c>
      <c r="H67" s="32">
        <f>Costs!W59+Costs!U59+Costs!Y59</f>
        <v>8.7406281279624896</v>
      </c>
      <c r="I67" s="32">
        <f>Costs!AB59</f>
        <v>2.8384346848337589</v>
      </c>
      <c r="J67" s="32">
        <f>+Costs!R59*(1/undergrid!$AQ$15-1)+Costs!Y59*(1-undergrid!$AQ$12)</f>
        <v>0.1590628127962489</v>
      </c>
      <c r="K67" s="33">
        <f>SUM(Costs!AF59:AG59)</f>
        <v>0</v>
      </c>
    </row>
    <row r="68" spans="2:11" x14ac:dyDescent="0.3">
      <c r="B68" s="89">
        <f>Costs!AL60</f>
        <v>59</v>
      </c>
      <c r="C68" s="32">
        <f>Costs!AM60</f>
        <v>4.2724599999999997</v>
      </c>
      <c r="D68" s="32">
        <f>Costs!AN60</f>
        <v>-3.6340000000000008E-5</v>
      </c>
      <c r="E68" s="32">
        <f>Costs!AO60</f>
        <v>4.2724236599999994</v>
      </c>
      <c r="F68" s="32">
        <f>Costs!AR60</f>
        <v>13.649000000000001</v>
      </c>
      <c r="G68" s="32">
        <f>Costs!AS60</f>
        <v>14.06</v>
      </c>
      <c r="H68" s="32">
        <f>Costs!W60+Costs!U60+Costs!Y60</f>
        <v>14.06</v>
      </c>
      <c r="I68" s="32">
        <f>Costs!AB60</f>
        <v>0</v>
      </c>
      <c r="J68" s="32">
        <f>+Costs!R60*(1/undergrid!$AQ$15-1)+Costs!Y60*(1-undergrid!$AQ$12)</f>
        <v>0.41100000000000003</v>
      </c>
      <c r="K68" s="33">
        <f>SUM(Costs!AF60:AG60)</f>
        <v>0</v>
      </c>
    </row>
    <row r="69" spans="2:11" x14ac:dyDescent="0.3">
      <c r="B69" s="89">
        <f>Costs!AL61</f>
        <v>60</v>
      </c>
      <c r="C69" s="32">
        <f>Costs!AM61</f>
        <v>5.7290200000000002</v>
      </c>
      <c r="D69" s="32">
        <f>Costs!AN61</f>
        <v>-5.5317777777777783E-5</v>
      </c>
      <c r="E69" s="32">
        <f>Costs!AO61</f>
        <v>5.7289646822222222</v>
      </c>
      <c r="F69" s="32">
        <f>Costs!AR61</f>
        <v>18.292999999999999</v>
      </c>
      <c r="G69" s="32">
        <f>Costs!AS61</f>
        <v>19.144444444444446</v>
      </c>
      <c r="H69" s="32">
        <f>Costs!W61+Costs!U61+Costs!Y61</f>
        <v>19.144444444444446</v>
      </c>
      <c r="I69" s="32">
        <f>Costs!AB61</f>
        <v>0</v>
      </c>
      <c r="J69" s="32">
        <f>+Costs!R61*(1/undergrid!$AQ$15-1)+Costs!Y61*(1-undergrid!$AQ$12)</f>
        <v>0.85144444444444434</v>
      </c>
      <c r="K69" s="33">
        <f>SUM(Costs!AF61:AG61)</f>
        <v>0</v>
      </c>
    </row>
    <row r="70" spans="2:11" x14ac:dyDescent="0.3">
      <c r="B70" s="89">
        <f>Costs!AL62</f>
        <v>61</v>
      </c>
      <c r="C70" s="32">
        <f>Costs!AM62</f>
        <v>3.2135199999999999</v>
      </c>
      <c r="D70" s="32">
        <f>Costs!AN62</f>
        <v>-3.3436224000000003E-5</v>
      </c>
      <c r="E70" s="32">
        <f>Costs!AO62</f>
        <v>3.2134865637759997</v>
      </c>
      <c r="F70" s="32">
        <f>Costs!AR62</f>
        <v>10.297056000000001</v>
      </c>
      <c r="G70" s="32">
        <f>Costs!AS62</f>
        <v>10.66</v>
      </c>
      <c r="H70" s="32">
        <f>Costs!W62+Costs!U62+Costs!Y62</f>
        <v>10.66</v>
      </c>
      <c r="I70" s="32">
        <f>Costs!AB62</f>
        <v>0</v>
      </c>
      <c r="J70" s="32">
        <f>+Costs!R62*(1/undergrid!$AQ$15-1)+Costs!Y62*(1-undergrid!$AQ$12)</f>
        <v>0.3629440000000006</v>
      </c>
      <c r="K70" s="33">
        <f>SUM(Costs!AF62:AG62)</f>
        <v>0</v>
      </c>
    </row>
    <row r="71" spans="2:11" x14ac:dyDescent="0.3">
      <c r="B71" s="89">
        <f>Costs!AL63</f>
        <v>62</v>
      </c>
      <c r="C71" s="32">
        <f>Costs!AM63</f>
        <v>5.5861200000000002</v>
      </c>
      <c r="D71" s="32">
        <f>Costs!AN63</f>
        <v>-2.4566666666666663E-5</v>
      </c>
      <c r="E71" s="32">
        <f>Costs!AO63</f>
        <v>5.5860954333333339</v>
      </c>
      <c r="F71" s="32">
        <f>Costs!AR63</f>
        <v>12.077999999999999</v>
      </c>
      <c r="G71" s="32">
        <f>Costs!AS63</f>
        <v>12.096666666666666</v>
      </c>
      <c r="H71" s="32">
        <f>Costs!W63+Costs!U63+Costs!Y63</f>
        <v>12.096666666666666</v>
      </c>
      <c r="I71" s="32">
        <f>Costs!AB63</f>
        <v>0</v>
      </c>
      <c r="J71" s="32">
        <f>+Costs!R63*(1/undergrid!$AQ$15-1)+Costs!Y63*(1-undergrid!$AQ$12)</f>
        <v>1.8666666666666561E-2</v>
      </c>
      <c r="K71" s="33">
        <f>SUM(Costs!AF63:AG63)</f>
        <v>0</v>
      </c>
    </row>
    <row r="72" spans="2:11" x14ac:dyDescent="0.3">
      <c r="B72" s="89">
        <f>Costs!AL64</f>
        <v>63</v>
      </c>
      <c r="C72" s="32">
        <f>Costs!AM64</f>
        <v>6.1962399999999995</v>
      </c>
      <c r="D72" s="32">
        <f>Costs!AN64</f>
        <v>-0.83792313999999979</v>
      </c>
      <c r="E72" s="32">
        <f>Costs!AO64</f>
        <v>5.3583168599999995</v>
      </c>
      <c r="F72" s="32">
        <f>Costs!AR64</f>
        <v>17.155999999999999</v>
      </c>
      <c r="G72" s="32">
        <f>Costs!AS64</f>
        <v>17.155999999999999</v>
      </c>
      <c r="H72" s="32">
        <f>Costs!W64+Costs!U64+Costs!Y64</f>
        <v>11.57</v>
      </c>
      <c r="I72" s="32">
        <f>Costs!AB64</f>
        <v>5.5859999999999985</v>
      </c>
      <c r="J72" s="32">
        <f>+Costs!R64*(1/undergrid!$AQ$15-1)+Costs!Y64*(1-undergrid!$AQ$12)</f>
        <v>0</v>
      </c>
      <c r="K72" s="33">
        <f>SUM(Costs!AF64:AG64)</f>
        <v>0</v>
      </c>
    </row>
    <row r="73" spans="2:11" x14ac:dyDescent="0.3">
      <c r="B73" s="89">
        <f>Costs!AL65</f>
        <v>64</v>
      </c>
      <c r="C73" s="32">
        <f>Costs!AM65</f>
        <v>4.8700799999999997</v>
      </c>
      <c r="D73" s="32">
        <f>Costs!AN65</f>
        <v>-1.5453104999999998</v>
      </c>
      <c r="E73" s="32">
        <f>Costs!AO65</f>
        <v>3.3247694999999999</v>
      </c>
      <c r="F73" s="32">
        <f>Costs!AR65</f>
        <v>15.552</v>
      </c>
      <c r="G73" s="32">
        <f>Costs!AS65</f>
        <v>15.552</v>
      </c>
      <c r="H73" s="32">
        <f>Costs!W65+Costs!U65+Costs!Y65</f>
        <v>5.25</v>
      </c>
      <c r="I73" s="32">
        <f>Costs!AB65</f>
        <v>10.302</v>
      </c>
      <c r="J73" s="32">
        <f>+Costs!R65*(1/undergrid!$AQ$15-1)+Costs!Y65*(1-undergrid!$AQ$12)</f>
        <v>0</v>
      </c>
      <c r="K73" s="33">
        <f>SUM(Costs!AF65:AG65)</f>
        <v>0</v>
      </c>
    </row>
    <row r="74" spans="2:11" x14ac:dyDescent="0.3">
      <c r="B74" s="89">
        <f>Costs!AL66</f>
        <v>65</v>
      </c>
      <c r="C74" s="32">
        <f>Costs!AM66</f>
        <v>4.6612200000000001</v>
      </c>
      <c r="D74" s="32">
        <f>Costs!AN66</f>
        <v>-1.4599602999999999</v>
      </c>
      <c r="E74" s="32">
        <f>Costs!AO66</f>
        <v>3.2012597000000005</v>
      </c>
      <c r="F74" s="32">
        <f>Costs!AR66</f>
        <v>14.882999999999999</v>
      </c>
      <c r="G74" s="32">
        <f>Costs!AS66</f>
        <v>14.882999999999999</v>
      </c>
      <c r="H74" s="32">
        <f>Costs!W66+Costs!U66+Costs!Y66</f>
        <v>5.15</v>
      </c>
      <c r="I74" s="32">
        <f>Costs!AB66</f>
        <v>9.7329999999999988</v>
      </c>
      <c r="J74" s="32">
        <f>+Costs!R66*(1/undergrid!$AQ$15-1)+Costs!Y66*(1-undergrid!$AQ$12)</f>
        <v>0</v>
      </c>
      <c r="K74" s="33">
        <f>SUM(Costs!AF66:AG66)</f>
        <v>0</v>
      </c>
    </row>
    <row r="75" spans="2:11" x14ac:dyDescent="0.3">
      <c r="B75" s="89">
        <f>Costs!AL67</f>
        <v>66</v>
      </c>
      <c r="C75" s="32">
        <f>Costs!AM67</f>
        <v>7.1482400000000004</v>
      </c>
      <c r="D75" s="32">
        <f>Costs!AN67</f>
        <v>-2.46241076</v>
      </c>
      <c r="E75" s="32">
        <f>Costs!AO67</f>
        <v>4.6858292400000003</v>
      </c>
      <c r="F75" s="32">
        <f>Costs!AR67</f>
        <v>21.795999999999999</v>
      </c>
      <c r="G75" s="32">
        <f>Costs!AS67</f>
        <v>21.795999999999999</v>
      </c>
      <c r="H75" s="32">
        <f>Costs!W67+Costs!U67+Costs!Y67</f>
        <v>5.38</v>
      </c>
      <c r="I75" s="32">
        <f>Costs!AB67</f>
        <v>16.416</v>
      </c>
      <c r="J75" s="32">
        <f>+Costs!R67*(1/undergrid!$AQ$15-1)+Costs!Y67*(1-undergrid!$AQ$12)</f>
        <v>0</v>
      </c>
      <c r="K75" s="33">
        <f>SUM(Costs!AF67:AG67)</f>
        <v>0</v>
      </c>
    </row>
    <row r="76" spans="2:11" x14ac:dyDescent="0.3">
      <c r="B76" s="89">
        <f>Costs!AL68</f>
        <v>67</v>
      </c>
      <c r="C76" s="32">
        <f>Costs!AM68</f>
        <v>6.3964600000000003</v>
      </c>
      <c r="D76" s="32">
        <f>Costs!AN68</f>
        <v>-7.1862222219377784E-5</v>
      </c>
      <c r="E76" s="32">
        <f>Costs!AO68</f>
        <v>6.3963881377777811</v>
      </c>
      <c r="F76" s="32">
        <f>Costs!AR68</f>
        <v>16.169</v>
      </c>
      <c r="G76" s="32">
        <f>Costs!AS68</f>
        <v>17.965555554844446</v>
      </c>
      <c r="H76" s="32">
        <f>Costs!W68+Costs!U68+Costs!Y68</f>
        <v>17.965555554844446</v>
      </c>
      <c r="I76" s="32">
        <f>Costs!AB68</f>
        <v>0</v>
      </c>
      <c r="J76" s="32">
        <f>+Costs!R68*(1/undergrid!$AQ$15-1)+Costs!Y68*(1-undergrid!$AQ$12)</f>
        <v>1.7965555554844441</v>
      </c>
      <c r="K76" s="33">
        <f>SUM(Costs!AF68:AG68)</f>
        <v>0</v>
      </c>
    </row>
    <row r="77" spans="2:11" x14ac:dyDescent="0.3">
      <c r="B77" s="89">
        <f>Costs!AL69</f>
        <v>68</v>
      </c>
      <c r="C77" s="32">
        <f>Costs!AM69</f>
        <v>2.1568399999999999</v>
      </c>
      <c r="D77" s="32">
        <f>Costs!AN69</f>
        <v>-2.6871111108266665E-5</v>
      </c>
      <c r="E77" s="32">
        <f>Costs!AO69</f>
        <v>2.1568131288888917</v>
      </c>
      <c r="F77" s="32">
        <f>Costs!AR69</f>
        <v>6.0460000000000003</v>
      </c>
      <c r="G77" s="32">
        <f>Costs!AS69</f>
        <v>6.7177777770666669</v>
      </c>
      <c r="H77" s="32">
        <f>Costs!W69+Costs!U69+Costs!Y69</f>
        <v>6.7177777770666669</v>
      </c>
      <c r="I77" s="32">
        <f>Costs!AB69</f>
        <v>0</v>
      </c>
      <c r="J77" s="32">
        <f>+Costs!R69*(1/undergrid!$AQ$15-1)+Costs!Y69*(1-undergrid!$AQ$12)</f>
        <v>0.67177777770666658</v>
      </c>
      <c r="K77" s="33">
        <f>SUM(Costs!AF69:AG69)</f>
        <v>0</v>
      </c>
    </row>
    <row r="78" spans="2:11" x14ac:dyDescent="0.3">
      <c r="B78" s="89">
        <f>Costs!AL70</f>
        <v>69</v>
      </c>
      <c r="C78" s="32">
        <f>Costs!AM70</f>
        <v>10.120560000000001</v>
      </c>
      <c r="D78" s="32">
        <f>Costs!AN70</f>
        <v>-1.0117333333048889E-4</v>
      </c>
      <c r="E78" s="32">
        <f>Costs!AO70</f>
        <v>10.12045882666667</v>
      </c>
      <c r="F78" s="32">
        <f>Costs!AR70</f>
        <v>22.764000000000003</v>
      </c>
      <c r="G78" s="32">
        <f>Costs!AS70</f>
        <v>25.293333332622225</v>
      </c>
      <c r="H78" s="32">
        <f>Costs!W70+Costs!U70+Costs!Y70</f>
        <v>25.293333332622225</v>
      </c>
      <c r="I78" s="32">
        <f>Costs!AB70</f>
        <v>0</v>
      </c>
      <c r="J78" s="32">
        <f>+Costs!R70*(1/undergrid!$AQ$15-1)+Costs!Y70*(1-undergrid!$AQ$12)</f>
        <v>2.5293333332622221</v>
      </c>
      <c r="K78" s="33">
        <f>SUM(Costs!AF70:AG70)</f>
        <v>0</v>
      </c>
    </row>
    <row r="79" spans="2:11" x14ac:dyDescent="0.3">
      <c r="B79" s="89">
        <f>Costs!AL71</f>
        <v>70</v>
      </c>
      <c r="C79" s="32">
        <f>Costs!AM71</f>
        <v>10.624739999999999</v>
      </c>
      <c r="D79" s="32">
        <f>Costs!AN71</f>
        <v>-3.4456499999039996</v>
      </c>
      <c r="E79" s="32">
        <f>Costs!AO71</f>
        <v>7.1790900000960001</v>
      </c>
      <c r="F79" s="32">
        <f>Costs!AR71</f>
        <v>22.970999999999997</v>
      </c>
      <c r="G79" s="32">
        <f>Costs!AS71</f>
        <v>22.970999999359996</v>
      </c>
      <c r="H79" s="32">
        <f>Costs!W71+Costs!U71+Costs!Y71</f>
        <v>0</v>
      </c>
      <c r="I79" s="32">
        <f>Costs!AB71</f>
        <v>22.970999999359996</v>
      </c>
      <c r="J79" s="32">
        <f>+Costs!R71*(1/undergrid!$AQ$15-1)+Costs!Y71*(1-undergrid!$AQ$12)</f>
        <v>0</v>
      </c>
      <c r="K79" s="33">
        <f>SUM(Costs!AF71:AG71)</f>
        <v>0</v>
      </c>
    </row>
    <row r="80" spans="2:11" x14ac:dyDescent="0.3">
      <c r="B80" s="89">
        <f>Costs!AL72</f>
        <v>71</v>
      </c>
      <c r="C80" s="32">
        <f>Costs!AM72</f>
        <v>5.3358800000000004</v>
      </c>
      <c r="D80" s="32">
        <f>Costs!AN72</f>
        <v>-1.2863881365552159</v>
      </c>
      <c r="E80" s="32">
        <f>Costs!AO72</f>
        <v>4.0494918634447847</v>
      </c>
      <c r="F80" s="32">
        <f>Costs!AR72</f>
        <v>12.863679999999997</v>
      </c>
      <c r="G80" s="32">
        <f>Costs!AS72</f>
        <v>12.863881298352158</v>
      </c>
      <c r="H80" s="32">
        <f>Costs!W72+Costs!U72+Costs!Y72</f>
        <v>0</v>
      </c>
      <c r="I80" s="32">
        <f>Costs!AB72</f>
        <v>12.863881298352158</v>
      </c>
      <c r="J80" s="32">
        <f>+Costs!R72*(1/undergrid!$AQ$15-1)+Costs!Y72*(1-undergrid!$AQ$12)</f>
        <v>2.0129899216087051E-4</v>
      </c>
      <c r="K80" s="33">
        <f>SUM(Costs!AF72:AG72)</f>
        <v>0</v>
      </c>
    </row>
    <row r="81" spans="2:11" x14ac:dyDescent="0.3">
      <c r="B81" s="89">
        <f>Costs!AL73</f>
        <v>72</v>
      </c>
      <c r="C81" s="32">
        <f>Costs!AM73</f>
        <v>3.6954000000000002</v>
      </c>
      <c r="D81" s="32">
        <f>Costs!AN73</f>
        <v>-0.92718813655521581</v>
      </c>
      <c r="E81" s="32">
        <f>Costs!AO73</f>
        <v>2.7682118634447845</v>
      </c>
      <c r="F81" s="32">
        <f>Costs!AR73</f>
        <v>9.2716799999999964</v>
      </c>
      <c r="G81" s="32">
        <f>Costs!AS73</f>
        <v>9.2718812983521577</v>
      </c>
      <c r="H81" s="32">
        <f>Costs!W73+Costs!U73+Costs!Y73</f>
        <v>0</v>
      </c>
      <c r="I81" s="32">
        <f>Costs!AB73</f>
        <v>9.2718812983521577</v>
      </c>
      <c r="J81" s="32">
        <f>+Costs!R73*(1/undergrid!$AQ$15-1)+Costs!Y73*(1-undergrid!$AQ$12)</f>
        <v>2.0129899216087051E-4</v>
      </c>
      <c r="K81" s="33">
        <f>SUM(Costs!AF73:AG73)</f>
        <v>0</v>
      </c>
    </row>
    <row r="82" spans="2:11" x14ac:dyDescent="0.3">
      <c r="B82" s="89">
        <f>Costs!AL74</f>
        <v>73</v>
      </c>
      <c r="C82" s="32">
        <f>Costs!AM74</f>
        <v>2.1686000000000001</v>
      </c>
      <c r="D82" s="32">
        <f>Costs!AN74</f>
        <v>-0.57718813655521573</v>
      </c>
      <c r="E82" s="32">
        <f>Costs!AO74</f>
        <v>1.5914118634447845</v>
      </c>
      <c r="F82" s="32">
        <f>Costs!AR74</f>
        <v>5.7716799999999964</v>
      </c>
      <c r="G82" s="32">
        <f>Costs!AS74</f>
        <v>5.7718812983521568</v>
      </c>
      <c r="H82" s="32">
        <f>Costs!W74+Costs!U74+Costs!Y74</f>
        <v>0</v>
      </c>
      <c r="I82" s="32">
        <f>Costs!AB74</f>
        <v>5.7718812983521568</v>
      </c>
      <c r="J82" s="32">
        <f>+Costs!R74*(1/undergrid!$AQ$15-1)+Costs!Y74*(1-undergrid!$AQ$12)</f>
        <v>2.0129899216087051E-4</v>
      </c>
      <c r="K82" s="33">
        <f>SUM(Costs!AF74:AG74)</f>
        <v>0</v>
      </c>
    </row>
    <row r="83" spans="2:11" x14ac:dyDescent="0.3">
      <c r="B83" s="89">
        <f>Costs!AL75</f>
        <v>74</v>
      </c>
      <c r="C83" s="32">
        <f>Costs!AM75</f>
        <v>1.9029800000000001</v>
      </c>
      <c r="D83" s="32">
        <f>Costs!AN75</f>
        <v>-0.58288813655521576</v>
      </c>
      <c r="E83" s="32">
        <f>Costs!AO75</f>
        <v>1.3200918634447842</v>
      </c>
      <c r="F83" s="32">
        <f>Costs!AR75</f>
        <v>5.8286799999999968</v>
      </c>
      <c r="G83" s="32">
        <f>Costs!AS75</f>
        <v>5.8288812983521572</v>
      </c>
      <c r="H83" s="32">
        <f>Costs!W75+Costs!U75+Costs!Y75</f>
        <v>0</v>
      </c>
      <c r="I83" s="32">
        <f>Costs!AB75</f>
        <v>5.8288812983521572</v>
      </c>
      <c r="J83" s="32">
        <f>+Costs!R75*(1/undergrid!$AQ$15-1)+Costs!Y75*(1-undergrid!$AQ$12)</f>
        <v>2.0129899216087051E-4</v>
      </c>
      <c r="K83" s="33">
        <f>SUM(Costs!AF75:AG75)</f>
        <v>0</v>
      </c>
    </row>
    <row r="84" spans="2:11" x14ac:dyDescent="0.3">
      <c r="B84" s="89">
        <f>Costs!AL76</f>
        <v>75</v>
      </c>
      <c r="C84" s="32">
        <f>Costs!AM76</f>
        <v>1.8018399999999999</v>
      </c>
      <c r="D84" s="32">
        <f>Costs!AN76</f>
        <v>-2.080854022248007</v>
      </c>
      <c r="E84" s="32">
        <f>Costs!AO76</f>
        <v>-0.27901402224800709</v>
      </c>
      <c r="F84" s="32">
        <f>Costs!AR76</f>
        <v>19.171750635833511</v>
      </c>
      <c r="G84" s="32">
        <f>Costs!AS76</f>
        <v>20.807993992454637</v>
      </c>
      <c r="H84" s="32">
        <f>Costs!W76+Costs!U76+Costs!Y76</f>
        <v>0</v>
      </c>
      <c r="I84" s="32">
        <f>Costs!AB76</f>
        <v>20.807993992454637</v>
      </c>
      <c r="J84" s="32">
        <f>+Costs!R76*(1/undergrid!$AQ$15-1)+Costs!Y76*(1-undergrid!$AQ$12)</f>
        <v>1.6362433572611284</v>
      </c>
      <c r="K84" s="33">
        <f>SUM(Costs!AF76:AG76)</f>
        <v>0</v>
      </c>
    </row>
    <row r="85" spans="2:11" x14ac:dyDescent="0.3">
      <c r="B85" s="89">
        <f>Costs!AL77</f>
        <v>76</v>
      </c>
      <c r="C85" s="32">
        <f>Costs!AM77</f>
        <v>1.2850200000000001</v>
      </c>
      <c r="D85" s="32">
        <f>Costs!AN77</f>
        <v>-2.5000752513240023</v>
      </c>
      <c r="E85" s="32">
        <f>Costs!AO77</f>
        <v>-1.2150552513240023</v>
      </c>
      <c r="F85" s="32">
        <f>Costs!AR77</f>
        <v>22.745831000571521</v>
      </c>
      <c r="G85" s="32">
        <f>Costs!AS77</f>
        <v>25</v>
      </c>
      <c r="H85" s="32">
        <f>Costs!W77+Costs!U77+Costs!Y77</f>
        <v>0</v>
      </c>
      <c r="I85" s="32">
        <f>Costs!AB77</f>
        <v>25</v>
      </c>
      <c r="J85" s="32">
        <f>+Costs!R77*(1/undergrid!$AQ$15-1)+Costs!Y77*(1-undergrid!$AQ$12)</f>
        <v>2.2541690000684835</v>
      </c>
      <c r="K85" s="33">
        <f>SUM(Costs!AF77:AG77)</f>
        <v>0</v>
      </c>
    </row>
    <row r="86" spans="2:11" x14ac:dyDescent="0.3">
      <c r="B86" s="89">
        <f>Costs!AL78</f>
        <v>77</v>
      </c>
      <c r="C86" s="32">
        <f>Costs!AM78</f>
        <v>1.1481400000000002</v>
      </c>
      <c r="D86" s="32">
        <f>Costs!AN78</f>
        <v>-2.5000767229880023</v>
      </c>
      <c r="E86" s="32">
        <f>Costs!AO78</f>
        <v>-1.3519367229880022</v>
      </c>
      <c r="F86" s="32">
        <f>Costs!AR78</f>
        <v>22.701747000571523</v>
      </c>
      <c r="G86" s="32">
        <f>Costs!AS78</f>
        <v>25</v>
      </c>
      <c r="H86" s="32">
        <f>Costs!W78+Costs!U78+Costs!Y78</f>
        <v>0</v>
      </c>
      <c r="I86" s="32">
        <f>Costs!AB78</f>
        <v>25</v>
      </c>
      <c r="J86" s="32">
        <f>+Costs!R78*(1/undergrid!$AQ$15-1)+Costs!Y78*(1-undergrid!$AQ$12)</f>
        <v>2.2982530000684838</v>
      </c>
      <c r="K86" s="33">
        <f>SUM(Costs!AF78:AG78)</f>
        <v>0</v>
      </c>
    </row>
    <row r="87" spans="2:11" x14ac:dyDescent="0.3">
      <c r="B87" s="89">
        <f>Costs!AL79</f>
        <v>78</v>
      </c>
      <c r="C87" s="32">
        <f>Costs!AM79</f>
        <v>1.4498799999999998</v>
      </c>
      <c r="D87" s="32">
        <f>Costs!AN79</f>
        <v>-2.5000734331760022</v>
      </c>
      <c r="E87" s="32">
        <f>Costs!AO79</f>
        <v>-1.0501934331760023</v>
      </c>
      <c r="F87" s="32">
        <f>Costs!AR79</f>
        <v>22.800294000571519</v>
      </c>
      <c r="G87" s="32">
        <f>Costs!AS79</f>
        <v>25</v>
      </c>
      <c r="H87" s="32">
        <f>Costs!W79+Costs!U79+Costs!Y79</f>
        <v>0</v>
      </c>
      <c r="I87" s="32">
        <f>Costs!AB79</f>
        <v>25</v>
      </c>
      <c r="J87" s="32">
        <f>+Costs!R79*(1/undergrid!$AQ$15-1)+Costs!Y79*(1-undergrid!$AQ$12)</f>
        <v>2.1997060000684829</v>
      </c>
      <c r="K87" s="33">
        <f>SUM(Costs!AF79:AG79)</f>
        <v>0</v>
      </c>
    </row>
    <row r="88" spans="2:11" x14ac:dyDescent="0.3">
      <c r="B88" s="89">
        <f>Costs!AL80</f>
        <v>79</v>
      </c>
      <c r="C88" s="32">
        <f>Costs!AM80</f>
        <v>4.5113700000832004</v>
      </c>
      <c r="D88" s="32">
        <f>Costs!AN80</f>
        <v>-1.1999999999999999E-4</v>
      </c>
      <c r="E88" s="32">
        <f>Costs!AO80</f>
        <v>4.5112500000832005</v>
      </c>
      <c r="F88" s="32">
        <f>Costs!AR80</f>
        <v>27.00000000064</v>
      </c>
      <c r="G88" s="32">
        <f>Costs!AS80</f>
        <v>30</v>
      </c>
      <c r="H88" s="32">
        <f>Costs!W80+Costs!U80+Costs!Y80</f>
        <v>30</v>
      </c>
      <c r="I88" s="32">
        <f>Costs!AB80</f>
        <v>0</v>
      </c>
      <c r="J88" s="32">
        <f>+Costs!R80*(1/undergrid!$AQ$15-1)+Costs!Y80*(1-undergrid!$AQ$12)</f>
        <v>2.9999999999999991</v>
      </c>
      <c r="K88" s="33">
        <f>SUM(Costs!AF80:AG80)</f>
        <v>0</v>
      </c>
    </row>
    <row r="89" spans="2:11" x14ac:dyDescent="0.3">
      <c r="B89" s="89">
        <f>Costs!AL81</f>
        <v>80</v>
      </c>
      <c r="C89" s="32">
        <f>Costs!AM81</f>
        <v>2.2333187460826709</v>
      </c>
      <c r="D89" s="32">
        <f>Costs!AN81</f>
        <v>-4.5603375934450274E-5</v>
      </c>
      <c r="E89" s="32">
        <f>Costs!AO81</f>
        <v>2.2332731427067363</v>
      </c>
      <c r="F89" s="32">
        <f>Costs!AR81</f>
        <v>13.417759585251313</v>
      </c>
      <c r="G89" s="32">
        <f>Costs!AS81</f>
        <v>14.27084398361257</v>
      </c>
      <c r="H89" s="32">
        <f>Costs!W81+Costs!U81+Costs!Y81</f>
        <v>14.27084398361257</v>
      </c>
      <c r="I89" s="32">
        <f>Costs!AB81</f>
        <v>0</v>
      </c>
      <c r="J89" s="32">
        <f>+Costs!R81*(1/undergrid!$AQ$15-1)+Costs!Y81*(1-undergrid!$AQ$12)</f>
        <v>0.85308439836125682</v>
      </c>
      <c r="K89" s="33">
        <f>SUM(Costs!AF81:AG81)</f>
        <v>0</v>
      </c>
    </row>
    <row r="90" spans="2:11" x14ac:dyDescent="0.3">
      <c r="B90" s="89">
        <f>Costs!AL82</f>
        <v>81</v>
      </c>
      <c r="C90" s="32">
        <f>Costs!AM82</f>
        <v>1.7583199999999999</v>
      </c>
      <c r="D90" s="32">
        <f>Costs!AN82</f>
        <v>-1.8819999999999999E-5</v>
      </c>
      <c r="E90" s="32">
        <f>Costs!AO82</f>
        <v>1.7583011799999999</v>
      </c>
      <c r="F90" s="32">
        <f>Costs!AR82</f>
        <v>9.41</v>
      </c>
      <c r="G90" s="32">
        <f>Costs!AS82</f>
        <v>9.41</v>
      </c>
      <c r="H90" s="32">
        <f>Costs!W82+Costs!U82+Costs!Y82</f>
        <v>9.41</v>
      </c>
      <c r="I90" s="32">
        <f>Costs!AB82</f>
        <v>0</v>
      </c>
      <c r="J90" s="32">
        <f>+Costs!R82*(1/undergrid!$AQ$15-1)+Costs!Y82*(1-undergrid!$AQ$12)</f>
        <v>0</v>
      </c>
      <c r="K90" s="33">
        <f>SUM(Costs!AF82:AG82)</f>
        <v>0</v>
      </c>
    </row>
    <row r="91" spans="2:11" x14ac:dyDescent="0.3">
      <c r="B91" s="89">
        <f>Costs!AL83</f>
        <v>82</v>
      </c>
      <c r="C91" s="32">
        <f>Costs!AM83</f>
        <v>1.9303599999999999</v>
      </c>
      <c r="D91" s="32">
        <f>Costs!AN83</f>
        <v>-1.525777777777777E-5</v>
      </c>
      <c r="E91" s="32">
        <f>Costs!AO83</f>
        <v>1.930344742222222</v>
      </c>
      <c r="F91" s="32">
        <f>Costs!AR83</f>
        <v>7.5139999999999993</v>
      </c>
      <c r="G91" s="32">
        <f>Costs!AS83</f>
        <v>7.5244444444444429</v>
      </c>
      <c r="H91" s="32">
        <f>Costs!W83+Costs!U83+Costs!Y83</f>
        <v>7.5244444444444429</v>
      </c>
      <c r="I91" s="32">
        <f>Costs!AB83</f>
        <v>0</v>
      </c>
      <c r="J91" s="32">
        <f>+Costs!R83*(1/undergrid!$AQ$15-1)+Costs!Y83*(1-undergrid!$AQ$12)</f>
        <v>1.0444444444444298E-2</v>
      </c>
      <c r="K91" s="33">
        <f>SUM(Costs!AF83:AG83)</f>
        <v>0</v>
      </c>
    </row>
    <row r="92" spans="2:11" x14ac:dyDescent="0.3">
      <c r="B92" s="89">
        <f>Costs!AL84</f>
        <v>83</v>
      </c>
      <c r="C92" s="32">
        <f>Costs!AM84</f>
        <v>5.8726199999999995</v>
      </c>
      <c r="D92" s="32">
        <f>Costs!AN84</f>
        <v>-5.9275804000000004E-5</v>
      </c>
      <c r="E92" s="32">
        <f>Costs!AO84</f>
        <v>5.8725607241959992</v>
      </c>
      <c r="F92" s="32">
        <f>Costs!AR84</f>
        <v>22.241951</v>
      </c>
      <c r="G92" s="32">
        <f>Costs!AS84</f>
        <v>22.66</v>
      </c>
      <c r="H92" s="32">
        <f>Costs!W84+Costs!U84+Costs!Y84</f>
        <v>22.66</v>
      </c>
      <c r="I92" s="32">
        <f>Costs!AB84</f>
        <v>0</v>
      </c>
      <c r="J92" s="32">
        <f>+Costs!R84*(1/undergrid!$AQ$15-1)+Costs!Y84*(1-undergrid!$AQ$12)</f>
        <v>0.41804900000000061</v>
      </c>
      <c r="K92" s="33">
        <f>SUM(Costs!AF84:AG84)</f>
        <v>0</v>
      </c>
    </row>
    <row r="93" spans="2:11" x14ac:dyDescent="0.3">
      <c r="B93" s="89">
        <f>Costs!AL85</f>
        <v>84</v>
      </c>
      <c r="C93" s="32">
        <f>Costs!AM85</f>
        <v>4.4017200000000001</v>
      </c>
      <c r="D93" s="32">
        <f>Costs!AN85</f>
        <v>-1.22744824E-4</v>
      </c>
      <c r="E93" s="32">
        <f>Costs!AO85</f>
        <v>4.4015972551760001</v>
      </c>
      <c r="F93" s="32">
        <f>Costs!AR85</f>
        <v>28.294205999999996</v>
      </c>
      <c r="G93" s="32">
        <f>Costs!AS85</f>
        <v>30</v>
      </c>
      <c r="H93" s="32">
        <f>Costs!W85+Costs!U85+Costs!Y85</f>
        <v>30</v>
      </c>
      <c r="I93" s="32">
        <f>Costs!AB85</f>
        <v>0</v>
      </c>
      <c r="J93" s="32">
        <f>+Costs!R85*(1/undergrid!$AQ$15-1)+Costs!Y85*(1-undergrid!$AQ$12)</f>
        <v>1.7057940000000023</v>
      </c>
      <c r="K93" s="33">
        <f>SUM(Costs!AF85:AG85)</f>
        <v>0</v>
      </c>
    </row>
    <row r="94" spans="2:11" x14ac:dyDescent="0.3">
      <c r="B94" s="89">
        <f>Costs!AL86</f>
        <v>85</v>
      </c>
      <c r="C94" s="32">
        <f>Costs!AM86</f>
        <v>2.8974199999999999</v>
      </c>
      <c r="D94" s="32">
        <f>Costs!AN86</f>
        <v>-1.4637268399999998E-4</v>
      </c>
      <c r="E94" s="32">
        <f>Costs!AO86</f>
        <v>2.8972736273159998</v>
      </c>
      <c r="F94" s="32">
        <f>Costs!AR86</f>
        <v>27.491170999999998</v>
      </c>
      <c r="G94" s="32">
        <f>Costs!AS86</f>
        <v>30</v>
      </c>
      <c r="H94" s="32">
        <f>Costs!W86+Costs!U86+Costs!Y86</f>
        <v>30</v>
      </c>
      <c r="I94" s="32">
        <f>Costs!AB86</f>
        <v>0</v>
      </c>
      <c r="J94" s="32">
        <f>+Costs!R86*(1/undergrid!$AQ$15-1)+Costs!Y86*(1-undergrid!$AQ$12)</f>
        <v>2.5088290000000035</v>
      </c>
      <c r="K94" s="33">
        <f>SUM(Costs!AF86:AG86)</f>
        <v>0</v>
      </c>
    </row>
    <row r="95" spans="2:11" x14ac:dyDescent="0.3">
      <c r="B95" s="89">
        <f>Costs!AL87</f>
        <v>86</v>
      </c>
      <c r="C95" s="32">
        <f>Costs!AM87</f>
        <v>6.6258500000000007</v>
      </c>
      <c r="D95" s="32">
        <f>Costs!AN87</f>
        <v>-4.1179999999999995E-5</v>
      </c>
      <c r="E95" s="32">
        <f>Costs!AO87</f>
        <v>6.6258088200000005</v>
      </c>
      <c r="F95" s="32">
        <f>Costs!AR87</f>
        <v>20.59</v>
      </c>
      <c r="G95" s="32">
        <f>Costs!AS87</f>
        <v>20.59</v>
      </c>
      <c r="H95" s="32">
        <f>Costs!W87+Costs!U87+Costs!Y87</f>
        <v>20.59</v>
      </c>
      <c r="I95" s="32">
        <f>Costs!AB87</f>
        <v>0</v>
      </c>
      <c r="J95" s="32">
        <f>+Costs!R87*(1/undergrid!$AQ$15-1)+Costs!Y87*(1-undergrid!$AQ$12)</f>
        <v>0</v>
      </c>
      <c r="K95" s="33">
        <f>SUM(Costs!AF87:AG87)</f>
        <v>0</v>
      </c>
    </row>
    <row r="96" spans="2:11" x14ac:dyDescent="0.3">
      <c r="B96" s="89">
        <f>Costs!AL88</f>
        <v>87</v>
      </c>
      <c r="C96" s="32">
        <f>Costs!AM88</f>
        <v>7.03</v>
      </c>
      <c r="D96" s="32">
        <f>Costs!AN88</f>
        <v>-0.64474934983269316</v>
      </c>
      <c r="E96" s="32">
        <f>Costs!AO88</f>
        <v>6.3852506501673068</v>
      </c>
      <c r="F96" s="32">
        <f>Costs!AR88</f>
        <v>19.46</v>
      </c>
      <c r="G96" s="32">
        <f>Costs!AS88</f>
        <v>20.169108573711302</v>
      </c>
      <c r="H96" s="32">
        <f>Costs!W88+Costs!U88+Costs!Y88</f>
        <v>15.871085737113004</v>
      </c>
      <c r="I96" s="32">
        <f>Costs!AB88</f>
        <v>4.2980228365982978</v>
      </c>
      <c r="J96" s="32">
        <f>+Costs!R88*(1/undergrid!$AQ$15-1)+Costs!Y88*(1-undergrid!$AQ$12)</f>
        <v>0.70910857371130032</v>
      </c>
      <c r="K96" s="33">
        <f>SUM(Costs!AF88:AG88)</f>
        <v>0</v>
      </c>
    </row>
    <row r="97" spans="2:12" x14ac:dyDescent="0.3">
      <c r="B97" s="89">
        <f>Costs!AL89</f>
        <v>88</v>
      </c>
      <c r="C97" s="32">
        <f>Costs!AM89</f>
        <v>3.7180599999999999</v>
      </c>
      <c r="D97" s="32">
        <f>Costs!AN89</f>
        <v>-2.4159999999999999E-5</v>
      </c>
      <c r="E97" s="32">
        <f>Costs!AO89</f>
        <v>3.7180358399999998</v>
      </c>
      <c r="F97" s="32">
        <f>Costs!AR89</f>
        <v>12.08</v>
      </c>
      <c r="G97" s="32">
        <f>Costs!AS89</f>
        <v>12.08</v>
      </c>
      <c r="H97" s="32">
        <f>Costs!W89+Costs!U89+Costs!Y89</f>
        <v>12.08</v>
      </c>
      <c r="I97" s="32">
        <f>Costs!AB89</f>
        <v>0</v>
      </c>
      <c r="J97" s="32">
        <f>+Costs!R89*(1/undergrid!$AQ$15-1)+Costs!Y89*(1-undergrid!$AQ$12)</f>
        <v>0</v>
      </c>
      <c r="K97" s="33">
        <f>SUM(Costs!AF89:AG89)</f>
        <v>0</v>
      </c>
    </row>
    <row r="98" spans="2:12" x14ac:dyDescent="0.3">
      <c r="B98" s="89">
        <f>Costs!AL90</f>
        <v>89</v>
      </c>
      <c r="C98" s="32">
        <f>Costs!AM90</f>
        <v>3.0151300000000001</v>
      </c>
      <c r="D98" s="32">
        <f>Costs!AN90</f>
        <v>-2.26E-5</v>
      </c>
      <c r="E98" s="32">
        <f>Costs!AO90</f>
        <v>3.0151074000000002</v>
      </c>
      <c r="F98" s="32">
        <f>Costs!AR90</f>
        <v>11.3</v>
      </c>
      <c r="G98" s="32">
        <f>Costs!AS90</f>
        <v>11.3</v>
      </c>
      <c r="H98" s="32">
        <f>Costs!W90+Costs!U90+Costs!Y90</f>
        <v>11.3</v>
      </c>
      <c r="I98" s="32">
        <f>Costs!AB90</f>
        <v>0</v>
      </c>
      <c r="J98" s="32">
        <f>+Costs!R90*(1/undergrid!$AQ$15-1)+Costs!Y90*(1-undergrid!$AQ$12)</f>
        <v>0</v>
      </c>
      <c r="K98" s="33">
        <f>SUM(Costs!AF90:AG90)</f>
        <v>0</v>
      </c>
    </row>
    <row r="99" spans="2:12" x14ac:dyDescent="0.3">
      <c r="B99" s="89">
        <f>Costs!AL91</f>
        <v>90</v>
      </c>
      <c r="C99" s="32">
        <f>Costs!AM91</f>
        <v>4.1334999999999997</v>
      </c>
      <c r="D99" s="32">
        <f>Costs!AN91</f>
        <v>-0.70726578000000007</v>
      </c>
      <c r="E99" s="32">
        <f>Costs!AO91</f>
        <v>3.4262342199999996</v>
      </c>
      <c r="F99" s="32">
        <f>Costs!AR91</f>
        <v>12.605</v>
      </c>
      <c r="G99" s="32">
        <f>Costs!AS91</f>
        <v>12.605</v>
      </c>
      <c r="H99" s="32">
        <f>Costs!W91+Costs!U91+Costs!Y91</f>
        <v>7.89</v>
      </c>
      <c r="I99" s="32">
        <f>Costs!AB91</f>
        <v>4.7150000000000007</v>
      </c>
      <c r="J99" s="32">
        <f>+Costs!R91*(1/undergrid!$AQ$15-1)+Costs!Y91*(1-undergrid!$AQ$12)</f>
        <v>0</v>
      </c>
      <c r="K99" s="33">
        <f>SUM(Costs!AF91:AG91)</f>
        <v>0</v>
      </c>
    </row>
    <row r="100" spans="2:12" x14ac:dyDescent="0.3">
      <c r="B100" s="89">
        <f>Costs!AL92</f>
        <v>91</v>
      </c>
      <c r="C100" s="32">
        <f>Costs!AM92</f>
        <v>6.5296200000000004</v>
      </c>
      <c r="D100" s="32">
        <f>Costs!AN92</f>
        <v>-2.4754499999039998</v>
      </c>
      <c r="E100" s="32">
        <f>Costs!AO92</f>
        <v>4.0541700000960006</v>
      </c>
      <c r="F100" s="139">
        <f>Costs!AR92</f>
        <v>16.503</v>
      </c>
      <c r="G100" s="139">
        <f>Costs!AS92</f>
        <v>16.50299999936</v>
      </c>
      <c r="H100" s="32">
        <f>Costs!W92+Costs!U92+Costs!Y92</f>
        <v>0</v>
      </c>
      <c r="I100" s="139">
        <f>Costs!AB92</f>
        <v>16.50299999936</v>
      </c>
      <c r="J100" s="32">
        <f>+Costs!R92*(1/undergrid!$AQ$15-1)+Costs!Y92*(1-undergrid!$AQ$12)</f>
        <v>0</v>
      </c>
      <c r="K100" s="140">
        <f>SUM(Costs!AF92:AG92)</f>
        <v>0</v>
      </c>
      <c r="L100" s="11">
        <f>G100-H100-I100</f>
        <v>0</v>
      </c>
    </row>
    <row r="101" spans="2:12" x14ac:dyDescent="0.3">
      <c r="B101" s="89">
        <f>Costs!AL93</f>
        <v>92</v>
      </c>
      <c r="C101" s="32">
        <f>Costs!AM93</f>
        <v>2.8564600000000002</v>
      </c>
      <c r="D101" s="32">
        <f>Costs!AN93</f>
        <v>-3.5595555552711108E-5</v>
      </c>
      <c r="E101" s="32">
        <f>Costs!AO93</f>
        <v>2.8564244044444473</v>
      </c>
      <c r="F101" s="32">
        <f>Costs!AR93</f>
        <v>8.0090000000000003</v>
      </c>
      <c r="G101" s="32">
        <f>Costs!AS93</f>
        <v>8.8988888881777779</v>
      </c>
      <c r="H101" s="32">
        <f>Costs!W93+Costs!U93+Costs!Y93</f>
        <v>8.8988888881777779</v>
      </c>
      <c r="I101" s="32">
        <f>Costs!AB93</f>
        <v>0</v>
      </c>
      <c r="J101" s="32">
        <f>+Costs!R93*(1/undergrid!$AQ$15-1)+Costs!Y93*(1-undergrid!$AQ$12)</f>
        <v>0.88988888881777761</v>
      </c>
      <c r="K101" s="33">
        <f>SUM(Costs!AF93:AG93)</f>
        <v>0</v>
      </c>
    </row>
    <row r="102" spans="2:12" x14ac:dyDescent="0.3">
      <c r="B102" s="89">
        <f>Costs!AL94</f>
        <v>93</v>
      </c>
      <c r="C102" s="32">
        <f>Costs!AM94</f>
        <v>7.7768800000000002</v>
      </c>
      <c r="D102" s="32">
        <f>Costs!AN94</f>
        <v>-7.7742222219377775E-5</v>
      </c>
      <c r="E102" s="32">
        <f>Costs!AO94</f>
        <v>7.7768022577777804</v>
      </c>
      <c r="F102" s="32">
        <f>Costs!AR94</f>
        <v>17.492000000000001</v>
      </c>
      <c r="G102" s="32">
        <f>Costs!AS94</f>
        <v>19.435555554844445</v>
      </c>
      <c r="H102" s="32">
        <f>Costs!W94+Costs!U94+Costs!Y94</f>
        <v>19.435555554844445</v>
      </c>
      <c r="I102" s="32">
        <f>Costs!AB94</f>
        <v>0</v>
      </c>
      <c r="J102" s="32">
        <f>+Costs!R94*(1/undergrid!$AQ$15-1)+Costs!Y94*(1-undergrid!$AQ$12)</f>
        <v>1.9435555554844441</v>
      </c>
      <c r="K102" s="33">
        <f>SUM(Costs!AF94:AG94)</f>
        <v>0</v>
      </c>
    </row>
    <row r="103" spans="2:12" x14ac:dyDescent="0.3">
      <c r="B103" s="89">
        <f>Costs!AL95</f>
        <v>94</v>
      </c>
      <c r="C103" s="32">
        <f>Costs!AM95</f>
        <v>9.7781400000000005</v>
      </c>
      <c r="D103" s="32">
        <f>Costs!AN95</f>
        <v>-9.3959999997155557E-5</v>
      </c>
      <c r="E103" s="32">
        <f>Costs!AO95</f>
        <v>9.7780460400000031</v>
      </c>
      <c r="F103" s="32">
        <f>Costs!AR95</f>
        <v>21.141000000000002</v>
      </c>
      <c r="G103" s="32">
        <f>Costs!AS95</f>
        <v>23.489999999288891</v>
      </c>
      <c r="H103" s="32">
        <f>Costs!W95+Costs!U95+Costs!Y95</f>
        <v>23.489999999288891</v>
      </c>
      <c r="I103" s="32">
        <f>Costs!AB95</f>
        <v>0</v>
      </c>
      <c r="J103" s="32">
        <f>+Costs!R95*(1/undergrid!$AQ$15-1)+Costs!Y95*(1-undergrid!$AQ$12)</f>
        <v>2.3489999999288886</v>
      </c>
      <c r="K103" s="33">
        <f>SUM(Costs!AF95:AG95)</f>
        <v>0</v>
      </c>
    </row>
    <row r="104" spans="2:12" x14ac:dyDescent="0.3">
      <c r="B104" s="89">
        <f>Costs!AL96</f>
        <v>95</v>
      </c>
      <c r="C104" s="32">
        <f>Costs!AM96</f>
        <v>4.1188599999999997</v>
      </c>
      <c r="D104" s="32">
        <f>Costs!AN96</f>
        <v>-4.412888888604445E-5</v>
      </c>
      <c r="E104" s="32">
        <f>Costs!AO96</f>
        <v>4.1188158711111136</v>
      </c>
      <c r="F104" s="32">
        <f>Costs!AR96</f>
        <v>9.9290000000000003</v>
      </c>
      <c r="G104" s="32">
        <f>Costs!AS96</f>
        <v>11.032222221511113</v>
      </c>
      <c r="H104" s="32">
        <f>Costs!W96+Costs!U96+Costs!Y96</f>
        <v>11.032222221511113</v>
      </c>
      <c r="I104" s="32">
        <f>Costs!AB96</f>
        <v>0</v>
      </c>
      <c r="J104" s="32">
        <f>+Costs!R96*(1/undergrid!$AQ$15-1)+Costs!Y96*(1-undergrid!$AQ$12)</f>
        <v>1.103222222151111</v>
      </c>
      <c r="K104" s="33">
        <f>SUM(Costs!AF96:AG96)</f>
        <v>0</v>
      </c>
    </row>
    <row r="105" spans="2:12" x14ac:dyDescent="0.3">
      <c r="B105" s="89">
        <f>Costs!AL97</f>
        <v>96</v>
      </c>
      <c r="C105" s="32">
        <f>Costs!AM97</f>
        <v>3.3292799999999998</v>
      </c>
      <c r="D105" s="32">
        <f>Costs!AN97</f>
        <v>-0.83538813655521593</v>
      </c>
      <c r="E105" s="32">
        <f>Costs!AO97</f>
        <v>2.4938918634447838</v>
      </c>
      <c r="F105" s="32">
        <f>Costs!AR97</f>
        <v>8.3536799999999971</v>
      </c>
      <c r="G105" s="32">
        <f>Costs!AS97</f>
        <v>8.3538812983521584</v>
      </c>
      <c r="H105" s="32">
        <f>Costs!W97+Costs!U97+Costs!Y97</f>
        <v>0</v>
      </c>
      <c r="I105" s="32">
        <f>Costs!AB97</f>
        <v>8.3538812983521584</v>
      </c>
      <c r="J105" s="32">
        <f>+Costs!R97*(1/undergrid!$AQ$15-1)+Costs!Y97*(1-undergrid!$AQ$12)</f>
        <v>2.0129899216087051E-4</v>
      </c>
      <c r="K105" s="33">
        <f>SUM(Costs!AF97:AG97)</f>
        <v>0</v>
      </c>
    </row>
    <row r="106" spans="2:12" x14ac:dyDescent="0.3">
      <c r="B106" s="89">
        <f>Costs!AL98</f>
        <v>97</v>
      </c>
      <c r="C106" s="32">
        <f>Costs!AM98</f>
        <v>1.77918</v>
      </c>
      <c r="D106" s="32">
        <f>Costs!AN98</f>
        <v>-0.47388813655521578</v>
      </c>
      <c r="E106" s="32">
        <f>Costs!AO98</f>
        <v>1.3052918634447841</v>
      </c>
      <c r="F106" s="32">
        <f>Costs!AR98</f>
        <v>4.7386799999999969</v>
      </c>
      <c r="G106" s="32">
        <f>Costs!AS98</f>
        <v>4.7388812983521573</v>
      </c>
      <c r="H106" s="32">
        <f>Costs!W98+Costs!U98+Costs!Y98</f>
        <v>0</v>
      </c>
      <c r="I106" s="32">
        <f>Costs!AB98</f>
        <v>4.7388812983521573</v>
      </c>
      <c r="J106" s="32">
        <f>+Costs!R98*(1/undergrid!$AQ$15-1)+Costs!Y98*(1-undergrid!$AQ$12)</f>
        <v>2.0129899216087051E-4</v>
      </c>
      <c r="K106" s="33">
        <f>SUM(Costs!AF98:AG98)</f>
        <v>0</v>
      </c>
    </row>
    <row r="107" spans="2:12" x14ac:dyDescent="0.3">
      <c r="B107" s="89">
        <f>Costs!AL99</f>
        <v>98</v>
      </c>
      <c r="C107" s="32">
        <f>Costs!AM99</f>
        <v>1.3989600000000002</v>
      </c>
      <c r="D107" s="32">
        <f>Costs!AN99</f>
        <v>-0.42858813655521583</v>
      </c>
      <c r="E107" s="32">
        <f>Costs!AO99</f>
        <v>0.97037186344478443</v>
      </c>
      <c r="F107" s="32">
        <f>Costs!AR99</f>
        <v>4.2856799999999975</v>
      </c>
      <c r="G107" s="32">
        <f>Costs!AS99</f>
        <v>4.2858812983521579</v>
      </c>
      <c r="H107" s="32">
        <f>Costs!W99+Costs!U99+Costs!Y99</f>
        <v>0</v>
      </c>
      <c r="I107" s="32">
        <f>Costs!AB99</f>
        <v>4.2858812983521579</v>
      </c>
      <c r="J107" s="32">
        <f>+Costs!R99*(1/undergrid!$AQ$15-1)+Costs!Y99*(1-undergrid!$AQ$12)</f>
        <v>2.0129899216087051E-4</v>
      </c>
      <c r="K107" s="33">
        <f>SUM(Costs!AF99:AG99)</f>
        <v>0</v>
      </c>
    </row>
    <row r="108" spans="2:12" x14ac:dyDescent="0.3">
      <c r="B108" s="89">
        <f>Costs!AL100</f>
        <v>99</v>
      </c>
      <c r="C108" s="32">
        <f>Costs!AM100</f>
        <v>1.2854399999999999</v>
      </c>
      <c r="D108" s="32">
        <f>Costs!AN100</f>
        <v>-2.2512914090558875</v>
      </c>
      <c r="E108" s="32">
        <f>Costs!AO100</f>
        <v>-0.96585140905588762</v>
      </c>
      <c r="F108" s="32">
        <f>Costs!AR100</f>
        <v>20.52459173894368</v>
      </c>
      <c r="G108" s="32">
        <f>Costs!AS100</f>
        <v>22.512250546889319</v>
      </c>
      <c r="H108" s="32">
        <f>Costs!W100+Costs!U100+Costs!Y100</f>
        <v>0</v>
      </c>
      <c r="I108" s="32">
        <f>Costs!AB100</f>
        <v>22.512250546889319</v>
      </c>
      <c r="J108" s="32">
        <f>+Costs!R100*(1/undergrid!$AQ$15-1)+Costs!Y100*(1-undergrid!$AQ$12)</f>
        <v>1.9876588085856399</v>
      </c>
      <c r="K108" s="33">
        <f>SUM(Costs!AF100:AG100)</f>
        <v>0</v>
      </c>
    </row>
    <row r="109" spans="2:12" x14ac:dyDescent="0.3">
      <c r="B109" s="89">
        <f>Costs!AL101</f>
        <v>100</v>
      </c>
      <c r="C109" s="32">
        <f>Costs!AM101</f>
        <v>1.9304000000000001</v>
      </c>
      <c r="D109" s="32">
        <f>Costs!AN101</f>
        <v>-2.5000681537600022</v>
      </c>
      <c r="E109" s="32">
        <f>Costs!AO101</f>
        <v>-0.56966815376000213</v>
      </c>
      <c r="F109" s="32">
        <f>Costs!AR101</f>
        <v>22.958440000571521</v>
      </c>
      <c r="G109" s="32">
        <f>Costs!AS101</f>
        <v>25</v>
      </c>
      <c r="H109" s="32">
        <f>Costs!W101+Costs!U101+Costs!Y101</f>
        <v>0</v>
      </c>
      <c r="I109" s="32">
        <f>Costs!AB101</f>
        <v>25</v>
      </c>
      <c r="J109" s="32">
        <f>+Costs!R101*(1/undergrid!$AQ$15-1)+Costs!Y101*(1-undergrid!$AQ$12)</f>
        <v>2.041560000068483</v>
      </c>
      <c r="K109" s="33">
        <f>SUM(Costs!AF101:AG101)</f>
        <v>0</v>
      </c>
    </row>
    <row r="110" spans="2:12" x14ac:dyDescent="0.3">
      <c r="B110" s="89">
        <f>Costs!AL102</f>
        <v>101</v>
      </c>
      <c r="C110" s="32">
        <f>Costs!AM102</f>
        <v>1.1982200000000001</v>
      </c>
      <c r="D110" s="32">
        <f>Costs!AN102</f>
        <v>-2.5000761800440023</v>
      </c>
      <c r="E110" s="32">
        <f>Costs!AO102</f>
        <v>-1.3018561800440023</v>
      </c>
      <c r="F110" s="32">
        <f>Costs!AR102</f>
        <v>22.718011000571522</v>
      </c>
      <c r="G110" s="32">
        <f>Costs!AS102</f>
        <v>25</v>
      </c>
      <c r="H110" s="32">
        <f>Costs!W102+Costs!U102+Costs!Y102</f>
        <v>0</v>
      </c>
      <c r="I110" s="32">
        <f>Costs!AB102</f>
        <v>25</v>
      </c>
      <c r="J110" s="32">
        <f>+Costs!R102*(1/undergrid!$AQ$15-1)+Costs!Y102*(1-undergrid!$AQ$12)</f>
        <v>2.2819890000684833</v>
      </c>
      <c r="K110" s="33">
        <f>SUM(Costs!AF102:AG102)</f>
        <v>0</v>
      </c>
    </row>
    <row r="111" spans="2:12" x14ac:dyDescent="0.3">
      <c r="B111" s="89">
        <f>Costs!AL103</f>
        <v>102</v>
      </c>
      <c r="C111" s="32">
        <f>Costs!AM103</f>
        <v>1.8261799999999999</v>
      </c>
      <c r="D111" s="32">
        <f>Costs!AN103</f>
        <v>-2.5000693432360022</v>
      </c>
      <c r="E111" s="32">
        <f>Costs!AO103</f>
        <v>-0.67388934323600225</v>
      </c>
      <c r="F111" s="32">
        <f>Costs!AR103</f>
        <v>22.922809000571519</v>
      </c>
      <c r="G111" s="32">
        <f>Costs!AS103</f>
        <v>25</v>
      </c>
      <c r="H111" s="32">
        <f>Costs!W103+Costs!U103+Costs!Y103</f>
        <v>0</v>
      </c>
      <c r="I111" s="32">
        <f>Costs!AB103</f>
        <v>25</v>
      </c>
      <c r="J111" s="32">
        <f>+Costs!R103*(1/undergrid!$AQ$15-1)+Costs!Y103*(1-undergrid!$AQ$12)</f>
        <v>2.077191000068483</v>
      </c>
      <c r="K111" s="33">
        <f>SUM(Costs!AF103:AG103)</f>
        <v>0</v>
      </c>
    </row>
    <row r="112" spans="2:12" x14ac:dyDescent="0.3">
      <c r="B112" s="89">
        <f>Costs!AL104</f>
        <v>103</v>
      </c>
      <c r="C112" s="32">
        <f>Costs!AM104</f>
        <v>1.2099</v>
      </c>
      <c r="D112" s="32">
        <f>Costs!AN104</f>
        <v>-1.6466666663822224E-5</v>
      </c>
      <c r="E112" s="32">
        <f>Costs!AO104</f>
        <v>1.2098835333333362</v>
      </c>
      <c r="F112" s="32">
        <f>Costs!AR104</f>
        <v>3.7050000000000001</v>
      </c>
      <c r="G112" s="32">
        <f>Costs!AS104</f>
        <v>4.116666665955556</v>
      </c>
      <c r="H112" s="32">
        <f>Costs!W104+Costs!U104+Costs!Y104</f>
        <v>4.116666665955556</v>
      </c>
      <c r="I112" s="32">
        <f>Costs!AB104</f>
        <v>0</v>
      </c>
      <c r="J112" s="32">
        <f>+Costs!R104*(1/undergrid!$AQ$15-1)+Costs!Y104*(1-undergrid!$AQ$12)</f>
        <v>0.41166666659555551</v>
      </c>
      <c r="K112" s="33">
        <f>SUM(Costs!AF104:AG104)</f>
        <v>0</v>
      </c>
    </row>
    <row r="113" spans="2:11" x14ac:dyDescent="0.3">
      <c r="B113" s="89">
        <f>Costs!AL105</f>
        <v>104</v>
      </c>
      <c r="C113" s="32">
        <f>Costs!AM105</f>
        <v>0.70864000000000005</v>
      </c>
      <c r="D113" s="32">
        <f>Costs!AN105</f>
        <v>-1.0382222218888889E-5</v>
      </c>
      <c r="E113" s="32">
        <f>Costs!AO105</f>
        <v>0.70862961777778111</v>
      </c>
      <c r="F113" s="32">
        <f>Costs!AR105</f>
        <v>2.3360000000000003</v>
      </c>
      <c r="G113" s="32">
        <f>Costs!AS105</f>
        <v>2.5955555547222224</v>
      </c>
      <c r="H113" s="32">
        <f>Costs!W105+Costs!U105+Costs!Y105</f>
        <v>2.5955555547222224</v>
      </c>
      <c r="I113" s="32">
        <f>Costs!AB105</f>
        <v>0</v>
      </c>
      <c r="J113" s="32">
        <f>+Costs!R105*(1/undergrid!$AQ$15-1)+Costs!Y105*(1-undergrid!$AQ$12)</f>
        <v>0.2595555554722222</v>
      </c>
      <c r="K113" s="33">
        <f>SUM(Costs!AF105:AG105)</f>
        <v>0</v>
      </c>
    </row>
    <row r="114" spans="2:11" x14ac:dyDescent="0.3">
      <c r="B114" s="89">
        <f>Costs!AL106</f>
        <v>105</v>
      </c>
      <c r="C114" s="32">
        <f>Costs!AM106</f>
        <v>1.0991599999999999</v>
      </c>
      <c r="D114" s="32">
        <f>Costs!AN106</f>
        <v>-4.3965192000000002E-5</v>
      </c>
      <c r="E114" s="32">
        <f>Costs!AO106</f>
        <v>1.099116034808</v>
      </c>
      <c r="F114" s="32">
        <f>Costs!AR106</f>
        <v>9.5152979999999996</v>
      </c>
      <c r="G114" s="32">
        <f>Costs!AS106</f>
        <v>10.220000000000001</v>
      </c>
      <c r="H114" s="32">
        <f>Costs!W106+Costs!U106+Costs!Y106</f>
        <v>10.220000000000001</v>
      </c>
      <c r="I114" s="32">
        <f>Costs!AB106</f>
        <v>0</v>
      </c>
      <c r="J114" s="32">
        <f>+Costs!R106*(1/undergrid!$AQ$15-1)+Costs!Y106*(1-undergrid!$AQ$12)</f>
        <v>0.70470200000000105</v>
      </c>
      <c r="K114" s="33">
        <f>SUM(Costs!AF106:AG106)</f>
        <v>0</v>
      </c>
    </row>
    <row r="115" spans="2:11" x14ac:dyDescent="0.3">
      <c r="B115" s="89">
        <f>Costs!AL107</f>
        <v>106</v>
      </c>
      <c r="C115" s="32">
        <f>Costs!AM107</f>
        <v>2.4059200000000001</v>
      </c>
      <c r="D115" s="32">
        <f>Costs!AN107</f>
        <v>-2.753111111111111E-5</v>
      </c>
      <c r="E115" s="32">
        <f>Costs!AO107</f>
        <v>2.4058924688888887</v>
      </c>
      <c r="F115" s="32">
        <f>Costs!AR107</f>
        <v>9.3680000000000003</v>
      </c>
      <c r="G115" s="32">
        <f>Costs!AS107</f>
        <v>9.767777777777777</v>
      </c>
      <c r="H115" s="32">
        <f>Costs!W107+Costs!U107+Costs!Y107</f>
        <v>9.767777777777777</v>
      </c>
      <c r="I115" s="32">
        <f>Costs!AB107</f>
        <v>0</v>
      </c>
      <c r="J115" s="32">
        <f>+Costs!R107*(1/undergrid!$AQ$15-1)+Costs!Y107*(1-undergrid!$AQ$12)</f>
        <v>0.39977777777777773</v>
      </c>
      <c r="K115" s="33">
        <f>SUM(Costs!AF107:AG107)</f>
        <v>0</v>
      </c>
    </row>
    <row r="116" spans="2:11" x14ac:dyDescent="0.3">
      <c r="B116" s="89">
        <f>Costs!AL108</f>
        <v>107</v>
      </c>
      <c r="C116" s="32">
        <f>Costs!AM108</f>
        <v>3.5824400000000001</v>
      </c>
      <c r="D116" s="32">
        <f>Costs!AN108</f>
        <v>-3.9431111111111112E-5</v>
      </c>
      <c r="E116" s="32">
        <f>Costs!AO108</f>
        <v>3.5824005688888891</v>
      </c>
      <c r="F116" s="32">
        <f>Costs!AR108</f>
        <v>11.446</v>
      </c>
      <c r="G116" s="32">
        <f>Costs!AS108</f>
        <v>12.197777777777777</v>
      </c>
      <c r="H116" s="32">
        <f>Costs!W108+Costs!U108+Costs!Y108</f>
        <v>12.197777777777777</v>
      </c>
      <c r="I116" s="32">
        <f>Costs!AB108</f>
        <v>0</v>
      </c>
      <c r="J116" s="32">
        <f>+Costs!R108*(1/undergrid!$AQ$15-1)+Costs!Y108*(1-undergrid!$AQ$12)</f>
        <v>0.75177777777777766</v>
      </c>
      <c r="K116" s="33">
        <f>SUM(Costs!AF108:AG108)</f>
        <v>0</v>
      </c>
    </row>
    <row r="117" spans="2:11" x14ac:dyDescent="0.3">
      <c r="B117" s="89">
        <f>Costs!AL109</f>
        <v>108</v>
      </c>
      <c r="C117" s="32">
        <f>Costs!AM109</f>
        <v>3.1775199999999999</v>
      </c>
      <c r="D117" s="32">
        <f>Costs!AN109</f>
        <v>-3.1731111111111114E-5</v>
      </c>
      <c r="E117" s="32">
        <f>Costs!AO109</f>
        <v>3.1774882688888888</v>
      </c>
      <c r="F117" s="32">
        <f>Costs!AR109</f>
        <v>10.148</v>
      </c>
      <c r="G117" s="32">
        <f>Costs!AS109</f>
        <v>10.667777777777779</v>
      </c>
      <c r="H117" s="32">
        <f>Costs!W109+Costs!U109+Costs!Y109</f>
        <v>10.667777777777779</v>
      </c>
      <c r="I117" s="32">
        <f>Costs!AB109</f>
        <v>0</v>
      </c>
      <c r="J117" s="32">
        <f>+Costs!R109*(1/undergrid!$AQ$15-1)+Costs!Y109*(1-undergrid!$AQ$12)</f>
        <v>0.51977777777777778</v>
      </c>
      <c r="K117" s="33">
        <f>SUM(Costs!AF109:AG109)</f>
        <v>0</v>
      </c>
    </row>
    <row r="118" spans="2:11" x14ac:dyDescent="0.3">
      <c r="B118" s="89">
        <f>Costs!AL110</f>
        <v>109</v>
      </c>
      <c r="C118" s="32">
        <f>Costs!AM110</f>
        <v>1.9280000000000002</v>
      </c>
      <c r="D118" s="32">
        <f>Costs!AN110</f>
        <v>-1.7913799999999994E-5</v>
      </c>
      <c r="E118" s="32">
        <f>Costs!AO110</f>
        <v>1.9279820862000001</v>
      </c>
      <c r="F118" s="32">
        <f>Costs!AR110</f>
        <v>5.8334499999999991</v>
      </c>
      <c r="G118" s="32">
        <f>Costs!AS110</f>
        <v>6.01</v>
      </c>
      <c r="H118" s="32">
        <f>Costs!W110+Costs!U110+Costs!Y110</f>
        <v>6.01</v>
      </c>
      <c r="I118" s="32">
        <f>Costs!AB110</f>
        <v>0</v>
      </c>
      <c r="J118" s="32">
        <f>+Costs!R110*(1/undergrid!$AQ$15-1)+Costs!Y110*(1-undergrid!$AQ$12)</f>
        <v>0.17655000000000018</v>
      </c>
      <c r="K118" s="33">
        <f>SUM(Costs!AF110:AG110)</f>
        <v>0</v>
      </c>
    </row>
    <row r="119" spans="2:11" x14ac:dyDescent="0.3">
      <c r="B119" s="89">
        <f>Costs!AL111</f>
        <v>110</v>
      </c>
      <c r="C119" s="32">
        <f>Costs!AM111</f>
        <v>6.35006</v>
      </c>
      <c r="D119" s="32">
        <f>Costs!AN111</f>
        <v>-3.9944851999999993E-5</v>
      </c>
      <c r="E119" s="32">
        <f>Costs!AO111</f>
        <v>6.3500200551479997</v>
      </c>
      <c r="F119" s="32">
        <f>Costs!AR111</f>
        <v>15.730212999999999</v>
      </c>
      <c r="G119" s="32">
        <f>Costs!AS111</f>
        <v>15.97</v>
      </c>
      <c r="H119" s="32">
        <f>Costs!W111+Costs!U111+Costs!Y111</f>
        <v>15.97</v>
      </c>
      <c r="I119" s="32">
        <f>Costs!AB111</f>
        <v>0</v>
      </c>
      <c r="J119" s="32">
        <f>+Costs!R111*(1/undergrid!$AQ$15-1)+Costs!Y111*(1-undergrid!$AQ$12)</f>
        <v>0.23978700000000014</v>
      </c>
      <c r="K119" s="33">
        <f>SUM(Costs!AF111:AG111)</f>
        <v>0</v>
      </c>
    </row>
    <row r="120" spans="2:11" x14ac:dyDescent="0.3">
      <c r="B120" s="89">
        <f>Costs!AL112</f>
        <v>111</v>
      </c>
      <c r="C120" s="32">
        <f>Costs!AM112</f>
        <v>4.633</v>
      </c>
      <c r="D120" s="32">
        <f>Costs!AN112</f>
        <v>-3.7735555555555556E-5</v>
      </c>
      <c r="E120" s="32">
        <f>Costs!AO112</f>
        <v>4.6329622644444441</v>
      </c>
      <c r="F120" s="32">
        <f>Costs!AR112</f>
        <v>12.83</v>
      </c>
      <c r="G120" s="32">
        <f>Costs!AS112</f>
        <v>13.378888888888888</v>
      </c>
      <c r="H120" s="32">
        <f>Costs!W112+Costs!U112+Costs!Y112</f>
        <v>13.378888888888888</v>
      </c>
      <c r="I120" s="32">
        <f>Costs!AB112</f>
        <v>0</v>
      </c>
      <c r="J120" s="32">
        <f>+Costs!R112*(1/undergrid!$AQ$15-1)+Costs!Y112*(1-undergrid!$AQ$12)</f>
        <v>0.54888888888888876</v>
      </c>
      <c r="K120" s="33">
        <f>SUM(Costs!AF112:AG112)</f>
        <v>0</v>
      </c>
    </row>
    <row r="121" spans="2:11" x14ac:dyDescent="0.3">
      <c r="B121" s="89">
        <f>Costs!AL113</f>
        <v>112</v>
      </c>
      <c r="C121" s="32">
        <f>Costs!AM113</f>
        <v>5.4173400000000003</v>
      </c>
      <c r="D121" s="32">
        <f>Costs!AN113</f>
        <v>-5.8437777777777787E-5</v>
      </c>
      <c r="E121" s="32">
        <f>Costs!AO113</f>
        <v>5.4172815622222226</v>
      </c>
      <c r="F121" s="32">
        <f>Costs!AR113</f>
        <v>17.301000000000002</v>
      </c>
      <c r="G121" s="32">
        <f>Costs!AS113</f>
        <v>18.384444444444448</v>
      </c>
      <c r="H121" s="32">
        <f>Costs!W113+Costs!U113+Costs!Y113</f>
        <v>18.384444444444448</v>
      </c>
      <c r="I121" s="32">
        <f>Costs!AB113</f>
        <v>0</v>
      </c>
      <c r="J121" s="32">
        <f>+Costs!R113*(1/undergrid!$AQ$15-1)+Costs!Y113*(1-undergrid!$AQ$12)</f>
        <v>1.0834444444444444</v>
      </c>
      <c r="K121" s="33">
        <f>SUM(Costs!AF113:AG113)</f>
        <v>0</v>
      </c>
    </row>
    <row r="122" spans="2:11" x14ac:dyDescent="0.3">
      <c r="B122" s="89">
        <f>Costs!AL114</f>
        <v>113</v>
      </c>
      <c r="C122" s="32">
        <f>Costs!AM114</f>
        <v>2.59158</v>
      </c>
      <c r="D122" s="32">
        <f>Costs!AN114</f>
        <v>-2.2902222222222217E-5</v>
      </c>
      <c r="E122" s="32">
        <f>Costs!AO114</f>
        <v>2.5915570977777778</v>
      </c>
      <c r="F122" s="32">
        <f>Costs!AR114</f>
        <v>8.2769999999999992</v>
      </c>
      <c r="G122" s="32">
        <f>Costs!AS114</f>
        <v>8.5655555555555551</v>
      </c>
      <c r="H122" s="32">
        <f>Costs!W114+Costs!U114+Costs!Y114</f>
        <v>8.5655555555555551</v>
      </c>
      <c r="I122" s="32">
        <f>Costs!AB114</f>
        <v>0</v>
      </c>
      <c r="J122" s="32">
        <f>+Costs!R114*(1/undergrid!$AQ$15-1)+Costs!Y114*(1-undergrid!$AQ$12)</f>
        <v>0.2885555555555554</v>
      </c>
      <c r="K122" s="33">
        <f>SUM(Costs!AF114:AG114)</f>
        <v>0</v>
      </c>
    </row>
    <row r="123" spans="2:11" x14ac:dyDescent="0.3">
      <c r="B123" s="89">
        <f>Costs!AL115</f>
        <v>114</v>
      </c>
      <c r="C123" s="32">
        <f>Costs!AM115</f>
        <v>4.2574399999999999</v>
      </c>
      <c r="D123" s="32">
        <f>Costs!AN115</f>
        <v>-5.7671111107511108E-5</v>
      </c>
      <c r="E123" s="32">
        <f>Costs!AO115</f>
        <v>4.2573823288888928</v>
      </c>
      <c r="F123" s="32">
        <f>Costs!AR115</f>
        <v>12.975999999999999</v>
      </c>
      <c r="G123" s="32">
        <f>Costs!AS115</f>
        <v>14.417777776877777</v>
      </c>
      <c r="H123" s="32">
        <f>Costs!W115+Costs!U115+Costs!Y115</f>
        <v>14.417777776877777</v>
      </c>
      <c r="I123" s="32">
        <f>Costs!AB115</f>
        <v>0</v>
      </c>
      <c r="J123" s="32">
        <f>+Costs!R115*(1/undergrid!$AQ$15-1)+Costs!Y115*(1-undergrid!$AQ$12)</f>
        <v>1.4417777776877774</v>
      </c>
      <c r="K123" s="33">
        <f>SUM(Costs!AF115:AG115)</f>
        <v>0</v>
      </c>
    </row>
    <row r="124" spans="2:11" x14ac:dyDescent="0.3">
      <c r="B124" s="89">
        <f>Costs!AL116</f>
        <v>115</v>
      </c>
      <c r="C124" s="32">
        <f>Costs!AM116</f>
        <v>4.3798200000000005</v>
      </c>
      <c r="D124" s="32">
        <f>Costs!AN116</f>
        <v>-4.9213333330488894E-5</v>
      </c>
      <c r="E124" s="32">
        <f>Costs!AO116</f>
        <v>4.3797707866666702</v>
      </c>
      <c r="F124" s="32">
        <f>Costs!AR116</f>
        <v>11.073</v>
      </c>
      <c r="G124" s="32">
        <f>Costs!AS116</f>
        <v>12.303333332622223</v>
      </c>
      <c r="H124" s="32">
        <f>Costs!W116+Costs!U116+Costs!Y116</f>
        <v>12.303333332622223</v>
      </c>
      <c r="I124" s="32">
        <f>Costs!AB116</f>
        <v>0</v>
      </c>
      <c r="J124" s="32">
        <f>+Costs!R116*(1/undergrid!$AQ$15-1)+Costs!Y116*(1-undergrid!$AQ$12)</f>
        <v>1.2303333332622222</v>
      </c>
      <c r="K124" s="33">
        <f>SUM(Costs!AF116:AG116)</f>
        <v>0</v>
      </c>
    </row>
    <row r="125" spans="2:11" x14ac:dyDescent="0.3">
      <c r="B125" s="89">
        <f>Costs!AL117</f>
        <v>116</v>
      </c>
      <c r="C125" s="32">
        <f>Costs!AM117</f>
        <v>2.4771000000000001</v>
      </c>
      <c r="D125" s="32">
        <f>Costs!AN117</f>
        <v>-3.0866666663822222E-5</v>
      </c>
      <c r="E125" s="32">
        <f>Costs!AO117</f>
        <v>2.4770691333333361</v>
      </c>
      <c r="F125" s="32">
        <f>Costs!AR117</f>
        <v>6.9450000000000003</v>
      </c>
      <c r="G125" s="32">
        <f>Costs!AS117</f>
        <v>7.7166666659555565</v>
      </c>
      <c r="H125" s="32">
        <f>Costs!W117+Costs!U117+Costs!Y117</f>
        <v>7.7166666659555565</v>
      </c>
      <c r="I125" s="32">
        <f>Costs!AB117</f>
        <v>0</v>
      </c>
      <c r="J125" s="32">
        <f>+Costs!R117*(1/undergrid!$AQ$15-1)+Costs!Y117*(1-undergrid!$AQ$12)</f>
        <v>0.77166666659555549</v>
      </c>
      <c r="K125" s="33">
        <f>SUM(Costs!AF117:AG117)</f>
        <v>0</v>
      </c>
    </row>
    <row r="126" spans="2:11" x14ac:dyDescent="0.3">
      <c r="B126" s="89">
        <f>Costs!AL118</f>
        <v>117</v>
      </c>
      <c r="C126" s="32">
        <f>Costs!AM118</f>
        <v>7.7874400000000001</v>
      </c>
      <c r="D126" s="32">
        <f>Costs!AN118</f>
        <v>-2.3287575479003055</v>
      </c>
      <c r="E126" s="32">
        <f>Costs!AO118</f>
        <v>5.4586824520996942</v>
      </c>
      <c r="F126" s="32">
        <f>Costs!AR118</f>
        <v>17.516000000000002</v>
      </c>
      <c r="G126" s="32">
        <f>Costs!AS118</f>
        <v>17.73722318523491</v>
      </c>
      <c r="H126" s="32">
        <f>Costs!W118+Costs!U118+Costs!Y118</f>
        <v>2.2122318587491066</v>
      </c>
      <c r="I126" s="32">
        <f>Costs!AB118</f>
        <v>15.524991326485805</v>
      </c>
      <c r="J126" s="32">
        <f>+Costs!R118*(1/undergrid!$AQ$15-1)+Costs!Y118*(1-undergrid!$AQ$12)</f>
        <v>0.22122318587491061</v>
      </c>
      <c r="K126" s="33">
        <f>SUM(Costs!AF118:AG118)</f>
        <v>0</v>
      </c>
    </row>
    <row r="127" spans="2:11" x14ac:dyDescent="0.3">
      <c r="B127" s="89">
        <f>Costs!AL119</f>
        <v>118</v>
      </c>
      <c r="C127" s="32">
        <f>Costs!AM119</f>
        <v>5.7720000000000002</v>
      </c>
      <c r="D127" s="32">
        <f>Costs!AN119</f>
        <v>-1.871999999904</v>
      </c>
      <c r="E127" s="32">
        <f>Costs!AO119</f>
        <v>3.900000000096</v>
      </c>
      <c r="F127" s="32">
        <f>Costs!AR119</f>
        <v>12.48</v>
      </c>
      <c r="G127" s="32">
        <f>Costs!AS119</f>
        <v>12.47999999936</v>
      </c>
      <c r="H127" s="32">
        <f>Costs!W119+Costs!U119+Costs!Y119</f>
        <v>0</v>
      </c>
      <c r="I127" s="32">
        <f>Costs!AB119</f>
        <v>12.47999999936</v>
      </c>
      <c r="J127" s="32">
        <f>+Costs!R119*(1/undergrid!$AQ$15-1)+Costs!Y119*(1-undergrid!$AQ$12)</f>
        <v>0</v>
      </c>
      <c r="K127" s="33">
        <f>SUM(Costs!AF119:AG119)</f>
        <v>0</v>
      </c>
    </row>
    <row r="128" spans="2:11" x14ac:dyDescent="0.3">
      <c r="B128" s="89">
        <f>Costs!AL120</f>
        <v>119</v>
      </c>
      <c r="C128" s="32">
        <f>Costs!AM120</f>
        <v>3.4997200000000004</v>
      </c>
      <c r="D128" s="32">
        <f>Costs!AN120</f>
        <v>-0.84398813655521587</v>
      </c>
      <c r="E128" s="32">
        <f>Costs!AO120</f>
        <v>2.6557318634447844</v>
      </c>
      <c r="F128" s="32">
        <f>Costs!AR120</f>
        <v>8.4396799999999974</v>
      </c>
      <c r="G128" s="32">
        <f>Costs!AS120</f>
        <v>8.4398812983521587</v>
      </c>
      <c r="H128" s="32">
        <f>Costs!W120+Costs!U120+Costs!Y120</f>
        <v>0</v>
      </c>
      <c r="I128" s="32">
        <f>Costs!AB120</f>
        <v>8.4398812983521587</v>
      </c>
      <c r="J128" s="32">
        <f>+Costs!R120*(1/undergrid!$AQ$15-1)+Costs!Y120*(1-undergrid!$AQ$12)</f>
        <v>2.0129899216087051E-4</v>
      </c>
      <c r="K128" s="33">
        <f>SUM(Costs!AF120:AG120)</f>
        <v>0</v>
      </c>
    </row>
    <row r="129" spans="2:11" x14ac:dyDescent="0.3">
      <c r="B129" s="89">
        <f>Costs!AL121</f>
        <v>120</v>
      </c>
      <c r="C129" s="32">
        <f>Costs!AM121</f>
        <v>3.0300199999999999</v>
      </c>
      <c r="D129" s="32">
        <f>Costs!AN121</f>
        <v>-0.76048813655521574</v>
      </c>
      <c r="E129" s="32">
        <f>Costs!AO121</f>
        <v>2.2695318634447843</v>
      </c>
      <c r="F129" s="32">
        <f>Costs!AR121</f>
        <v>7.6046799999999966</v>
      </c>
      <c r="G129" s="32">
        <f>Costs!AS121</f>
        <v>7.604881298352157</v>
      </c>
      <c r="H129" s="32">
        <f>Costs!W121+Costs!U121+Costs!Y121</f>
        <v>0</v>
      </c>
      <c r="I129" s="32">
        <f>Costs!AB121</f>
        <v>7.604881298352157</v>
      </c>
      <c r="J129" s="32">
        <f>+Costs!R121*(1/undergrid!$AQ$15-1)+Costs!Y121*(1-undergrid!$AQ$12)</f>
        <v>2.0129899216087051E-4</v>
      </c>
      <c r="K129" s="33">
        <f>SUM(Costs!AF121:AG121)</f>
        <v>0</v>
      </c>
    </row>
    <row r="130" spans="2:11" x14ac:dyDescent="0.3">
      <c r="B130" s="89">
        <f>Costs!AL122</f>
        <v>121</v>
      </c>
      <c r="C130" s="32">
        <f>Costs!AM122</f>
        <v>2.6504799999999999</v>
      </c>
      <c r="D130" s="32">
        <f>Costs!AN122</f>
        <v>-0.70538813655521571</v>
      </c>
      <c r="E130" s="32">
        <f>Costs!AO122</f>
        <v>1.9450918634447842</v>
      </c>
      <c r="F130" s="32">
        <f>Costs!AR122</f>
        <v>7.0536799999999964</v>
      </c>
      <c r="G130" s="32">
        <f>Costs!AS122</f>
        <v>7.0538812983521568</v>
      </c>
      <c r="H130" s="32">
        <f>Costs!W122+Costs!U122+Costs!Y122</f>
        <v>0</v>
      </c>
      <c r="I130" s="32">
        <f>Costs!AB122</f>
        <v>7.0538812983521568</v>
      </c>
      <c r="J130" s="32">
        <f>+Costs!R122*(1/undergrid!$AQ$15-1)+Costs!Y122*(1-undergrid!$AQ$12)</f>
        <v>2.0129899216087051E-4</v>
      </c>
      <c r="K130" s="33">
        <f>SUM(Costs!AF122:AG122)</f>
        <v>0</v>
      </c>
    </row>
    <row r="131" spans="2:11" x14ac:dyDescent="0.3">
      <c r="B131" s="89">
        <f>Costs!AL123</f>
        <v>122</v>
      </c>
      <c r="C131" s="32">
        <f>Costs!AM123</f>
        <v>1.3856000000000002</v>
      </c>
      <c r="D131" s="32">
        <f>Costs!AN123</f>
        <v>-0.42418813655521576</v>
      </c>
      <c r="E131" s="32">
        <f>Costs!AO123</f>
        <v>0.96141186344478435</v>
      </c>
      <c r="F131" s="32">
        <f>Costs!AR123</f>
        <v>4.241679999999997</v>
      </c>
      <c r="G131" s="32">
        <f>Costs!AS123</f>
        <v>4.2418812983521574</v>
      </c>
      <c r="H131" s="32">
        <f>Costs!W123+Costs!U123+Costs!Y123</f>
        <v>0</v>
      </c>
      <c r="I131" s="32">
        <f>Costs!AB123</f>
        <v>4.2418812983521574</v>
      </c>
      <c r="J131" s="32">
        <f>+Costs!R123*(1/undergrid!$AQ$15-1)+Costs!Y123*(1-undergrid!$AQ$12)</f>
        <v>2.0129899216087051E-4</v>
      </c>
      <c r="K131" s="33">
        <f>SUM(Costs!AF123:AG123)</f>
        <v>0</v>
      </c>
    </row>
    <row r="132" spans="2:11" x14ac:dyDescent="0.3">
      <c r="B132" s="89">
        <f>Costs!AL124</f>
        <v>123</v>
      </c>
      <c r="C132" s="32">
        <f>Costs!AM124</f>
        <v>1.52332</v>
      </c>
      <c r="D132" s="32">
        <f>Costs!AN124</f>
        <v>-2.2904002523085847</v>
      </c>
      <c r="E132" s="32">
        <f>Costs!AO124</f>
        <v>-0.76708025230858468</v>
      </c>
      <c r="F132" s="32">
        <f>Costs!AR124</f>
        <v>20.95109826421718</v>
      </c>
      <c r="G132" s="32">
        <f>Costs!AS124</f>
        <v>22.903350799155277</v>
      </c>
      <c r="H132" s="32">
        <f>Costs!W124+Costs!U124+Costs!Y124</f>
        <v>0</v>
      </c>
      <c r="I132" s="32">
        <f>Costs!AB124</f>
        <v>22.903350799155277</v>
      </c>
      <c r="J132" s="32">
        <f>+Costs!R124*(1/undergrid!$AQ$15-1)+Costs!Y124*(1-undergrid!$AQ$12)</f>
        <v>1.9522525355780975</v>
      </c>
      <c r="K132" s="33">
        <f>SUM(Costs!AF124:AG124)</f>
        <v>0</v>
      </c>
    </row>
    <row r="133" spans="2:11" x14ac:dyDescent="0.3">
      <c r="B133" s="89">
        <f>Costs!AL125</f>
        <v>124</v>
      </c>
      <c r="C133" s="32">
        <f>Costs!AM125</f>
        <v>1.1335200000000001</v>
      </c>
      <c r="D133" s="32">
        <f>Costs!AN125</f>
        <v>-2.5000769123040021</v>
      </c>
      <c r="E133" s="32">
        <f>Costs!AO125</f>
        <v>-1.366556912304002</v>
      </c>
      <c r="F133" s="32">
        <f>Costs!AR125</f>
        <v>22.696076000571519</v>
      </c>
      <c r="G133" s="32">
        <f>Costs!AS125</f>
        <v>25</v>
      </c>
      <c r="H133" s="32">
        <f>Costs!W125+Costs!U125+Costs!Y125</f>
        <v>0</v>
      </c>
      <c r="I133" s="32">
        <f>Costs!AB125</f>
        <v>25</v>
      </c>
      <c r="J133" s="32">
        <f>+Costs!R125*(1/undergrid!$AQ$15-1)+Costs!Y125*(1-undergrid!$AQ$12)</f>
        <v>2.3039240000684833</v>
      </c>
      <c r="K133" s="33">
        <f>SUM(Costs!AF125:AG125)</f>
        <v>0</v>
      </c>
    </row>
    <row r="134" spans="2:11" x14ac:dyDescent="0.3">
      <c r="B134" s="89">
        <f>Costs!AL126</f>
        <v>125</v>
      </c>
      <c r="C134" s="32">
        <f>Costs!AM126</f>
        <v>1.9911799999999999</v>
      </c>
      <c r="D134" s="32">
        <f>Costs!AN126</f>
        <v>-2.5000675215160024</v>
      </c>
      <c r="E134" s="32">
        <f>Costs!AO126</f>
        <v>-0.50888752151600247</v>
      </c>
      <c r="F134" s="32">
        <f>Costs!AR126</f>
        <v>22.977379000571517</v>
      </c>
      <c r="G134" s="32">
        <f>Costs!AS126</f>
        <v>25</v>
      </c>
      <c r="H134" s="32">
        <f>Costs!W126+Costs!U126+Costs!Y126</f>
        <v>0</v>
      </c>
      <c r="I134" s="32">
        <f>Costs!AB126</f>
        <v>25</v>
      </c>
      <c r="J134" s="32">
        <f>+Costs!R126*(1/undergrid!$AQ$15-1)+Costs!Y126*(1-undergrid!$AQ$12)</f>
        <v>2.022621000068483</v>
      </c>
      <c r="K134" s="33">
        <f>SUM(Costs!AF126:AG126)</f>
        <v>0</v>
      </c>
    </row>
    <row r="135" spans="2:11" x14ac:dyDescent="0.3">
      <c r="B135" s="89">
        <f>Costs!AL127</f>
        <v>126</v>
      </c>
      <c r="C135" s="32">
        <f>Costs!AM127</f>
        <v>1.7261600000000001</v>
      </c>
      <c r="D135" s="32">
        <f>Costs!AN127</f>
        <v>-2.5000704255520021</v>
      </c>
      <c r="E135" s="32">
        <f>Costs!AO127</f>
        <v>-0.77391042555200196</v>
      </c>
      <c r="F135" s="32">
        <f>Costs!AR127</f>
        <v>22.890388000571519</v>
      </c>
      <c r="G135" s="32">
        <f>Costs!AS127</f>
        <v>25</v>
      </c>
      <c r="H135" s="32">
        <f>Costs!W127+Costs!U127+Costs!Y127</f>
        <v>0</v>
      </c>
      <c r="I135" s="32">
        <f>Costs!AB127</f>
        <v>25</v>
      </c>
      <c r="J135" s="32">
        <f>+Costs!R127*(1/undergrid!$AQ$15-1)+Costs!Y127*(1-undergrid!$AQ$12)</f>
        <v>2.1096120000684833</v>
      </c>
      <c r="K135" s="33">
        <f>SUM(Costs!AF127:AG127)</f>
        <v>0</v>
      </c>
    </row>
    <row r="136" spans="2:11" x14ac:dyDescent="0.3">
      <c r="B136" s="89">
        <f>Costs!AL128</f>
        <v>127</v>
      </c>
      <c r="C136" s="32">
        <f>Costs!AM128</f>
        <v>1.6383800000000002</v>
      </c>
      <c r="D136" s="32">
        <f>Costs!AN128</f>
        <v>-2.2297777774933332E-5</v>
      </c>
      <c r="E136" s="32">
        <f>Costs!AO128</f>
        <v>1.6383577022222253</v>
      </c>
      <c r="F136" s="32">
        <f>Costs!AR128</f>
        <v>5.0169999999999995</v>
      </c>
      <c r="G136" s="32">
        <f>Costs!AS128</f>
        <v>5.5744444437333334</v>
      </c>
      <c r="H136" s="32">
        <f>Costs!W128+Costs!U128+Costs!Y128</f>
        <v>5.5744444437333334</v>
      </c>
      <c r="I136" s="32">
        <f>Costs!AB128</f>
        <v>0</v>
      </c>
      <c r="J136" s="32">
        <f>+Costs!R128*(1/undergrid!$AQ$15-1)+Costs!Y128*(1-undergrid!$AQ$12)</f>
        <v>0.55744444437333318</v>
      </c>
      <c r="K136" s="33">
        <f>SUM(Costs!AF128:AG128)</f>
        <v>0</v>
      </c>
    </row>
    <row r="137" spans="2:11" x14ac:dyDescent="0.3">
      <c r="B137" s="89">
        <f>Costs!AL129</f>
        <v>128</v>
      </c>
      <c r="C137" s="32">
        <f>Costs!AM129</f>
        <v>0.93730000000000002</v>
      </c>
      <c r="D137" s="32">
        <f>Costs!AN129</f>
        <v>-1.375555555311111E-5</v>
      </c>
      <c r="E137" s="32">
        <f>Costs!AO129</f>
        <v>0.93728624444444686</v>
      </c>
      <c r="F137" s="32">
        <f>Costs!AR129</f>
        <v>3.0949999999999998</v>
      </c>
      <c r="G137" s="32">
        <f>Costs!AS129</f>
        <v>3.4388888882777775</v>
      </c>
      <c r="H137" s="32">
        <f>Costs!W129+Costs!U129+Costs!Y129</f>
        <v>3.4388888882777775</v>
      </c>
      <c r="I137" s="32">
        <f>Costs!AB129</f>
        <v>0</v>
      </c>
      <c r="J137" s="32">
        <f>+Costs!R129*(1/undergrid!$AQ$15-1)+Costs!Y129*(1-undergrid!$AQ$12)</f>
        <v>0.34388888882777768</v>
      </c>
      <c r="K137" s="33">
        <f>SUM(Costs!AF129:AG129)</f>
        <v>0</v>
      </c>
    </row>
    <row r="138" spans="2:11" x14ac:dyDescent="0.3">
      <c r="B138" s="89">
        <f>Costs!AL130</f>
        <v>129</v>
      </c>
      <c r="C138" s="32">
        <f>Costs!AM130</f>
        <v>0.79159999999999997</v>
      </c>
      <c r="D138" s="32">
        <f>Costs!AN130</f>
        <v>-6.3494887484178725E-2</v>
      </c>
      <c r="E138" s="32">
        <f>Costs!AO130</f>
        <v>0.72810511251582122</v>
      </c>
      <c r="F138" s="32">
        <f>Costs!AR130</f>
        <v>2.62</v>
      </c>
      <c r="G138" s="32">
        <f>Costs!AS130</f>
        <v>2.8640850923292951</v>
      </c>
      <c r="H138" s="32">
        <f>Costs!W130+Costs!U130+Costs!Y130</f>
        <v>2.4408509317929514</v>
      </c>
      <c r="I138" s="32">
        <f>Costs!AB130</f>
        <v>0.42323416053634372</v>
      </c>
      <c r="J138" s="32">
        <f>+Costs!R130*(1/undergrid!$AQ$15-1)+Costs!Y130*(1-undergrid!$AQ$12)</f>
        <v>0.24408509317929508</v>
      </c>
      <c r="K138" s="33">
        <f>SUM(Costs!AF130:AG130)</f>
        <v>0</v>
      </c>
    </row>
    <row r="139" spans="2:11" x14ac:dyDescent="0.3">
      <c r="B139" s="89">
        <f>Costs!AL131</f>
        <v>130</v>
      </c>
      <c r="C139" s="32">
        <f>Costs!AM131</f>
        <v>1.8832800000000001</v>
      </c>
      <c r="D139" s="32">
        <f>Costs!AN131</f>
        <v>-1.0997999998919998</v>
      </c>
      <c r="E139" s="32">
        <f>Costs!AO131</f>
        <v>0.78348000010800023</v>
      </c>
      <c r="F139" s="32">
        <f>Costs!AR131</f>
        <v>7.3319999999999999</v>
      </c>
      <c r="G139" s="32">
        <f>Costs!AS131</f>
        <v>7.3319999992799998</v>
      </c>
      <c r="H139" s="32">
        <f>Costs!W131+Costs!U131+Costs!Y131</f>
        <v>0</v>
      </c>
      <c r="I139" s="32">
        <f>Costs!AB131</f>
        <v>7.3319999992799998</v>
      </c>
      <c r="J139" s="32">
        <f>+Costs!R131*(1/undergrid!$AQ$15-1)+Costs!Y131*(1-undergrid!$AQ$12)</f>
        <v>0</v>
      </c>
      <c r="K139" s="33">
        <f>SUM(Costs!AF131:AG131)</f>
        <v>0</v>
      </c>
    </row>
    <row r="140" spans="2:11" x14ac:dyDescent="0.3">
      <c r="B140" s="89">
        <f>Costs!AL132</f>
        <v>131</v>
      </c>
      <c r="C140" s="32">
        <f>Costs!AM132</f>
        <v>3.9314</v>
      </c>
      <c r="D140" s="32">
        <f>Costs!AN132</f>
        <v>-4.3604444444444441E-5</v>
      </c>
      <c r="E140" s="32">
        <f>Costs!AO132</f>
        <v>3.9313563955555555</v>
      </c>
      <c r="F140" s="32">
        <f>Costs!AR132</f>
        <v>12.55</v>
      </c>
      <c r="G140" s="32">
        <f>Costs!AS132</f>
        <v>13.391111111111112</v>
      </c>
      <c r="H140" s="32">
        <f>Costs!W132+Costs!U132+Costs!Y132</f>
        <v>13.391111111111112</v>
      </c>
      <c r="I140" s="32">
        <f>Costs!AB132</f>
        <v>0</v>
      </c>
      <c r="J140" s="32">
        <f>+Costs!R132*(1/undergrid!$AQ$15-1)+Costs!Y132*(1-undergrid!$AQ$12)</f>
        <v>0.84111111111111092</v>
      </c>
      <c r="K140" s="33">
        <f>SUM(Costs!AF132:AG132)</f>
        <v>0</v>
      </c>
    </row>
    <row r="141" spans="2:11" x14ac:dyDescent="0.3">
      <c r="B141" s="89">
        <f>Costs!AL133</f>
        <v>132</v>
      </c>
      <c r="C141" s="32">
        <f>Costs!AM133</f>
        <v>2.9415199999999997</v>
      </c>
      <c r="D141" s="32">
        <f>Costs!AN133</f>
        <v>-2.9722222222222223E-5</v>
      </c>
      <c r="E141" s="32">
        <f>Costs!AO133</f>
        <v>2.9414902777777776</v>
      </c>
      <c r="F141" s="32">
        <f>Costs!AR133</f>
        <v>9.3879999999999999</v>
      </c>
      <c r="G141" s="32">
        <f>Costs!AS133</f>
        <v>9.8855555555555554</v>
      </c>
      <c r="H141" s="32">
        <f>Costs!W133+Costs!U133+Costs!Y133</f>
        <v>9.8855555555555554</v>
      </c>
      <c r="I141" s="32">
        <f>Costs!AB133</f>
        <v>0</v>
      </c>
      <c r="J141" s="32">
        <f>+Costs!R133*(1/undergrid!$AQ$15-1)+Costs!Y133*(1-undergrid!$AQ$12)</f>
        <v>0.49755555555555542</v>
      </c>
      <c r="K141" s="33">
        <f>SUM(Costs!AF133:AG133)</f>
        <v>0</v>
      </c>
    </row>
    <row r="142" spans="2:11" x14ac:dyDescent="0.3">
      <c r="B142" s="89">
        <f>Costs!AL134</f>
        <v>133</v>
      </c>
      <c r="C142" s="32">
        <f>Costs!AM134</f>
        <v>2.10724</v>
      </c>
      <c r="D142" s="32">
        <f>Costs!AN134</f>
        <v>-1.9026687999999996E-5</v>
      </c>
      <c r="E142" s="32">
        <f>Costs!AO134</f>
        <v>2.1072209733120002</v>
      </c>
      <c r="F142" s="32">
        <f>Costs!AR134</f>
        <v>6.2876719999999997</v>
      </c>
      <c r="G142" s="32">
        <f>Costs!AS134</f>
        <v>6.47</v>
      </c>
      <c r="H142" s="32">
        <f>Costs!W134+Costs!U134+Costs!Y134</f>
        <v>6.47</v>
      </c>
      <c r="I142" s="32">
        <f>Costs!AB134</f>
        <v>0</v>
      </c>
      <c r="J142" s="32">
        <f>+Costs!R134*(1/undergrid!$AQ$15-1)+Costs!Y134*(1-undergrid!$AQ$12)</f>
        <v>0.18232800000000024</v>
      </c>
      <c r="K142" s="33">
        <f>SUM(Costs!AF134:AG134)</f>
        <v>0</v>
      </c>
    </row>
    <row r="143" spans="2:11" x14ac:dyDescent="0.3">
      <c r="B143" s="89">
        <f>Costs!AL135</f>
        <v>134</v>
      </c>
      <c r="C143" s="32">
        <f>Costs!AM135</f>
        <v>5.5755600000000003</v>
      </c>
      <c r="D143" s="32">
        <f>Costs!AN135</f>
        <v>-2.7002222222222225E-5</v>
      </c>
      <c r="E143" s="32">
        <f>Costs!AO135</f>
        <v>5.5755329977777777</v>
      </c>
      <c r="F143" s="32">
        <f>Costs!AR135</f>
        <v>12.054</v>
      </c>
      <c r="G143" s="32">
        <f>Costs!AS135</f>
        <v>12.185555555555556</v>
      </c>
      <c r="H143" s="32">
        <f>Costs!W135+Costs!U135+Costs!Y135</f>
        <v>12.185555555555556</v>
      </c>
      <c r="I143" s="32">
        <f>Costs!AB135</f>
        <v>0</v>
      </c>
      <c r="J143" s="32">
        <f>+Costs!R135*(1/undergrid!$AQ$15-1)+Costs!Y135*(1-undergrid!$AQ$12)</f>
        <v>0.13155555555555568</v>
      </c>
      <c r="K143" s="33">
        <f>SUM(Costs!AF135:AG135)</f>
        <v>0</v>
      </c>
    </row>
    <row r="144" spans="2:11" x14ac:dyDescent="0.3">
      <c r="B144" s="89">
        <f>Costs!AL136</f>
        <v>135</v>
      </c>
      <c r="C144" s="32">
        <f>Costs!AM136</f>
        <v>5.1961599999999999</v>
      </c>
      <c r="D144" s="32">
        <f>Costs!AN136</f>
        <v>-5.2879999999999995E-5</v>
      </c>
      <c r="E144" s="32">
        <f>Costs!AO136</f>
        <v>5.1961071199999997</v>
      </c>
      <c r="F144" s="32">
        <f>Costs!AR136</f>
        <v>14.384</v>
      </c>
      <c r="G144" s="32">
        <f>Costs!AS136</f>
        <v>15.48</v>
      </c>
      <c r="H144" s="32">
        <f>Costs!W136+Costs!U136+Costs!Y136</f>
        <v>15.48</v>
      </c>
      <c r="I144" s="32">
        <f>Costs!AB136</f>
        <v>0</v>
      </c>
      <c r="J144" s="32">
        <f>+Costs!R136*(1/undergrid!$AQ$15-1)+Costs!Y136*(1-undergrid!$AQ$12)</f>
        <v>1.0959999999999999</v>
      </c>
      <c r="K144" s="33">
        <f>SUM(Costs!AF136:AG136)</f>
        <v>0</v>
      </c>
    </row>
    <row r="145" spans="2:11" x14ac:dyDescent="0.3">
      <c r="B145" s="89">
        <f>Costs!AL137</f>
        <v>136</v>
      </c>
      <c r="C145" s="32">
        <f>Costs!AM137</f>
        <v>4.7804799999999998</v>
      </c>
      <c r="D145" s="32">
        <f>Costs!AN137</f>
        <v>-1.15231518</v>
      </c>
      <c r="E145" s="32">
        <f>Costs!AO137</f>
        <v>3.6281648199999998</v>
      </c>
      <c r="F145" s="32">
        <f>Costs!AR137</f>
        <v>15.272</v>
      </c>
      <c r="G145" s="32">
        <f>Costs!AS137</f>
        <v>15.272</v>
      </c>
      <c r="H145" s="32">
        <f>Costs!W137+Costs!U137+Costs!Y137</f>
        <v>7.59</v>
      </c>
      <c r="I145" s="32">
        <f>Costs!AB137</f>
        <v>7.6820000000000004</v>
      </c>
      <c r="J145" s="32">
        <f>+Costs!R137*(1/undergrid!$AQ$15-1)+Costs!Y137*(1-undergrid!$AQ$12)</f>
        <v>0</v>
      </c>
      <c r="K145" s="33">
        <f>SUM(Costs!AF137:AG137)</f>
        <v>0</v>
      </c>
    </row>
    <row r="146" spans="2:11" x14ac:dyDescent="0.3">
      <c r="B146" s="89">
        <f>Costs!AL138</f>
        <v>137</v>
      </c>
      <c r="C146" s="32">
        <f>Costs!AM138</f>
        <v>3.6344799999999999</v>
      </c>
      <c r="D146" s="32">
        <f>Costs!AN138</f>
        <v>-1.741799999907</v>
      </c>
      <c r="E146" s="32">
        <f>Costs!AO138</f>
        <v>1.892680000093</v>
      </c>
      <c r="F146" s="32">
        <f>Costs!AR138</f>
        <v>11.612</v>
      </c>
      <c r="G146" s="32">
        <f>Costs!AS138</f>
        <v>11.61199999938</v>
      </c>
      <c r="H146" s="32">
        <f>Costs!W138+Costs!U138+Costs!Y138</f>
        <v>0</v>
      </c>
      <c r="I146" s="32">
        <f>Costs!AB138</f>
        <v>11.61199999938</v>
      </c>
      <c r="J146" s="32">
        <f>+Costs!R138*(1/undergrid!$AQ$15-1)+Costs!Y138*(1-undergrid!$AQ$12)</f>
        <v>0</v>
      </c>
      <c r="K146" s="33">
        <f>SUM(Costs!AF138:AG138)</f>
        <v>0</v>
      </c>
    </row>
    <row r="147" spans="2:11" x14ac:dyDescent="0.3">
      <c r="B147" s="89">
        <f>Costs!AL139</f>
        <v>138</v>
      </c>
      <c r="C147" s="32">
        <f>Costs!AM139</f>
        <v>4.6089799999999999</v>
      </c>
      <c r="D147" s="32">
        <f>Costs!AN139</f>
        <v>-2.1070499998860002</v>
      </c>
      <c r="E147" s="32">
        <f>Costs!AO139</f>
        <v>2.5019300001139997</v>
      </c>
      <c r="F147" s="32">
        <f>Costs!AR139</f>
        <v>14.047000000000001</v>
      </c>
      <c r="G147" s="32">
        <f>Costs!AS139</f>
        <v>14.046999999240001</v>
      </c>
      <c r="H147" s="32">
        <f>Costs!W139+Costs!U139+Costs!Y139</f>
        <v>0</v>
      </c>
      <c r="I147" s="32">
        <f>Costs!AB139</f>
        <v>14.046999999240001</v>
      </c>
      <c r="J147" s="32">
        <f>+Costs!R139*(1/undergrid!$AQ$15-1)+Costs!Y139*(1-undergrid!$AQ$12)</f>
        <v>0</v>
      </c>
      <c r="K147" s="33">
        <f>SUM(Costs!AF139:AG139)</f>
        <v>0</v>
      </c>
    </row>
    <row r="148" spans="2:11" x14ac:dyDescent="0.3">
      <c r="B148" s="89">
        <f>Costs!AL140</f>
        <v>139</v>
      </c>
      <c r="C148" s="32">
        <f>Costs!AM140</f>
        <v>3.6546399999999997</v>
      </c>
      <c r="D148" s="32">
        <f>Costs!AN140</f>
        <v>-1.3853999999040001</v>
      </c>
      <c r="E148" s="32">
        <f>Costs!AO140</f>
        <v>2.2692400000959996</v>
      </c>
      <c r="F148" s="32">
        <f>Costs!AR140</f>
        <v>9.2360000000000007</v>
      </c>
      <c r="G148" s="32">
        <f>Costs!AS140</f>
        <v>9.2359999993600006</v>
      </c>
      <c r="H148" s="32">
        <f>Costs!W140+Costs!U140+Costs!Y140</f>
        <v>0</v>
      </c>
      <c r="I148" s="32">
        <f>Costs!AB140</f>
        <v>9.2359999993600006</v>
      </c>
      <c r="J148" s="32">
        <f>+Costs!R140*(1/undergrid!$AQ$15-1)+Costs!Y140*(1-undergrid!$AQ$12)</f>
        <v>0</v>
      </c>
      <c r="K148" s="33">
        <f>SUM(Costs!AF140:AG140)</f>
        <v>0</v>
      </c>
    </row>
    <row r="149" spans="2:11" x14ac:dyDescent="0.3">
      <c r="B149" s="89">
        <f>Costs!AL141</f>
        <v>140</v>
      </c>
      <c r="C149" s="32">
        <f>Costs!AM141</f>
        <v>2.64412</v>
      </c>
      <c r="D149" s="32">
        <f>Costs!AN141</f>
        <v>-1.1126999999039999</v>
      </c>
      <c r="E149" s="32">
        <f>Costs!AO141</f>
        <v>1.5314200000960001</v>
      </c>
      <c r="F149" s="32">
        <f>Costs!AR141</f>
        <v>7.4180000000000001</v>
      </c>
      <c r="G149" s="32">
        <f>Costs!AS141</f>
        <v>7.4179999993600001</v>
      </c>
      <c r="H149" s="32">
        <f>Costs!W141+Costs!U141+Costs!Y141</f>
        <v>0</v>
      </c>
      <c r="I149" s="32">
        <f>Costs!AB141</f>
        <v>7.4179999993600001</v>
      </c>
      <c r="J149" s="32">
        <f>+Costs!R141*(1/undergrid!$AQ$15-1)+Costs!Y141*(1-undergrid!$AQ$12)</f>
        <v>0</v>
      </c>
      <c r="K149" s="33">
        <f>SUM(Costs!AF141:AG141)</f>
        <v>0</v>
      </c>
    </row>
    <row r="150" spans="2:11" x14ac:dyDescent="0.3">
      <c r="B150" s="89">
        <f>Costs!AL142</f>
        <v>141</v>
      </c>
      <c r="C150" s="32">
        <f>Costs!AM142</f>
        <v>7.1776200000000001</v>
      </c>
      <c r="D150" s="32">
        <f>Costs!AN142</f>
        <v>-7.1746666663822224E-5</v>
      </c>
      <c r="E150" s="32">
        <f>Costs!AO142</f>
        <v>7.1775482533333363</v>
      </c>
      <c r="F150" s="32">
        <f>Costs!AR142</f>
        <v>16.143000000000001</v>
      </c>
      <c r="G150" s="32">
        <f>Costs!AS142</f>
        <v>17.936666665955556</v>
      </c>
      <c r="H150" s="32">
        <f>Costs!W142+Costs!U142+Costs!Y142</f>
        <v>17.936666665955556</v>
      </c>
      <c r="I150" s="32">
        <f>Costs!AB142</f>
        <v>0</v>
      </c>
      <c r="J150" s="32">
        <f>+Costs!R142*(1/undergrid!$AQ$15-1)+Costs!Y142*(1-undergrid!$AQ$12)</f>
        <v>1.7936666665955552</v>
      </c>
      <c r="K150" s="33">
        <f>SUM(Costs!AF142:AG142)</f>
        <v>0</v>
      </c>
    </row>
    <row r="151" spans="2:11" x14ac:dyDescent="0.3">
      <c r="B151" s="89">
        <f>Costs!AL143</f>
        <v>142</v>
      </c>
      <c r="C151" s="32">
        <f>Costs!AM143</f>
        <v>6.8251800000000005</v>
      </c>
      <c r="D151" s="32">
        <f>Costs!AN143</f>
        <v>-6.5586666663822228E-5</v>
      </c>
      <c r="E151" s="32">
        <f>Costs!AO143</f>
        <v>6.8251144133333366</v>
      </c>
      <c r="F151" s="32">
        <f>Costs!AR143</f>
        <v>14.757000000000001</v>
      </c>
      <c r="G151" s="32">
        <f>Costs!AS143</f>
        <v>16.396666665955557</v>
      </c>
      <c r="H151" s="32">
        <f>Costs!W143+Costs!U143+Costs!Y143</f>
        <v>16.396666665955557</v>
      </c>
      <c r="I151" s="32">
        <f>Costs!AB143</f>
        <v>0</v>
      </c>
      <c r="J151" s="32">
        <f>+Costs!R143*(1/undergrid!$AQ$15-1)+Costs!Y143*(1-undergrid!$AQ$12)</f>
        <v>1.6396666665955553</v>
      </c>
      <c r="K151" s="33">
        <f>SUM(Costs!AF143:AG143)</f>
        <v>0</v>
      </c>
    </row>
    <row r="152" spans="2:11" x14ac:dyDescent="0.3">
      <c r="B152" s="89">
        <f>Costs!AL144</f>
        <v>143</v>
      </c>
      <c r="C152" s="32">
        <f>Costs!AM144</f>
        <v>4.0314399999999999</v>
      </c>
      <c r="D152" s="32">
        <f>Costs!AN144</f>
        <v>-0.97178813655521579</v>
      </c>
      <c r="E152" s="32">
        <f>Costs!AO144</f>
        <v>3.0596518634447842</v>
      </c>
      <c r="F152" s="32">
        <f>Costs!AR144</f>
        <v>9.7176799999999961</v>
      </c>
      <c r="G152" s="32">
        <f>Costs!AS144</f>
        <v>9.7178812983521574</v>
      </c>
      <c r="H152" s="32">
        <f>Costs!W144+Costs!U144+Costs!Y144</f>
        <v>0</v>
      </c>
      <c r="I152" s="32">
        <f>Costs!AB144</f>
        <v>9.7178812983521574</v>
      </c>
      <c r="J152" s="32">
        <f>+Costs!R144*(1/undergrid!$AQ$15-1)+Costs!Y144*(1-undergrid!$AQ$12)</f>
        <v>2.0129899216087051E-4</v>
      </c>
      <c r="K152" s="33">
        <f>SUM(Costs!AF144:AG144)</f>
        <v>0</v>
      </c>
    </row>
    <row r="153" spans="2:11" x14ac:dyDescent="0.3">
      <c r="B153" s="89">
        <f>Costs!AL145</f>
        <v>144</v>
      </c>
      <c r="C153" s="32">
        <f>Costs!AM145</f>
        <v>2.6078800000000002</v>
      </c>
      <c r="D153" s="32">
        <f>Costs!AN145</f>
        <v>-0.65438813655521577</v>
      </c>
      <c r="E153" s="32">
        <f>Costs!AO145</f>
        <v>1.9534918634447844</v>
      </c>
      <c r="F153" s="32">
        <f>Costs!AR145</f>
        <v>6.5436799999999966</v>
      </c>
      <c r="G153" s="32">
        <f>Costs!AS145</f>
        <v>6.543881298352157</v>
      </c>
      <c r="H153" s="32">
        <f>Costs!W145+Costs!U145+Costs!Y145</f>
        <v>0</v>
      </c>
      <c r="I153" s="32">
        <f>Costs!AB145</f>
        <v>6.543881298352157</v>
      </c>
      <c r="J153" s="32">
        <f>+Costs!R145*(1/undergrid!$AQ$15-1)+Costs!Y145*(1-undergrid!$AQ$12)</f>
        <v>2.0129899216087051E-4</v>
      </c>
      <c r="K153" s="33">
        <f>SUM(Costs!AF145:AG145)</f>
        <v>0</v>
      </c>
    </row>
    <row r="154" spans="2:11" x14ac:dyDescent="0.3">
      <c r="B154" s="89">
        <f>Costs!AL146</f>
        <v>145</v>
      </c>
      <c r="C154" s="32">
        <f>Costs!AM146</f>
        <v>1.6633599999999999</v>
      </c>
      <c r="D154" s="32">
        <f>Costs!AN146</f>
        <v>-0.44258813655521567</v>
      </c>
      <c r="E154" s="32">
        <f>Costs!AO146</f>
        <v>1.2207718634447842</v>
      </c>
      <c r="F154" s="32">
        <f>Costs!AR146</f>
        <v>4.4256799999999963</v>
      </c>
      <c r="G154" s="32">
        <f>Costs!AS146</f>
        <v>4.4258812983521567</v>
      </c>
      <c r="H154" s="32">
        <f>Costs!W146+Costs!U146+Costs!Y146</f>
        <v>0</v>
      </c>
      <c r="I154" s="32">
        <f>Costs!AB146</f>
        <v>4.4258812983521567</v>
      </c>
      <c r="J154" s="32">
        <f>+Costs!R146*(1/undergrid!$AQ$15-1)+Costs!Y146*(1-undergrid!$AQ$12)</f>
        <v>2.0129899216087051E-4</v>
      </c>
      <c r="K154" s="33">
        <f>SUM(Costs!AF146:AG146)</f>
        <v>0</v>
      </c>
    </row>
    <row r="155" spans="2:11" x14ac:dyDescent="0.3">
      <c r="B155" s="89">
        <f>Costs!AL147</f>
        <v>146</v>
      </c>
      <c r="C155" s="32">
        <f>Costs!AM147</f>
        <v>1.19696</v>
      </c>
      <c r="D155" s="32">
        <f>Costs!AN147</f>
        <v>-0.36658813655521577</v>
      </c>
      <c r="E155" s="32">
        <f>Costs!AO147</f>
        <v>0.83037186344478431</v>
      </c>
      <c r="F155" s="32">
        <f>Costs!AR147</f>
        <v>3.6656799999999965</v>
      </c>
      <c r="G155" s="32">
        <f>Costs!AS147</f>
        <v>3.6658812983521574</v>
      </c>
      <c r="H155" s="32">
        <f>Costs!W147+Costs!U147+Costs!Y147</f>
        <v>0</v>
      </c>
      <c r="I155" s="32">
        <f>Costs!AB147</f>
        <v>3.6658812983521574</v>
      </c>
      <c r="J155" s="32">
        <f>+Costs!R147*(1/undergrid!$AQ$15-1)+Costs!Y147*(1-undergrid!$AQ$12)</f>
        <v>2.0129899216087051E-4</v>
      </c>
      <c r="K155" s="33">
        <f>SUM(Costs!AF147:AG147)</f>
        <v>0</v>
      </c>
    </row>
    <row r="156" spans="2:11" x14ac:dyDescent="0.3">
      <c r="B156" s="89">
        <f>Costs!AL148</f>
        <v>147</v>
      </c>
      <c r="C156" s="32">
        <f>Costs!AM148</f>
        <v>1.6752400000000001</v>
      </c>
      <c r="D156" s="32">
        <f>Costs!AN148</f>
        <v>-1.9444437328194926</v>
      </c>
      <c r="E156" s="32">
        <f>Costs!AO148</f>
        <v>-0.2692037328194925</v>
      </c>
      <c r="F156" s="32">
        <f>Costs!AR148</f>
        <v>17.911907822022187</v>
      </c>
      <c r="G156" s="32">
        <f>Costs!AS148</f>
        <v>19.443925891882046</v>
      </c>
      <c r="H156" s="32">
        <f>Costs!W148+Costs!U148+Costs!Y148</f>
        <v>0</v>
      </c>
      <c r="I156" s="32">
        <f>Costs!AB148</f>
        <v>19.443925891882046</v>
      </c>
      <c r="J156" s="32">
        <f>+Costs!R148*(1/undergrid!$AQ$15-1)+Costs!Y148*(1-undergrid!$AQ$12)</f>
        <v>1.5320180704998609</v>
      </c>
      <c r="K156" s="33">
        <f>SUM(Costs!AF148:AG148)</f>
        <v>0</v>
      </c>
    </row>
    <row r="157" spans="2:11" x14ac:dyDescent="0.3">
      <c r="B157" s="89">
        <f>Costs!AL149</f>
        <v>148</v>
      </c>
      <c r="C157" s="32">
        <f>Costs!AM149</f>
        <v>1.0457399999999999</v>
      </c>
      <c r="D157" s="32">
        <f>Costs!AN149</f>
        <v>-2.5000778660280023</v>
      </c>
      <c r="E157" s="32">
        <f>Costs!AO149</f>
        <v>-1.4543378660280024</v>
      </c>
      <c r="F157" s="32">
        <f>Costs!AR149</f>
        <v>22.667507000571522</v>
      </c>
      <c r="G157" s="32">
        <f>Costs!AS149</f>
        <v>25</v>
      </c>
      <c r="H157" s="32">
        <f>Costs!W149+Costs!U149+Costs!Y149</f>
        <v>0</v>
      </c>
      <c r="I157" s="32">
        <f>Costs!AB149</f>
        <v>25</v>
      </c>
      <c r="J157" s="32">
        <f>+Costs!R149*(1/undergrid!$AQ$15-1)+Costs!Y149*(1-undergrid!$AQ$12)</f>
        <v>2.3324930000684838</v>
      </c>
      <c r="K157" s="33">
        <f>SUM(Costs!AF149:AG149)</f>
        <v>0</v>
      </c>
    </row>
    <row r="158" spans="2:11" x14ac:dyDescent="0.3">
      <c r="B158" s="89">
        <f>Costs!AL150</f>
        <v>149</v>
      </c>
      <c r="C158" s="32">
        <f>Costs!AM150</f>
        <v>1.2367600000000001</v>
      </c>
      <c r="D158" s="32">
        <f>Costs!AN150</f>
        <v>-2.5000757478320024</v>
      </c>
      <c r="E158" s="32">
        <f>Costs!AO150</f>
        <v>-1.2633157478320023</v>
      </c>
      <c r="F158" s="32">
        <f>Costs!AR150</f>
        <v>22.730958000571519</v>
      </c>
      <c r="G158" s="32">
        <f>Costs!AS150</f>
        <v>25</v>
      </c>
      <c r="H158" s="32">
        <f>Costs!W150+Costs!U150+Costs!Y150</f>
        <v>0</v>
      </c>
      <c r="I158" s="32">
        <f>Costs!AB150</f>
        <v>25</v>
      </c>
      <c r="J158" s="32">
        <f>+Costs!R150*(1/undergrid!$AQ$15-1)+Costs!Y150*(1-undergrid!$AQ$12)</f>
        <v>2.2690420000684832</v>
      </c>
      <c r="K158" s="33">
        <f>SUM(Costs!AF150:AG150)</f>
        <v>0</v>
      </c>
    </row>
    <row r="159" spans="2:11" x14ac:dyDescent="0.3">
      <c r="B159" s="89">
        <f>Costs!AL151</f>
        <v>150</v>
      </c>
      <c r="C159" s="32">
        <f>Costs!AM151</f>
        <v>1.2841800000000001</v>
      </c>
      <c r="D159" s="32">
        <f>Costs!AN151</f>
        <v>-2.5000752727560025</v>
      </c>
      <c r="E159" s="32">
        <f>Costs!AO151</f>
        <v>-1.2158952727560024</v>
      </c>
      <c r="F159" s="32">
        <f>Costs!AR151</f>
        <v>22.745189000571521</v>
      </c>
      <c r="G159" s="32">
        <f>Costs!AS151</f>
        <v>25</v>
      </c>
      <c r="H159" s="32">
        <f>Costs!W151+Costs!U151+Costs!Y151</f>
        <v>0</v>
      </c>
      <c r="I159" s="32">
        <f>Costs!AB151</f>
        <v>25</v>
      </c>
      <c r="J159" s="32">
        <f>+Costs!R151*(1/undergrid!$AQ$15-1)+Costs!Y151*(1-undergrid!$AQ$12)</f>
        <v>2.2548110000684836</v>
      </c>
      <c r="K159" s="33">
        <f>SUM(Costs!AF151:AG151)</f>
        <v>0</v>
      </c>
    </row>
    <row r="160" spans="2:11" x14ac:dyDescent="0.3">
      <c r="B160" s="89">
        <f>Costs!AL152</f>
        <v>151</v>
      </c>
      <c r="C160" s="32">
        <f>Costs!AM152</f>
        <v>0.83191999999999999</v>
      </c>
      <c r="D160" s="32">
        <f>Costs!AN152</f>
        <v>-1.13244444416E-5</v>
      </c>
      <c r="E160" s="32">
        <f>Costs!AO152</f>
        <v>0.83190867555555836</v>
      </c>
      <c r="F160" s="32">
        <f>Costs!AR152</f>
        <v>2.548</v>
      </c>
      <c r="G160" s="32">
        <f>Costs!AS152</f>
        <v>2.8311111104000002</v>
      </c>
      <c r="H160" s="32">
        <f>Costs!W152+Costs!U152+Costs!Y152</f>
        <v>2.8311111104000002</v>
      </c>
      <c r="I160" s="32">
        <f>Costs!AB152</f>
        <v>0</v>
      </c>
      <c r="J160" s="32">
        <f>+Costs!R152*(1/undergrid!$AQ$15-1)+Costs!Y152*(1-undergrid!$AQ$12)</f>
        <v>0.28311111103999997</v>
      </c>
      <c r="K160" s="33">
        <f>SUM(Costs!AF152:AG152)</f>
        <v>0</v>
      </c>
    </row>
    <row r="161" spans="2:11" x14ac:dyDescent="0.3">
      <c r="B161" s="89">
        <f>Costs!AL153</f>
        <v>152</v>
      </c>
      <c r="C161" s="32">
        <f>Costs!AM153</f>
        <v>0.71101999999999999</v>
      </c>
      <c r="D161" s="32">
        <f>Costs!AN153</f>
        <v>-1.0457777775466665E-5</v>
      </c>
      <c r="E161" s="32">
        <f>Costs!AO153</f>
        <v>0.71100954222222457</v>
      </c>
      <c r="F161" s="32">
        <f>Costs!AR153</f>
        <v>2.3529999999999998</v>
      </c>
      <c r="G161" s="32">
        <f>Costs!AS153</f>
        <v>2.6144444438666663</v>
      </c>
      <c r="H161" s="32">
        <f>Costs!W153+Costs!U153+Costs!Y153</f>
        <v>2.6144444438666663</v>
      </c>
      <c r="I161" s="32">
        <f>Costs!AB153</f>
        <v>0</v>
      </c>
      <c r="J161" s="32">
        <f>+Costs!R153*(1/undergrid!$AQ$15-1)+Costs!Y153*(1-undergrid!$AQ$12)</f>
        <v>0.26144444438666659</v>
      </c>
      <c r="K161" s="33">
        <f>SUM(Costs!AF153:AG153)</f>
        <v>0</v>
      </c>
    </row>
    <row r="162" spans="2:11" x14ac:dyDescent="0.3">
      <c r="B162" s="89">
        <f>Costs!AL154</f>
        <v>153</v>
      </c>
      <c r="C162" s="32">
        <f>Costs!AM154</f>
        <v>0.84672000000000003</v>
      </c>
      <c r="D162" s="32">
        <f>Costs!AN154</f>
        <v>-1.2479999996977777E-5</v>
      </c>
      <c r="E162" s="32">
        <f>Costs!AO154</f>
        <v>0.84670752000000304</v>
      </c>
      <c r="F162" s="32">
        <f>Costs!AR154</f>
        <v>2.8079999999999998</v>
      </c>
      <c r="G162" s="32">
        <f>Costs!AS154</f>
        <v>3.1199999992444445</v>
      </c>
      <c r="H162" s="32">
        <f>Costs!W154+Costs!U154+Costs!Y154</f>
        <v>3.1199999992444445</v>
      </c>
      <c r="I162" s="32">
        <f>Costs!AB154</f>
        <v>0</v>
      </c>
      <c r="J162" s="32">
        <f>+Costs!R154*(1/undergrid!$AQ$15-1)+Costs!Y154*(1-undergrid!$AQ$12)</f>
        <v>0.31199999992444438</v>
      </c>
      <c r="K162" s="33">
        <f>SUM(Costs!AF154:AG154)</f>
        <v>0</v>
      </c>
    </row>
    <row r="163" spans="2:11" x14ac:dyDescent="0.3">
      <c r="B163" s="89">
        <f>Costs!AL155</f>
        <v>154</v>
      </c>
      <c r="C163" s="32">
        <f>Costs!AM155</f>
        <v>2.1211899999999999</v>
      </c>
      <c r="D163" s="32">
        <f>Costs!AN155</f>
        <v>-1.8559999999999998E-5</v>
      </c>
      <c r="E163" s="32">
        <f>Costs!AO155</f>
        <v>2.1211714399999999</v>
      </c>
      <c r="F163" s="32">
        <f>Costs!AR155</f>
        <v>9.2799999999999994</v>
      </c>
      <c r="G163" s="32">
        <f>Costs!AS155</f>
        <v>9.2799999999999994</v>
      </c>
      <c r="H163" s="32">
        <f>Costs!W155+Costs!U155+Costs!Y155</f>
        <v>9.2799999999999994</v>
      </c>
      <c r="I163" s="32">
        <f>Costs!AB155</f>
        <v>0</v>
      </c>
      <c r="J163" s="32">
        <f>+Costs!R155*(1/undergrid!$AQ$15-1)+Costs!Y155*(1-undergrid!$AQ$12)</f>
        <v>0</v>
      </c>
      <c r="K163" s="33">
        <f>SUM(Costs!AF155:AG155)</f>
        <v>0</v>
      </c>
    </row>
    <row r="164" spans="2:11" x14ac:dyDescent="0.3">
      <c r="B164" s="89">
        <f>Costs!AL156</f>
        <v>155</v>
      </c>
      <c r="C164" s="32">
        <f>Costs!AM156</f>
        <v>4.4024200000000002</v>
      </c>
      <c r="D164" s="32">
        <f>Costs!AN156</f>
        <v>-3.3486666666666666E-5</v>
      </c>
      <c r="E164" s="32">
        <f>Costs!AO156</f>
        <v>4.402386513333334</v>
      </c>
      <c r="F164" s="32">
        <f>Costs!AR156</f>
        <v>14.062999999999999</v>
      </c>
      <c r="G164" s="32">
        <f>Costs!AS156</f>
        <v>14.306666666666667</v>
      </c>
      <c r="H164" s="32">
        <f>Costs!W156+Costs!U156+Costs!Y156</f>
        <v>14.306666666666667</v>
      </c>
      <c r="I164" s="32">
        <f>Costs!AB156</f>
        <v>0</v>
      </c>
      <c r="J164" s="32">
        <f>+Costs!R156*(1/undergrid!$AQ$15-1)+Costs!Y156*(1-undergrid!$AQ$12)</f>
        <v>0.2436666666666667</v>
      </c>
      <c r="K164" s="33">
        <f>SUM(Costs!AF156:AG156)</f>
        <v>0</v>
      </c>
    </row>
    <row r="165" spans="2:11" x14ac:dyDescent="0.3">
      <c r="B165" s="89">
        <f>Costs!AL157</f>
        <v>156</v>
      </c>
      <c r="C165" s="32">
        <f>Costs!AM157</f>
        <v>2.7084600000000001</v>
      </c>
      <c r="D165" s="32">
        <f>Costs!AN157</f>
        <v>-1.9788888888888894E-5</v>
      </c>
      <c r="E165" s="32">
        <f>Costs!AO157</f>
        <v>2.7084402111111112</v>
      </c>
      <c r="F165" s="32">
        <f>Costs!AR157</f>
        <v>8.6490000000000009</v>
      </c>
      <c r="G165" s="32">
        <f>Costs!AS157</f>
        <v>8.7622222222222241</v>
      </c>
      <c r="H165" s="32">
        <f>Costs!W157+Costs!U157+Costs!Y157</f>
        <v>8.7622222222222241</v>
      </c>
      <c r="I165" s="32">
        <f>Costs!AB157</f>
        <v>0</v>
      </c>
      <c r="J165" s="32">
        <f>+Costs!R157*(1/undergrid!$AQ$15-1)+Costs!Y157*(1-undergrid!$AQ$12)</f>
        <v>0.11322222222222231</v>
      </c>
      <c r="K165" s="33">
        <f>SUM(Costs!AF157:AG157)</f>
        <v>0</v>
      </c>
    </row>
    <row r="166" spans="2:11" x14ac:dyDescent="0.3">
      <c r="B166" s="89">
        <f>Costs!AL158</f>
        <v>157</v>
      </c>
      <c r="C166" s="32">
        <f>Costs!AM158</f>
        <v>1.9836500000000001</v>
      </c>
      <c r="D166" s="32">
        <f>Costs!AN158</f>
        <v>-1.8960000000000001E-5</v>
      </c>
      <c r="E166" s="32">
        <f>Costs!AO158</f>
        <v>1.9836310400000001</v>
      </c>
      <c r="F166" s="32">
        <f>Costs!AR158</f>
        <v>9.48</v>
      </c>
      <c r="G166" s="32">
        <f>Costs!AS158</f>
        <v>9.48</v>
      </c>
      <c r="H166" s="32">
        <f>Costs!W158+Costs!U158+Costs!Y158</f>
        <v>9.48</v>
      </c>
      <c r="I166" s="32">
        <f>Costs!AB158</f>
        <v>0</v>
      </c>
      <c r="J166" s="32">
        <f>+Costs!R158*(1/undergrid!$AQ$15-1)+Costs!Y158*(1-undergrid!$AQ$12)</f>
        <v>0</v>
      </c>
      <c r="K166" s="33">
        <f>SUM(Costs!AF158:AG158)</f>
        <v>0</v>
      </c>
    </row>
    <row r="167" spans="2:11" x14ac:dyDescent="0.3">
      <c r="B167" s="89">
        <f>Costs!AL159</f>
        <v>158</v>
      </c>
      <c r="C167" s="32">
        <f>Costs!AM159</f>
        <v>3.2524799999999998</v>
      </c>
      <c r="D167" s="32">
        <f>Costs!AN159</f>
        <v>-1.580444444444444E-5</v>
      </c>
      <c r="E167" s="32">
        <f>Costs!AO159</f>
        <v>3.2524641955555555</v>
      </c>
      <c r="F167" s="32">
        <f>Costs!AR159</f>
        <v>7.032</v>
      </c>
      <c r="G167" s="32">
        <f>Costs!AS159</f>
        <v>7.1111111111111107</v>
      </c>
      <c r="H167" s="32">
        <f>Costs!W159+Costs!U159+Costs!Y159</f>
        <v>7.1111111111111107</v>
      </c>
      <c r="I167" s="32">
        <f>Costs!AB159</f>
        <v>0</v>
      </c>
      <c r="J167" s="32">
        <f>+Costs!R159*(1/undergrid!$AQ$15-1)+Costs!Y159*(1-undergrid!$AQ$12)</f>
        <v>7.9111111111111021E-2</v>
      </c>
      <c r="K167" s="33">
        <f>SUM(Costs!AF159:AG159)</f>
        <v>0</v>
      </c>
    </row>
    <row r="168" spans="2:11" x14ac:dyDescent="0.3">
      <c r="B168" s="89">
        <f>Costs!AL160</f>
        <v>159</v>
      </c>
      <c r="C168" s="32">
        <f>Costs!AM160</f>
        <v>4.4447200000000002</v>
      </c>
      <c r="D168" s="32">
        <f>Costs!AN160</f>
        <v>-3.4242222222222227E-5</v>
      </c>
      <c r="E168" s="32">
        <f>Costs!AO160</f>
        <v>4.4446857577777781</v>
      </c>
      <c r="F168" s="32">
        <f>Costs!AR160</f>
        <v>12.308</v>
      </c>
      <c r="G168" s="32">
        <f>Costs!AS160</f>
        <v>12.745555555555557</v>
      </c>
      <c r="H168" s="32">
        <f>Costs!W160+Costs!U160+Costs!Y160</f>
        <v>12.745555555555557</v>
      </c>
      <c r="I168" s="32">
        <f>Costs!AB160</f>
        <v>0</v>
      </c>
      <c r="J168" s="32">
        <f>+Costs!R160*(1/undergrid!$AQ$15-1)+Costs!Y160*(1-undergrid!$AQ$12)</f>
        <v>0.43755555555555564</v>
      </c>
      <c r="K168" s="33">
        <f>SUM(Costs!AF160:AG160)</f>
        <v>0</v>
      </c>
    </row>
    <row r="169" spans="2:11" x14ac:dyDescent="0.3">
      <c r="B169" s="89">
        <f>Costs!AL161</f>
        <v>160</v>
      </c>
      <c r="C169" s="32">
        <f>Costs!AM161</f>
        <v>2.8672399999999998</v>
      </c>
      <c r="D169" s="32">
        <f>Costs!AN161</f>
        <v>-2.0559999999999996E-5</v>
      </c>
      <c r="E169" s="32">
        <f>Costs!AO161</f>
        <v>2.86721944</v>
      </c>
      <c r="F169" s="32">
        <f>Costs!AR161</f>
        <v>10.28</v>
      </c>
      <c r="G169" s="32">
        <f>Costs!AS161</f>
        <v>10.28</v>
      </c>
      <c r="H169" s="32">
        <f>Costs!W161+Costs!U161+Costs!Y161</f>
        <v>10.28</v>
      </c>
      <c r="I169" s="32">
        <f>Costs!AB161</f>
        <v>0</v>
      </c>
      <c r="J169" s="32">
        <f>+Costs!R161*(1/undergrid!$AQ$15-1)+Costs!Y161*(1-undergrid!$AQ$12)</f>
        <v>0</v>
      </c>
      <c r="K169" s="33">
        <f>SUM(Costs!AF161:AG161)</f>
        <v>0</v>
      </c>
    </row>
    <row r="170" spans="2:11" x14ac:dyDescent="0.3">
      <c r="B170" s="89">
        <f>Costs!AL162</f>
        <v>161</v>
      </c>
      <c r="C170" s="32">
        <f>Costs!AM162</f>
        <v>4.3506599999999995</v>
      </c>
      <c r="D170" s="32">
        <f>Costs!AN162</f>
        <v>-4.8059999999999997E-5</v>
      </c>
      <c r="E170" s="32">
        <f>Costs!AO162</f>
        <v>4.3506119399999994</v>
      </c>
      <c r="F170" s="32">
        <f>Costs!AR162</f>
        <v>13.899000000000001</v>
      </c>
      <c r="G170" s="32">
        <f>Costs!AS162</f>
        <v>14.82</v>
      </c>
      <c r="H170" s="32">
        <f>Costs!W162+Costs!U162+Costs!Y162</f>
        <v>14.82</v>
      </c>
      <c r="I170" s="32">
        <f>Costs!AB162</f>
        <v>0</v>
      </c>
      <c r="J170" s="32">
        <f>+Costs!R162*(1/undergrid!$AQ$15-1)+Costs!Y162*(1-undergrid!$AQ$12)</f>
        <v>0.92099999999999993</v>
      </c>
      <c r="K170" s="33">
        <f>SUM(Costs!AF162:AG162)</f>
        <v>0</v>
      </c>
    </row>
    <row r="171" spans="2:11" x14ac:dyDescent="0.3">
      <c r="B171" s="89">
        <f>Costs!AL163</f>
        <v>162</v>
      </c>
      <c r="C171" s="32">
        <f>Costs!AM163</f>
        <v>3.2274399999999996</v>
      </c>
      <c r="D171" s="32">
        <f>Costs!AN163</f>
        <v>-0.73317106684619548</v>
      </c>
      <c r="E171" s="32">
        <f>Costs!AO163</f>
        <v>2.4942689331538039</v>
      </c>
      <c r="F171" s="32">
        <f>Costs!AR163</f>
        <v>9.8359999999999985</v>
      </c>
      <c r="G171" s="32">
        <f>Costs!AS163</f>
        <v>10.385815499873202</v>
      </c>
      <c r="H171" s="32">
        <f>Costs!W163+Costs!U163+Costs!Y163</f>
        <v>5.4981550050320322</v>
      </c>
      <c r="I171" s="32">
        <f>Costs!AB163</f>
        <v>4.8876604948411693</v>
      </c>
      <c r="J171" s="32">
        <f>+Costs!R163*(1/undergrid!$AQ$15-1)+Costs!Y163*(1-undergrid!$AQ$12)</f>
        <v>0.54981550050320316</v>
      </c>
      <c r="K171" s="33">
        <f>SUM(Costs!AF163:AG163)</f>
        <v>0</v>
      </c>
    </row>
    <row r="172" spans="2:11" x14ac:dyDescent="0.3">
      <c r="B172" s="89">
        <f>Costs!AL164</f>
        <v>163</v>
      </c>
      <c r="C172" s="32">
        <f>Costs!AM164</f>
        <v>2.86442</v>
      </c>
      <c r="D172" s="32">
        <f>Costs!AN164</f>
        <v>-3.2191111108133332E-5</v>
      </c>
      <c r="E172" s="32">
        <f>Costs!AO164</f>
        <v>2.8643878088888917</v>
      </c>
      <c r="F172" s="32">
        <f>Costs!AR164</f>
        <v>7.2430000000000003</v>
      </c>
      <c r="G172" s="32">
        <f>Costs!AS164</f>
        <v>8.0477777770333336</v>
      </c>
      <c r="H172" s="32">
        <f>Costs!W164+Costs!U164+Costs!Y164</f>
        <v>8.0477777770333336</v>
      </c>
      <c r="I172" s="32">
        <f>Costs!AB164</f>
        <v>0</v>
      </c>
      <c r="J172" s="32">
        <f>+Costs!R164*(1/undergrid!$AQ$15-1)+Costs!Y164*(1-undergrid!$AQ$12)</f>
        <v>0.80477777770333314</v>
      </c>
      <c r="K172" s="33">
        <f>SUM(Costs!AF164:AG164)</f>
        <v>0</v>
      </c>
    </row>
    <row r="173" spans="2:11" x14ac:dyDescent="0.3">
      <c r="B173" s="89">
        <f>Costs!AL165</f>
        <v>164</v>
      </c>
      <c r="C173" s="32">
        <f>Costs!AM165</f>
        <v>2.1935600000000002</v>
      </c>
      <c r="D173" s="32">
        <f>Costs!AN165</f>
        <v>-2.7351111108266667E-5</v>
      </c>
      <c r="E173" s="32">
        <f>Costs!AO165</f>
        <v>2.1935326488888918</v>
      </c>
      <c r="F173" s="32">
        <f>Costs!AR165</f>
        <v>6.1539999999999999</v>
      </c>
      <c r="G173" s="32">
        <f>Costs!AS165</f>
        <v>6.837777777066667</v>
      </c>
      <c r="H173" s="32">
        <f>Costs!W165+Costs!U165+Costs!Y165</f>
        <v>6.837777777066667</v>
      </c>
      <c r="I173" s="32">
        <f>Costs!AB165</f>
        <v>0</v>
      </c>
      <c r="J173" s="32">
        <f>+Costs!R165*(1/undergrid!$AQ$15-1)+Costs!Y165*(1-undergrid!$AQ$12)</f>
        <v>0.68377777770666659</v>
      </c>
      <c r="K173" s="33">
        <f>SUM(Costs!AF165:AG165)</f>
        <v>0</v>
      </c>
    </row>
    <row r="174" spans="2:11" x14ac:dyDescent="0.3">
      <c r="B174" s="89">
        <f>Costs!AL166</f>
        <v>165</v>
      </c>
      <c r="C174" s="32">
        <f>Costs!AM166</f>
        <v>7.0514599999999996</v>
      </c>
      <c r="D174" s="32">
        <f>Costs!AN166</f>
        <v>-7.0484444441600003E-5</v>
      </c>
      <c r="E174" s="32">
        <f>Costs!AO166</f>
        <v>7.0513895155555577</v>
      </c>
      <c r="F174" s="32">
        <f>Costs!AR166</f>
        <v>15.859</v>
      </c>
      <c r="G174" s="32">
        <f>Costs!AS166</f>
        <v>17.621111110400001</v>
      </c>
      <c r="H174" s="32">
        <f>Costs!W166+Costs!U166+Costs!Y166</f>
        <v>17.621111110400001</v>
      </c>
      <c r="I174" s="32">
        <f>Costs!AB166</f>
        <v>0</v>
      </c>
      <c r="J174" s="32">
        <f>+Costs!R166*(1/undergrid!$AQ$15-1)+Costs!Y166*(1-undergrid!$AQ$12)</f>
        <v>1.7621111110399996</v>
      </c>
      <c r="K174" s="33">
        <f>SUM(Costs!AF166:AG166)</f>
        <v>0</v>
      </c>
    </row>
    <row r="175" spans="2:11" x14ac:dyDescent="0.3">
      <c r="B175" s="89">
        <f>Costs!AL167</f>
        <v>166</v>
      </c>
      <c r="C175" s="32">
        <f>Costs!AM167</f>
        <v>2.2509800000000002</v>
      </c>
      <c r="D175" s="32">
        <f>Costs!AN167</f>
        <v>-2.1631111108266664E-5</v>
      </c>
      <c r="E175" s="32">
        <f>Costs!AO167</f>
        <v>2.2509583688888921</v>
      </c>
      <c r="F175" s="32">
        <f>Costs!AR167</f>
        <v>4.867</v>
      </c>
      <c r="G175" s="32">
        <f>Costs!AS167</f>
        <v>5.4077777770666664</v>
      </c>
      <c r="H175" s="32">
        <f>Costs!W167+Costs!U167+Costs!Y167</f>
        <v>5.4077777770666664</v>
      </c>
      <c r="I175" s="32">
        <f>Costs!AB167</f>
        <v>0</v>
      </c>
      <c r="J175" s="32">
        <f>+Costs!R167*(1/undergrid!$AQ$15-1)+Costs!Y167*(1-undergrid!$AQ$12)</f>
        <v>0.54077777770666657</v>
      </c>
      <c r="K175" s="33">
        <f>SUM(Costs!AF167:AG167)</f>
        <v>0</v>
      </c>
    </row>
    <row r="176" spans="2:11" x14ac:dyDescent="0.3">
      <c r="B176" s="89">
        <f>Costs!AL168</f>
        <v>167</v>
      </c>
      <c r="C176" s="32">
        <f>Costs!AM168</f>
        <v>2.8037200000000002</v>
      </c>
      <c r="D176" s="32">
        <f>Costs!AN168</f>
        <v>-0.67598813655521572</v>
      </c>
      <c r="E176" s="32">
        <f>Costs!AO168</f>
        <v>2.1277318634447844</v>
      </c>
      <c r="F176" s="32">
        <f>Costs!AR168</f>
        <v>6.7596799999999968</v>
      </c>
      <c r="G176" s="32">
        <f>Costs!AS168</f>
        <v>6.7598812983521572</v>
      </c>
      <c r="H176" s="32">
        <f>Costs!W168+Costs!U168+Costs!Y168</f>
        <v>0</v>
      </c>
      <c r="I176" s="32">
        <f>Costs!AB168</f>
        <v>6.7598812983521572</v>
      </c>
      <c r="J176" s="32">
        <f>+Costs!R168*(1/undergrid!$AQ$15-1)+Costs!Y168*(1-undergrid!$AQ$12)</f>
        <v>2.0129899216087051E-4</v>
      </c>
      <c r="K176" s="33">
        <f>SUM(Costs!AF168:AG168)</f>
        <v>0</v>
      </c>
    </row>
    <row r="177" spans="2:11" ht="15" thickBot="1" x14ac:dyDescent="0.35">
      <c r="B177" s="90">
        <f>Costs!AL169</f>
        <v>168</v>
      </c>
      <c r="C177" s="32">
        <f>Costs!AM169</f>
        <v>2.00908</v>
      </c>
      <c r="D177" s="35">
        <f>Costs!AN169</f>
        <v>-0.50438813655521575</v>
      </c>
      <c r="E177" s="35">
        <f>Costs!AO169</f>
        <v>1.5046918634447843</v>
      </c>
      <c r="F177" s="35">
        <f>Costs!AR169</f>
        <v>5.0436799999999966</v>
      </c>
      <c r="G177" s="35">
        <f>Costs!AS169</f>
        <v>5.043881298352157</v>
      </c>
      <c r="H177" s="32">
        <f>Costs!W169+Costs!U169+Costs!Y169</f>
        <v>0</v>
      </c>
      <c r="I177" s="32">
        <f>Costs!AB169</f>
        <v>5.043881298352157</v>
      </c>
      <c r="J177" s="32">
        <f>+Costs!R169*(1/undergrid!$AQ$15-1)+Costs!Y169*(1-undergrid!$AQ$12)</f>
        <v>2.0129899216087051E-4</v>
      </c>
      <c r="K177" s="36">
        <f>SUM(Costs!AF169:AG169)</f>
        <v>0</v>
      </c>
    </row>
  </sheetData>
  <mergeCells count="1">
    <mergeCell ref="C4:K4"/>
  </mergeCells>
  <dataValidations count="1">
    <dataValidation type="list" allowBlank="1" showInputMessage="1" showErrorMessage="1" sqref="D3" xr:uid="{5A02EC06-64FB-4B62-AF63-CAA442271487}">
      <formula1>$B$10:$B$177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DD235-29C4-4E4F-B5CE-AEBDE385608A}">
  <dimension ref="A2:J48"/>
  <sheetViews>
    <sheetView zoomScale="85" zoomScaleNormal="85" workbookViewId="0">
      <selection activeCell="H9" sqref="H9"/>
    </sheetView>
  </sheetViews>
  <sheetFormatPr defaultColWidth="8.88671875" defaultRowHeight="14.4" x14ac:dyDescent="0.3"/>
  <cols>
    <col min="2" max="2" width="18.5546875" bestFit="1" customWidth="1"/>
    <col min="4" max="4" width="11.33203125" customWidth="1"/>
    <col min="8" max="8" width="10.33203125" customWidth="1"/>
  </cols>
  <sheetData>
    <row r="2" spans="1:10" ht="30.6" customHeight="1" x14ac:dyDescent="0.3"/>
    <row r="5" spans="1:10" ht="45" customHeight="1" x14ac:dyDescent="0.3"/>
    <row r="10" spans="1:10" x14ac:dyDescent="0.3">
      <c r="A10" t="s">
        <v>277</v>
      </c>
      <c r="B10" t="s">
        <v>278</v>
      </c>
    </row>
    <row r="11" spans="1:10" x14ac:dyDescent="0.3">
      <c r="A11" s="120" t="s">
        <v>17</v>
      </c>
      <c r="B11">
        <f>VLOOKUP(A11,Costs!A2:AO169,41)</f>
        <v>2.8091612867923716</v>
      </c>
      <c r="C11" s="102"/>
    </row>
    <row r="12" spans="1:10" x14ac:dyDescent="0.3">
      <c r="A12" s="145" t="s">
        <v>257</v>
      </c>
      <c r="B12" s="145"/>
      <c r="C12" s="145"/>
      <c r="D12" s="145"/>
      <c r="G12" s="145" t="s">
        <v>258</v>
      </c>
      <c r="H12" s="145"/>
      <c r="I12" s="145"/>
      <c r="J12" s="145"/>
    </row>
    <row r="13" spans="1:10" x14ac:dyDescent="0.3">
      <c r="B13" s="108" t="s">
        <v>264</v>
      </c>
      <c r="D13" s="108" t="s">
        <v>263</v>
      </c>
      <c r="H13" s="108" t="s">
        <v>265</v>
      </c>
      <c r="J13" s="108" t="s">
        <v>263</v>
      </c>
    </row>
    <row r="14" spans="1:10" x14ac:dyDescent="0.3">
      <c r="A14" t="s">
        <v>193</v>
      </c>
      <c r="B14" s="97">
        <f>undergrid!AQ2</f>
        <v>0.5</v>
      </c>
      <c r="C14" t="str">
        <f>A14</f>
        <v>Load A</v>
      </c>
      <c r="D14">
        <f>VLOOKUP(A11,Costs!A2:AK169,4)</f>
        <v>6.5</v>
      </c>
      <c r="G14" t="s">
        <v>259</v>
      </c>
      <c r="H14" s="99">
        <f>undergrid!AQ4</f>
        <v>1.9999999999999999E-6</v>
      </c>
      <c r="I14" t="str">
        <f>G14</f>
        <v>PV</v>
      </c>
      <c r="J14" s="12">
        <f>VLOOKUP(A11,Costs!A2:AK169,21)</f>
        <v>3.97</v>
      </c>
    </row>
    <row r="15" spans="1:10" x14ac:dyDescent="0.3">
      <c r="A15" t="s">
        <v>194</v>
      </c>
      <c r="B15">
        <f>undergrid!AQ3</f>
        <v>0.14000000000000001</v>
      </c>
      <c r="C15" t="str">
        <f>A15</f>
        <v>Load B</v>
      </c>
      <c r="D15">
        <f>VLOOKUP(A11,Costs!A2:AK169,8)</f>
        <v>5.9450000000000003</v>
      </c>
      <c r="G15" t="s">
        <v>260</v>
      </c>
      <c r="H15" s="108">
        <f>((undergrid!$AQ$7*7.5+undergrid!$AQ$8*undergrid!$AQ$9)*undergrid!$AQ$6)/7.5</f>
        <v>0.33332999999999996</v>
      </c>
      <c r="I15" t="str">
        <f>G15</f>
        <v>Genset</v>
      </c>
      <c r="J15" s="12">
        <f>VLOOKUP(A11,Costs!A2:AK169,23)</f>
        <v>0</v>
      </c>
    </row>
    <row r="16" spans="1:10" x14ac:dyDescent="0.3">
      <c r="A16" t="s">
        <v>256</v>
      </c>
      <c r="B16">
        <f>VLOOKUP(A11,Costs!A2:AK169,10)</f>
        <v>0.13</v>
      </c>
      <c r="C16" t="str">
        <f>A16</f>
        <v>Grid Exp</v>
      </c>
      <c r="D16">
        <f>VLOOKUP(A11,Costs!A2:AK169,30)</f>
        <v>0</v>
      </c>
      <c r="G16" t="s">
        <v>261</v>
      </c>
      <c r="H16" s="108">
        <f>VLOOKUP(A11,Costs!A2:AK169,12)</f>
        <v>0.15</v>
      </c>
      <c r="I16" t="str">
        <f>G16</f>
        <v>Grid Imp</v>
      </c>
      <c r="J16" s="12">
        <f>VLOOKUP(A11,Costs!A2:AK169,28)</f>
        <v>8.4875381894747726</v>
      </c>
    </row>
    <row r="17" spans="1:10" x14ac:dyDescent="0.3">
      <c r="A17" t="s">
        <v>266</v>
      </c>
      <c r="B17">
        <f>-VLOOKUP(A11,Costs!A2:AT169,37)*((1-D19)+(1-undergrid!AQ12))</f>
        <v>-3.105000000000474E-2</v>
      </c>
      <c r="C17" t="str">
        <f>A17</f>
        <v>Bat. Charge</v>
      </c>
      <c r="D17" s="11">
        <f>SUM(J14:J17)-SUM(D14:D16)</f>
        <v>1.2538189474772921E-2</v>
      </c>
      <c r="G17" t="s">
        <v>262</v>
      </c>
      <c r="H17" s="108">
        <f>undergrid!AQ5</f>
        <v>3.9999999999999998E-6</v>
      </c>
      <c r="I17" t="str">
        <f>G17</f>
        <v>Bat. Discharge</v>
      </c>
      <c r="J17">
        <f>VLOOKUP(A11,Costs!A2:AK169,25)*undergrid!AQ12</f>
        <v>0</v>
      </c>
    </row>
    <row r="18" spans="1:10" x14ac:dyDescent="0.3">
      <c r="A18" t="s">
        <v>274</v>
      </c>
      <c r="D18" s="11">
        <f>VLOOKUP(A11,Costs!A2:AK169,18)</f>
        <v>1.1196603200971822E-2</v>
      </c>
    </row>
    <row r="19" spans="1:10" x14ac:dyDescent="0.3">
      <c r="A19" t="s">
        <v>275</v>
      </c>
      <c r="D19" s="118">
        <f>1-(D17-D18)/D17</f>
        <v>0.89299999999996837</v>
      </c>
    </row>
    <row r="21" spans="1:10" x14ac:dyDescent="0.3">
      <c r="B21" t="str">
        <f>B13</f>
        <v>Price</v>
      </c>
      <c r="C21" t="str">
        <f>D13</f>
        <v>Energy</v>
      </c>
      <c r="D21" t="s">
        <v>276</v>
      </c>
      <c r="H21" t="str">
        <f>H13</f>
        <v>Cost</v>
      </c>
      <c r="I21" t="str">
        <f>J13</f>
        <v>Energy</v>
      </c>
      <c r="J21" t="s">
        <v>276</v>
      </c>
    </row>
    <row r="22" spans="1:10" x14ac:dyDescent="0.3">
      <c r="A22" t="str">
        <f>VLOOKUP(B22,$B$14:$C$16,2,FALSE)</f>
        <v>Load A</v>
      </c>
      <c r="B22" s="97">
        <f>LARGE($B$14:$B$16,ROWS($B$14:B14))</f>
        <v>0.5</v>
      </c>
      <c r="C22" s="11">
        <f>VLOOKUP(B22,$B$14:$D$16,3,FALSE)</f>
        <v>6.5</v>
      </c>
      <c r="D22" s="11">
        <f>B22*C22</f>
        <v>3.25</v>
      </c>
      <c r="G22" t="str">
        <f>VLOOKUP(H22,$H$14:$I$17,2,FALSE)</f>
        <v>PV</v>
      </c>
      <c r="H22" s="101">
        <f>SMALL($H$14:$H$17,ROWS($H$14:H14))</f>
        <v>1.9999999999999999E-6</v>
      </c>
      <c r="I22" s="11">
        <f>VLOOKUP(H22,$H$14:$J$17,3,FALSE)</f>
        <v>3.97</v>
      </c>
      <c r="J22" s="11">
        <f>H22*I22</f>
        <v>7.9400000000000002E-6</v>
      </c>
    </row>
    <row r="23" spans="1:10" x14ac:dyDescent="0.3">
      <c r="A23" t="str">
        <f>VLOOKUP(B23,$B$14:$C$16,2,FALSE)</f>
        <v>Load B</v>
      </c>
      <c r="B23">
        <f>LARGE($B$14:$B$16,ROWS($B$14:B15))</f>
        <v>0.14000000000000001</v>
      </c>
      <c r="C23" s="11">
        <f t="shared" ref="C23:C24" si="0">VLOOKUP(B23,$B$14:$D$16,3,FALSE)</f>
        <v>5.9450000000000003</v>
      </c>
      <c r="D23" s="11">
        <f t="shared" ref="D23:D25" si="1">B23*C23</f>
        <v>0.83230000000000015</v>
      </c>
      <c r="G23" t="str">
        <f t="shared" ref="G23:G25" si="2">VLOOKUP(H23,$H$14:$I$17,2,FALSE)</f>
        <v>Bat. Discharge</v>
      </c>
      <c r="H23" s="101">
        <f>SMALL($H$14:$H$17,ROWS($H$14:H15))</f>
        <v>3.9999999999999998E-6</v>
      </c>
      <c r="I23" s="11">
        <f t="shared" ref="I23:I25" si="3">VLOOKUP(H23,$H$14:$J$17,3,FALSE)</f>
        <v>0</v>
      </c>
      <c r="J23" s="11">
        <f t="shared" ref="J23:J25" si="4">H23*I23</f>
        <v>0</v>
      </c>
    </row>
    <row r="24" spans="1:10" x14ac:dyDescent="0.3">
      <c r="A24" t="str">
        <f>VLOOKUP(B24,$B$14:$C$16,2,FALSE)</f>
        <v>Grid Exp</v>
      </c>
      <c r="B24">
        <f>LARGE($B$14:$B$16,ROWS($B$14:B16))</f>
        <v>0.13</v>
      </c>
      <c r="C24" s="11">
        <f t="shared" si="0"/>
        <v>0</v>
      </c>
      <c r="D24" s="11">
        <f t="shared" si="1"/>
        <v>0</v>
      </c>
      <c r="G24" t="str">
        <f t="shared" si="2"/>
        <v>Grid Imp</v>
      </c>
      <c r="H24" s="101">
        <f>SMALL($H$14:$H$17,ROWS($H$14:H16))</f>
        <v>0.15</v>
      </c>
      <c r="I24" s="11">
        <f t="shared" si="3"/>
        <v>8.4875381894747726</v>
      </c>
      <c r="J24" s="11">
        <f t="shared" si="4"/>
        <v>1.2731307284212159</v>
      </c>
    </row>
    <row r="25" spans="1:10" x14ac:dyDescent="0.3">
      <c r="A25" t="str">
        <f>A17</f>
        <v>Bat. Charge</v>
      </c>
      <c r="B25">
        <f>B17</f>
        <v>-3.105000000000474E-2</v>
      </c>
      <c r="C25" s="102">
        <f>D17</f>
        <v>1.2538189474772921E-2</v>
      </c>
      <c r="D25" s="11">
        <f t="shared" si="1"/>
        <v>-3.893107831917586E-4</v>
      </c>
      <c r="G25" t="str">
        <f t="shared" si="2"/>
        <v>Genset</v>
      </c>
      <c r="H25" s="101">
        <f>SMALL($H$14:$H$17,ROWS($H$14:H17))</f>
        <v>0.33332999999999996</v>
      </c>
      <c r="I25" s="11">
        <f t="shared" si="3"/>
        <v>0</v>
      </c>
      <c r="J25" s="11">
        <f t="shared" si="4"/>
        <v>0</v>
      </c>
    </row>
    <row r="26" spans="1:10" x14ac:dyDescent="0.3">
      <c r="C26" s="11">
        <f>SUM(C22:C25)</f>
        <v>12.457538189474773</v>
      </c>
      <c r="D26" s="11">
        <f>SUM(D22:D25)</f>
        <v>4.0819106892168087</v>
      </c>
      <c r="E26" s="11">
        <f>SUM(D22:D24)</f>
        <v>4.0823</v>
      </c>
      <c r="I26" s="11">
        <f>SUM(I22:I25)</f>
        <v>12.457538189474773</v>
      </c>
      <c r="J26" s="11">
        <f>SUM(J22:J25)</f>
        <v>1.2731386684212158</v>
      </c>
    </row>
    <row r="28" spans="1:10" x14ac:dyDescent="0.3">
      <c r="A28" s="108" t="s">
        <v>257</v>
      </c>
      <c r="B28" s="108"/>
      <c r="C28" s="108"/>
      <c r="G28" s="108" t="s">
        <v>258</v>
      </c>
      <c r="H28" s="108"/>
      <c r="I28" s="108"/>
    </row>
    <row r="29" spans="1:10" x14ac:dyDescent="0.3">
      <c r="A29" t="str">
        <f>A22</f>
        <v>Load A</v>
      </c>
      <c r="B29">
        <v>0</v>
      </c>
      <c r="C29" s="97">
        <f>B22</f>
        <v>0.5</v>
      </c>
      <c r="G29" t="str">
        <f>G22</f>
        <v>PV</v>
      </c>
      <c r="H29">
        <v>0</v>
      </c>
      <c r="I29" s="97">
        <f>H22</f>
        <v>1.9999999999999999E-6</v>
      </c>
    </row>
    <row r="30" spans="1:10" x14ac:dyDescent="0.3">
      <c r="A30" t="str">
        <f>A29</f>
        <v>Load A</v>
      </c>
      <c r="B30" s="11">
        <f>C22</f>
        <v>6.5</v>
      </c>
      <c r="C30" s="97">
        <f>C29</f>
        <v>0.5</v>
      </c>
      <c r="G30" t="str">
        <f>G29</f>
        <v>PV</v>
      </c>
      <c r="H30" s="11">
        <f>I22</f>
        <v>3.97</v>
      </c>
      <c r="I30" s="97">
        <f>I29</f>
        <v>1.9999999999999999E-6</v>
      </c>
    </row>
    <row r="31" spans="1:10" x14ac:dyDescent="0.3">
      <c r="A31" t="str">
        <f>A23</f>
        <v>Load B</v>
      </c>
      <c r="B31">
        <f>B30</f>
        <v>6.5</v>
      </c>
      <c r="C31">
        <f>B23</f>
        <v>0.14000000000000001</v>
      </c>
      <c r="G31" t="str">
        <f>G23</f>
        <v>Bat. Discharge</v>
      </c>
      <c r="H31">
        <f>H30</f>
        <v>3.97</v>
      </c>
      <c r="I31">
        <f>H23</f>
        <v>3.9999999999999998E-6</v>
      </c>
    </row>
    <row r="32" spans="1:10" x14ac:dyDescent="0.3">
      <c r="A32" t="str">
        <f>A31</f>
        <v>Load B</v>
      </c>
      <c r="B32" s="11">
        <f>B31+C23</f>
        <v>12.445</v>
      </c>
      <c r="C32">
        <f>C31</f>
        <v>0.14000000000000001</v>
      </c>
      <c r="G32" t="str">
        <f>G31</f>
        <v>Bat. Discharge</v>
      </c>
      <c r="H32" s="11">
        <f>H31+I23</f>
        <v>3.97</v>
      </c>
      <c r="I32">
        <f>I31</f>
        <v>3.9999999999999998E-6</v>
      </c>
    </row>
    <row r="33" spans="1:9" x14ac:dyDescent="0.3">
      <c r="A33" t="str">
        <f>A24</f>
        <v>Grid Exp</v>
      </c>
      <c r="B33">
        <f>B32</f>
        <v>12.445</v>
      </c>
      <c r="C33">
        <f>B24</f>
        <v>0.13</v>
      </c>
      <c r="G33" t="str">
        <f>G24</f>
        <v>Grid Imp</v>
      </c>
      <c r="H33">
        <f>H32</f>
        <v>3.97</v>
      </c>
      <c r="I33">
        <f>H24</f>
        <v>0.15</v>
      </c>
    </row>
    <row r="34" spans="1:9" x14ac:dyDescent="0.3">
      <c r="A34" t="str">
        <f>A33</f>
        <v>Grid Exp</v>
      </c>
      <c r="B34" s="11">
        <f>B33+C24</f>
        <v>12.445</v>
      </c>
      <c r="C34">
        <f>C33</f>
        <v>0.13</v>
      </c>
      <c r="G34" t="str">
        <f>G33</f>
        <v>Grid Imp</v>
      </c>
      <c r="H34" s="11">
        <f>H33+I24</f>
        <v>12.457538189474773</v>
      </c>
      <c r="I34">
        <f>I33</f>
        <v>0.15</v>
      </c>
    </row>
    <row r="35" spans="1:9" x14ac:dyDescent="0.3">
      <c r="G35" t="str">
        <f>G25</f>
        <v>Genset</v>
      </c>
      <c r="H35" s="11">
        <f>H34</f>
        <v>12.457538189474773</v>
      </c>
      <c r="I35" s="100">
        <f>H25</f>
        <v>0.33332999999999996</v>
      </c>
    </row>
    <row r="36" spans="1:9" x14ac:dyDescent="0.3">
      <c r="A36" t="str">
        <f>A17</f>
        <v>Bat. Charge</v>
      </c>
      <c r="B36" s="11">
        <f>B34</f>
        <v>12.445</v>
      </c>
      <c r="C36">
        <f>B25</f>
        <v>-3.105000000000474E-2</v>
      </c>
      <c r="G36" t="str">
        <f>G35</f>
        <v>Genset</v>
      </c>
      <c r="H36" s="11">
        <f>H35+I25</f>
        <v>12.457538189474773</v>
      </c>
      <c r="I36" s="100">
        <f>I35</f>
        <v>0.33332999999999996</v>
      </c>
    </row>
    <row r="37" spans="1:9" x14ac:dyDescent="0.3">
      <c r="A37" t="str">
        <f>A36</f>
        <v>Bat. Charge</v>
      </c>
      <c r="B37" s="103">
        <f>B36+C25</f>
        <v>12.457538189474773</v>
      </c>
      <c r="C37" s="102">
        <f>C36</f>
        <v>-3.105000000000474E-2</v>
      </c>
    </row>
    <row r="38" spans="1:9" x14ac:dyDescent="0.3">
      <c r="G38" t="s">
        <v>278</v>
      </c>
      <c r="H38" s="11">
        <f>I26+5</f>
        <v>17.457538189474775</v>
      </c>
      <c r="I38">
        <v>0</v>
      </c>
    </row>
    <row r="39" spans="1:9" x14ac:dyDescent="0.3">
      <c r="A39" s="108" t="s">
        <v>257</v>
      </c>
      <c r="B39" s="108"/>
      <c r="C39" s="108"/>
      <c r="H39" s="11">
        <f>H38</f>
        <v>17.457538189474775</v>
      </c>
      <c r="I39">
        <f>B11</f>
        <v>2.8091612867923716</v>
      </c>
    </row>
    <row r="40" spans="1:9" x14ac:dyDescent="0.3">
      <c r="A40" t="str">
        <f>A29</f>
        <v>Load A</v>
      </c>
      <c r="B40">
        <f>B29</f>
        <v>0</v>
      </c>
      <c r="C40" s="97">
        <f>C29</f>
        <v>0.5</v>
      </c>
    </row>
    <row r="41" spans="1:9" x14ac:dyDescent="0.3">
      <c r="A41" t="str">
        <f t="shared" ref="A41:A48" si="5">A30</f>
        <v>Load A</v>
      </c>
      <c r="B41" s="11">
        <f>C26</f>
        <v>12.457538189474773</v>
      </c>
      <c r="C41" s="97">
        <f t="shared" ref="C41:C48" si="6">C30</f>
        <v>0.5</v>
      </c>
    </row>
    <row r="42" spans="1:9" x14ac:dyDescent="0.3">
      <c r="A42" t="str">
        <f t="shared" si="5"/>
        <v>Load B</v>
      </c>
      <c r="B42">
        <f>B40</f>
        <v>0</v>
      </c>
      <c r="C42" s="97">
        <f t="shared" si="6"/>
        <v>0.14000000000000001</v>
      </c>
    </row>
    <row r="43" spans="1:9" x14ac:dyDescent="0.3">
      <c r="A43" t="str">
        <f t="shared" si="5"/>
        <v>Load B</v>
      </c>
      <c r="B43" s="11">
        <f>B41</f>
        <v>12.457538189474773</v>
      </c>
      <c r="C43" s="97">
        <f t="shared" si="6"/>
        <v>0.14000000000000001</v>
      </c>
    </row>
    <row r="44" spans="1:9" x14ac:dyDescent="0.3">
      <c r="A44" t="str">
        <f t="shared" si="5"/>
        <v>Grid Exp</v>
      </c>
      <c r="B44">
        <f>B40</f>
        <v>0</v>
      </c>
      <c r="C44" s="97">
        <f t="shared" si="6"/>
        <v>0.13</v>
      </c>
    </row>
    <row r="45" spans="1:9" x14ac:dyDescent="0.3">
      <c r="A45" t="str">
        <f t="shared" si="5"/>
        <v>Grid Exp</v>
      </c>
      <c r="B45" s="11">
        <f>B43</f>
        <v>12.457538189474773</v>
      </c>
      <c r="C45" s="97">
        <f t="shared" si="6"/>
        <v>0.13</v>
      </c>
    </row>
    <row r="47" spans="1:9" x14ac:dyDescent="0.3">
      <c r="A47" t="str">
        <f t="shared" si="5"/>
        <v>Bat. Charge</v>
      </c>
      <c r="B47" s="11">
        <f>B44</f>
        <v>0</v>
      </c>
      <c r="C47" s="97">
        <f t="shared" si="6"/>
        <v>-3.105000000000474E-2</v>
      </c>
    </row>
    <row r="48" spans="1:9" x14ac:dyDescent="0.3">
      <c r="A48" t="str">
        <f t="shared" si="5"/>
        <v>Bat. Charge</v>
      </c>
      <c r="B48" s="103">
        <f>B45</f>
        <v>12.457538189474773</v>
      </c>
      <c r="C48" s="97">
        <f t="shared" si="6"/>
        <v>-3.105000000000474E-2</v>
      </c>
    </row>
  </sheetData>
  <mergeCells count="2">
    <mergeCell ref="A12:D12"/>
    <mergeCell ref="G12:J12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9C328A-728E-48EA-82CD-FC15937904E0}">
          <x14:formula1>
            <xm:f>Costs!$A$2:$A$169</xm:f>
          </x14:formula1>
          <xm:sqref>A11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629AF-1B12-490D-8340-F8119DF7E642}">
  <dimension ref="A1:L34"/>
  <sheetViews>
    <sheetView workbookViewId="0"/>
  </sheetViews>
  <sheetFormatPr defaultRowHeight="14.4" x14ac:dyDescent="0.3"/>
  <cols>
    <col min="2" max="2" width="40.44140625" customWidth="1"/>
    <col min="5" max="5" width="2.6640625" customWidth="1"/>
    <col min="8" max="8" width="16.6640625" bestFit="1" customWidth="1"/>
    <col min="9" max="9" width="20.44140625" bestFit="1" customWidth="1"/>
  </cols>
  <sheetData>
    <row r="1" spans="1:12" ht="15" thickBot="1" x14ac:dyDescent="0.35">
      <c r="A1" t="s">
        <v>218</v>
      </c>
    </row>
    <row r="2" spans="1:12" x14ac:dyDescent="0.3">
      <c r="B2" s="47" t="s">
        <v>219</v>
      </c>
      <c r="C2" s="151"/>
      <c r="D2" s="151"/>
      <c r="E2" s="48"/>
      <c r="H2" s="47" t="s">
        <v>220</v>
      </c>
      <c r="I2" s="49" t="s">
        <v>221</v>
      </c>
      <c r="L2" t="s">
        <v>222</v>
      </c>
    </row>
    <row r="3" spans="1:12" x14ac:dyDescent="0.3">
      <c r="B3" s="50"/>
      <c r="C3" s="150"/>
      <c r="D3" s="150"/>
      <c r="E3" s="51"/>
      <c r="H3" s="52">
        <f>D14</f>
        <v>7.5</v>
      </c>
      <c r="I3" s="53">
        <f>D8</f>
        <v>2.5</v>
      </c>
      <c r="L3" s="54" t="s">
        <v>223</v>
      </c>
    </row>
    <row r="4" spans="1:12" x14ac:dyDescent="0.3">
      <c r="B4" s="55" t="s">
        <v>214</v>
      </c>
      <c r="C4" s="150"/>
      <c r="D4" s="150"/>
      <c r="E4" s="51"/>
      <c r="H4" s="52">
        <f>D11</f>
        <v>15</v>
      </c>
      <c r="I4" s="53">
        <f>D5</f>
        <v>4.8</v>
      </c>
    </row>
    <row r="5" spans="1:12" ht="15" thickBot="1" x14ac:dyDescent="0.35">
      <c r="B5" s="50" t="s">
        <v>215</v>
      </c>
      <c r="C5" s="56" t="s">
        <v>224</v>
      </c>
      <c r="D5" s="57">
        <v>4.8</v>
      </c>
      <c r="E5" s="51" t="s">
        <v>225</v>
      </c>
      <c r="H5" s="58">
        <v>0</v>
      </c>
      <c r="I5" s="59">
        <f>D20</f>
        <v>0.20000000000000018</v>
      </c>
    </row>
    <row r="6" spans="1:12" x14ac:dyDescent="0.3">
      <c r="B6" s="60"/>
      <c r="C6" s="150"/>
      <c r="D6" s="150"/>
      <c r="E6" s="61"/>
    </row>
    <row r="7" spans="1:12" x14ac:dyDescent="0.3">
      <c r="B7" s="55" t="s">
        <v>216</v>
      </c>
      <c r="C7" s="152"/>
      <c r="D7" s="152"/>
      <c r="E7" s="62"/>
      <c r="H7">
        <f>D5*10</f>
        <v>48</v>
      </c>
    </row>
    <row r="8" spans="1:12" x14ac:dyDescent="0.3">
      <c r="B8" s="50" t="s">
        <v>217</v>
      </c>
      <c r="C8" s="56" t="s">
        <v>224</v>
      </c>
      <c r="D8" s="57">
        <v>2.5</v>
      </c>
      <c r="E8" s="61" t="s">
        <v>225</v>
      </c>
      <c r="H8">
        <f>D11/H7</f>
        <v>0.3125</v>
      </c>
      <c r="I8">
        <f>0.5*H8</f>
        <v>0.15625</v>
      </c>
    </row>
    <row r="9" spans="1:12" x14ac:dyDescent="0.3">
      <c r="B9" s="50"/>
      <c r="C9" s="150"/>
      <c r="D9" s="150"/>
      <c r="E9" s="51"/>
    </row>
    <row r="10" spans="1:12" x14ac:dyDescent="0.3">
      <c r="B10" s="55" t="s">
        <v>226</v>
      </c>
      <c r="C10" s="150"/>
      <c r="D10" s="150"/>
      <c r="E10" s="51"/>
    </row>
    <row r="11" spans="1:12" x14ac:dyDescent="0.3">
      <c r="B11" s="63" t="s">
        <v>227</v>
      </c>
      <c r="C11" s="56" t="s">
        <v>224</v>
      </c>
      <c r="D11" s="64">
        <v>15</v>
      </c>
      <c r="E11" s="51" t="s">
        <v>225</v>
      </c>
      <c r="F11" s="65" t="s">
        <v>228</v>
      </c>
    </row>
    <row r="12" spans="1:12" x14ac:dyDescent="0.3">
      <c r="B12" s="50"/>
      <c r="C12" s="56"/>
      <c r="D12" s="56" t="s">
        <v>229</v>
      </c>
      <c r="E12" s="51"/>
    </row>
    <row r="13" spans="1:12" x14ac:dyDescent="0.3">
      <c r="B13" s="55" t="s">
        <v>230</v>
      </c>
      <c r="C13" s="150"/>
      <c r="D13" s="150"/>
      <c r="E13" s="51"/>
    </row>
    <row r="14" spans="1:12" x14ac:dyDescent="0.3">
      <c r="B14" s="50"/>
      <c r="C14" s="56" t="s">
        <v>224</v>
      </c>
      <c r="D14" s="66">
        <f>D11/2</f>
        <v>7.5</v>
      </c>
      <c r="E14" s="51" t="s">
        <v>225</v>
      </c>
      <c r="F14" s="65" t="s">
        <v>231</v>
      </c>
    </row>
    <row r="15" spans="1:12" x14ac:dyDescent="0.3">
      <c r="B15" s="50"/>
      <c r="C15" s="150"/>
      <c r="D15" s="150"/>
      <c r="E15" s="51"/>
    </row>
    <row r="16" spans="1:12" x14ac:dyDescent="0.3">
      <c r="B16" s="55" t="s">
        <v>232</v>
      </c>
      <c r="C16" s="150"/>
      <c r="D16" s="150"/>
      <c r="E16" s="51"/>
    </row>
    <row r="17" spans="2:6" x14ac:dyDescent="0.3">
      <c r="B17" s="50" t="s">
        <v>233</v>
      </c>
      <c r="C17" s="56" t="s">
        <v>224</v>
      </c>
      <c r="D17" s="66">
        <f>(D5-D8)/(D11-D14)</f>
        <v>0.30666666666666664</v>
      </c>
      <c r="E17" s="51" t="s">
        <v>225</v>
      </c>
      <c r="F17" s="65" t="s">
        <v>231</v>
      </c>
    </row>
    <row r="18" spans="2:6" x14ac:dyDescent="0.3">
      <c r="B18" s="50"/>
      <c r="C18" s="150"/>
      <c r="D18" s="150"/>
      <c r="E18" s="51"/>
    </row>
    <row r="19" spans="2:6" x14ac:dyDescent="0.3">
      <c r="B19" s="55" t="s">
        <v>234</v>
      </c>
      <c r="C19" s="150"/>
      <c r="D19" s="150"/>
      <c r="E19" s="51"/>
    </row>
    <row r="20" spans="2:6" x14ac:dyDescent="0.3">
      <c r="B20" s="50" t="s">
        <v>235</v>
      </c>
      <c r="C20" s="56" t="s">
        <v>224</v>
      </c>
      <c r="D20" s="66">
        <f>D8-D14*D17</f>
        <v>0.20000000000000018</v>
      </c>
      <c r="E20" s="51" t="s">
        <v>225</v>
      </c>
      <c r="F20" s="65" t="s">
        <v>231</v>
      </c>
    </row>
    <row r="21" spans="2:6" x14ac:dyDescent="0.3">
      <c r="B21" s="50"/>
      <c r="C21" s="150"/>
      <c r="D21" s="150"/>
      <c r="E21" s="51"/>
    </row>
    <row r="22" spans="2:6" x14ac:dyDescent="0.3">
      <c r="B22" s="55" t="s">
        <v>236</v>
      </c>
      <c r="C22" s="150"/>
      <c r="D22" s="150"/>
      <c r="E22" s="51"/>
    </row>
    <row r="23" spans="2:6" x14ac:dyDescent="0.3">
      <c r="B23" s="50" t="s">
        <v>237</v>
      </c>
      <c r="C23" s="56" t="s">
        <v>224</v>
      </c>
      <c r="D23" s="66">
        <f>D20/D11</f>
        <v>1.3333333333333345E-2</v>
      </c>
      <c r="E23" s="51" t="s">
        <v>225</v>
      </c>
      <c r="F23" s="65" t="s">
        <v>231</v>
      </c>
    </row>
    <row r="24" spans="2:6" x14ac:dyDescent="0.3">
      <c r="B24" s="50"/>
      <c r="C24" s="150"/>
      <c r="D24" s="150"/>
      <c r="E24" s="51"/>
    </row>
    <row r="25" spans="2:6" x14ac:dyDescent="0.3">
      <c r="B25" s="50"/>
      <c r="C25" s="150"/>
      <c r="D25" s="150"/>
      <c r="E25" s="51"/>
    </row>
    <row r="26" spans="2:6" x14ac:dyDescent="0.3">
      <c r="B26" s="50"/>
      <c r="C26" s="150"/>
      <c r="D26" s="150"/>
      <c r="E26" s="51"/>
    </row>
    <row r="27" spans="2:6" ht="15" thickBot="1" x14ac:dyDescent="0.35">
      <c r="B27" s="67"/>
      <c r="C27" s="149"/>
      <c r="D27" s="149"/>
      <c r="E27" s="68"/>
    </row>
    <row r="31" spans="2:6" x14ac:dyDescent="0.3">
      <c r="B31" t="s">
        <v>238</v>
      </c>
      <c r="C31">
        <f>(3600*1)/C34</f>
        <v>4.3902439024390247</v>
      </c>
    </row>
    <row r="34" spans="2:3" x14ac:dyDescent="0.3">
      <c r="B34" t="s">
        <v>239</v>
      </c>
      <c r="C34">
        <v>820</v>
      </c>
    </row>
  </sheetData>
  <mergeCells count="18">
    <mergeCell ref="C9:D9"/>
    <mergeCell ref="C2:D2"/>
    <mergeCell ref="C3:D3"/>
    <mergeCell ref="C4:D4"/>
    <mergeCell ref="C6:D6"/>
    <mergeCell ref="C7:D7"/>
    <mergeCell ref="C27:D27"/>
    <mergeCell ref="C10:D10"/>
    <mergeCell ref="C13:D13"/>
    <mergeCell ref="C15:D15"/>
    <mergeCell ref="C16:D16"/>
    <mergeCell ref="C18:D18"/>
    <mergeCell ref="C19:D19"/>
    <mergeCell ref="C21:D21"/>
    <mergeCell ref="C22:D22"/>
    <mergeCell ref="C24:D24"/>
    <mergeCell ref="C25:D25"/>
    <mergeCell ref="C26:D26"/>
  </mergeCells>
  <hyperlinks>
    <hyperlink ref="L3" r:id="rId1" display="https://www.ablesales.com.au/blog/diesel-generator-fuel-consumption-chart-in-litres.html" xr:uid="{E4ABBD82-F3F1-404B-A453-81101B1698D4}"/>
  </hyperlinks>
  <pageMargins left="0.7" right="0.7" top="0.75" bottom="0.75" header="0.3" footer="0.3"/>
  <pageSetup paperSize="9" orientation="portrait" horizontalDpi="4294967292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welfare</vt:lpstr>
      <vt:lpstr>undergrid</vt:lpstr>
      <vt:lpstr>Costs</vt:lpstr>
      <vt:lpstr>Graphs</vt:lpstr>
      <vt:lpstr>Merit Order</vt:lpstr>
      <vt:lpstr>Battery</vt:lpstr>
      <vt:lpstr>Welfare Calc</vt:lpstr>
      <vt:lpstr>Merit Order Usage</vt:lpstr>
      <vt:lpstr>DieselGenerator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</dc:creator>
  <cp:lastModifiedBy>Tatiana Grandon</cp:lastModifiedBy>
  <dcterms:created xsi:type="dcterms:W3CDTF">2020-04-06T16:20:37Z</dcterms:created>
  <dcterms:modified xsi:type="dcterms:W3CDTF">2021-09-10T12:29:20Z</dcterms:modified>
</cp:coreProperties>
</file>