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35" windowWidth="27795" windowHeight="11325"/>
  </bookViews>
  <sheets>
    <sheet name="App" sheetId="8" r:id="rId1"/>
    <sheet name="Info &amp; Settings" sheetId="5" r:id="rId2"/>
    <sheet name="Calculations" sheetId="1" r:id="rId3"/>
    <sheet name="Cards" sheetId="2" r:id="rId4"/>
    <sheet name="Ranges" sheetId="4" r:id="rId5"/>
    <sheet name="Position" sheetId="6" r:id="rId6"/>
    <sheet name="Generator" sheetId="9" r:id="rId7"/>
    <sheet name="Sample_History" sheetId="10" r:id="rId8"/>
  </sheets>
  <definedNames>
    <definedName name="Card">Table2[#All]</definedName>
    <definedName name="Postion">Table5[#All]</definedName>
    <definedName name="Ranges">Table3[#All]</definedName>
  </definedNames>
  <calcPr calcId="145621"/>
</workbook>
</file>

<file path=xl/calcChain.xml><?xml version="1.0" encoding="utf-8"?>
<calcChain xmlns="http://schemas.openxmlformats.org/spreadsheetml/2006/main">
  <c r="K2" i="10" l="1"/>
  <c r="K3" i="10"/>
  <c r="K4" i="10"/>
  <c r="K5" i="10"/>
  <c r="K6" i="10"/>
  <c r="K7" i="10"/>
  <c r="K8" i="10"/>
  <c r="K9" i="10"/>
  <c r="K10" i="10"/>
  <c r="K11" i="10"/>
  <c r="K12" i="10"/>
  <c r="K13" i="10"/>
  <c r="K14" i="10"/>
  <c r="K15" i="10"/>
  <c r="K16" i="10"/>
  <c r="K17" i="10"/>
  <c r="K18" i="10"/>
  <c r="K19" i="10"/>
  <c r="K20" i="10"/>
  <c r="K21" i="10"/>
  <c r="K22" i="10"/>
  <c r="K23" i="10"/>
  <c r="K24" i="10"/>
  <c r="K25" i="10"/>
  <c r="K26" i="10"/>
  <c r="K27" i="10"/>
  <c r="K28" i="10"/>
  <c r="K29" i="10"/>
  <c r="K30" i="10"/>
  <c r="K31" i="10"/>
  <c r="K32" i="10"/>
  <c r="K33" i="10"/>
  <c r="K34" i="10"/>
  <c r="K35" i="10"/>
  <c r="K36" i="10"/>
  <c r="K37" i="10"/>
  <c r="K38" i="10"/>
  <c r="K39" i="10"/>
  <c r="K40" i="10"/>
  <c r="K41" i="10"/>
  <c r="K42" i="10"/>
  <c r="K43" i="10"/>
  <c r="K44" i="10"/>
  <c r="K45" i="10"/>
  <c r="K46" i="10"/>
  <c r="K47" i="10"/>
  <c r="K48" i="10"/>
  <c r="K49" i="10"/>
  <c r="K50" i="10"/>
  <c r="K51" i="10"/>
  <c r="K52" i="10"/>
  <c r="K53" i="10"/>
  <c r="K54" i="10"/>
  <c r="K55" i="10"/>
  <c r="K56" i="10"/>
  <c r="K57" i="10"/>
  <c r="K58" i="10"/>
  <c r="K59" i="10"/>
  <c r="K60" i="10"/>
  <c r="K61" i="10"/>
  <c r="K62" i="10"/>
  <c r="K63" i="10"/>
  <c r="K64" i="10"/>
  <c r="K65" i="10"/>
  <c r="K66" i="10"/>
  <c r="K67" i="10"/>
  <c r="K68" i="10"/>
  <c r="K69" i="10"/>
  <c r="K70" i="10"/>
  <c r="K71" i="10"/>
  <c r="K72" i="10"/>
  <c r="K73" i="10"/>
  <c r="K74" i="10"/>
  <c r="K75" i="10"/>
  <c r="K76" i="10"/>
  <c r="K77" i="10"/>
  <c r="K78" i="10"/>
  <c r="K79" i="10"/>
  <c r="K80" i="10"/>
  <c r="K81" i="10"/>
  <c r="K82" i="10"/>
  <c r="K83" i="10"/>
  <c r="K84" i="10"/>
  <c r="K85" i="10"/>
  <c r="K86" i="10"/>
  <c r="K87" i="10"/>
  <c r="K88" i="10"/>
  <c r="K89" i="10"/>
  <c r="K90" i="10"/>
  <c r="K91" i="10"/>
  <c r="K92" i="10"/>
  <c r="K93" i="10"/>
  <c r="K94" i="10"/>
  <c r="K95" i="10"/>
  <c r="K96" i="10"/>
  <c r="K97" i="10"/>
  <c r="K98" i="10"/>
  <c r="K99" i="10"/>
  <c r="K100" i="10"/>
  <c r="K101" i="10"/>
  <c r="J2" i="10"/>
  <c r="H2" i="10" s="1"/>
  <c r="I2" i="10" s="1"/>
  <c r="J3" i="10"/>
  <c r="H3" i="10" s="1"/>
  <c r="I3" i="10" s="1"/>
  <c r="J4" i="10"/>
  <c r="H4" i="10" s="1"/>
  <c r="I4" i="10" s="1"/>
  <c r="J5" i="10"/>
  <c r="H5" i="10" s="1"/>
  <c r="I5" i="10" s="1"/>
  <c r="J6" i="10"/>
  <c r="H6" i="10" s="1"/>
  <c r="I6" i="10" s="1"/>
  <c r="J7" i="10"/>
  <c r="H7" i="10" s="1"/>
  <c r="I7" i="10" s="1"/>
  <c r="J8" i="10"/>
  <c r="H8" i="10" s="1"/>
  <c r="I8" i="10" s="1"/>
  <c r="J9" i="10"/>
  <c r="H9" i="10" s="1"/>
  <c r="I9" i="10" s="1"/>
  <c r="J10" i="10"/>
  <c r="H10" i="10" s="1"/>
  <c r="I10" i="10" s="1"/>
  <c r="J11" i="10"/>
  <c r="H11" i="10" s="1"/>
  <c r="I11" i="10" s="1"/>
  <c r="J12" i="10"/>
  <c r="H12" i="10" s="1"/>
  <c r="I12" i="10" s="1"/>
  <c r="J13" i="10"/>
  <c r="H13" i="10" s="1"/>
  <c r="I13" i="10" s="1"/>
  <c r="J14" i="10"/>
  <c r="H14" i="10" s="1"/>
  <c r="I14" i="10" s="1"/>
  <c r="J15" i="10"/>
  <c r="H15" i="10" s="1"/>
  <c r="I15" i="10" s="1"/>
  <c r="J16" i="10"/>
  <c r="H16" i="10" s="1"/>
  <c r="I16" i="10" s="1"/>
  <c r="J17" i="10"/>
  <c r="H17" i="10" s="1"/>
  <c r="I17" i="10" s="1"/>
  <c r="J18" i="10"/>
  <c r="H18" i="10" s="1"/>
  <c r="I18" i="10" s="1"/>
  <c r="J19" i="10"/>
  <c r="H19" i="10" s="1"/>
  <c r="I19" i="10" s="1"/>
  <c r="J20" i="10"/>
  <c r="H20" i="10" s="1"/>
  <c r="I20" i="10" s="1"/>
  <c r="J21" i="10"/>
  <c r="H21" i="10" s="1"/>
  <c r="I21" i="10" s="1"/>
  <c r="J22" i="10"/>
  <c r="H22" i="10" s="1"/>
  <c r="I22" i="10" s="1"/>
  <c r="J23" i="10"/>
  <c r="H23" i="10" s="1"/>
  <c r="I23" i="10" s="1"/>
  <c r="J24" i="10"/>
  <c r="H24" i="10" s="1"/>
  <c r="I24" i="10" s="1"/>
  <c r="J25" i="10"/>
  <c r="H25" i="10" s="1"/>
  <c r="I25" i="10" s="1"/>
  <c r="J26" i="10"/>
  <c r="H26" i="10" s="1"/>
  <c r="I26" i="10" s="1"/>
  <c r="J27" i="10"/>
  <c r="H27" i="10" s="1"/>
  <c r="I27" i="10" s="1"/>
  <c r="J28" i="10"/>
  <c r="H28" i="10" s="1"/>
  <c r="I28" i="10" s="1"/>
  <c r="J29" i="10"/>
  <c r="H29" i="10" s="1"/>
  <c r="I29" i="10" s="1"/>
  <c r="J30" i="10"/>
  <c r="H30" i="10" s="1"/>
  <c r="I30" i="10" s="1"/>
  <c r="J31" i="10"/>
  <c r="H31" i="10" s="1"/>
  <c r="I31" i="10" s="1"/>
  <c r="J32" i="10"/>
  <c r="H32" i="10" s="1"/>
  <c r="I32" i="10" s="1"/>
  <c r="J33" i="10"/>
  <c r="H33" i="10" s="1"/>
  <c r="I33" i="10" s="1"/>
  <c r="J34" i="10"/>
  <c r="H34" i="10" s="1"/>
  <c r="I34" i="10" s="1"/>
  <c r="J35" i="10"/>
  <c r="H35" i="10" s="1"/>
  <c r="I35" i="10" s="1"/>
  <c r="J36" i="10"/>
  <c r="H36" i="10" s="1"/>
  <c r="I36" i="10" s="1"/>
  <c r="J37" i="10"/>
  <c r="H37" i="10" s="1"/>
  <c r="I37" i="10" s="1"/>
  <c r="J38" i="10"/>
  <c r="H38" i="10" s="1"/>
  <c r="I38" i="10" s="1"/>
  <c r="J39" i="10"/>
  <c r="H39" i="10" s="1"/>
  <c r="I39" i="10" s="1"/>
  <c r="J40" i="10"/>
  <c r="H40" i="10" s="1"/>
  <c r="I40" i="10" s="1"/>
  <c r="J41" i="10"/>
  <c r="H41" i="10" s="1"/>
  <c r="I41" i="10" s="1"/>
  <c r="J42" i="10"/>
  <c r="H42" i="10" s="1"/>
  <c r="I42" i="10" s="1"/>
  <c r="J43" i="10"/>
  <c r="H43" i="10" s="1"/>
  <c r="I43" i="10" s="1"/>
  <c r="J44" i="10"/>
  <c r="H44" i="10" s="1"/>
  <c r="I44" i="10" s="1"/>
  <c r="J45" i="10"/>
  <c r="H45" i="10" s="1"/>
  <c r="I45" i="10" s="1"/>
  <c r="J46" i="10"/>
  <c r="H46" i="10" s="1"/>
  <c r="I46" i="10" s="1"/>
  <c r="J47" i="10"/>
  <c r="H47" i="10" s="1"/>
  <c r="I47" i="10" s="1"/>
  <c r="J48" i="10"/>
  <c r="H48" i="10" s="1"/>
  <c r="I48" i="10" s="1"/>
  <c r="J49" i="10"/>
  <c r="H49" i="10" s="1"/>
  <c r="I49" i="10" s="1"/>
  <c r="J50" i="10"/>
  <c r="H50" i="10" s="1"/>
  <c r="I50" i="10" s="1"/>
  <c r="J51" i="10"/>
  <c r="H51" i="10" s="1"/>
  <c r="I51" i="10" s="1"/>
  <c r="J52" i="10"/>
  <c r="H52" i="10" s="1"/>
  <c r="J53" i="10"/>
  <c r="H53" i="10" s="1"/>
  <c r="J54" i="10"/>
  <c r="H54" i="10" s="1"/>
  <c r="J55" i="10"/>
  <c r="H55" i="10" s="1"/>
  <c r="J56" i="10"/>
  <c r="H56" i="10" s="1"/>
  <c r="J57" i="10"/>
  <c r="H57" i="10" s="1"/>
  <c r="J58" i="10"/>
  <c r="H58" i="10" s="1"/>
  <c r="J59" i="10"/>
  <c r="H59" i="10" s="1"/>
  <c r="J60" i="10"/>
  <c r="H60" i="10" s="1"/>
  <c r="J61" i="10"/>
  <c r="H61" i="10" s="1"/>
  <c r="J62" i="10"/>
  <c r="H62" i="10" s="1"/>
  <c r="J63" i="10"/>
  <c r="H63" i="10" s="1"/>
  <c r="J64" i="10"/>
  <c r="H64" i="10" s="1"/>
  <c r="J65" i="10"/>
  <c r="H65" i="10" s="1"/>
  <c r="J66" i="10"/>
  <c r="H66" i="10" s="1"/>
  <c r="J67" i="10"/>
  <c r="H67" i="10" s="1"/>
  <c r="J68" i="10"/>
  <c r="H68" i="10" s="1"/>
  <c r="J69" i="10"/>
  <c r="H69" i="10" s="1"/>
  <c r="J70" i="10"/>
  <c r="H70" i="10" s="1"/>
  <c r="J71" i="10"/>
  <c r="H71" i="10" s="1"/>
  <c r="J72" i="10"/>
  <c r="H72" i="10" s="1"/>
  <c r="J73" i="10"/>
  <c r="H73" i="10" s="1"/>
  <c r="J74" i="10"/>
  <c r="H74" i="10" s="1"/>
  <c r="J75" i="10"/>
  <c r="H75" i="10" s="1"/>
  <c r="J76" i="10"/>
  <c r="H76" i="10" s="1"/>
  <c r="J77" i="10"/>
  <c r="H77" i="10" s="1"/>
  <c r="J78" i="10"/>
  <c r="H78" i="10" s="1"/>
  <c r="J79" i="10"/>
  <c r="H79" i="10" s="1"/>
  <c r="J80" i="10"/>
  <c r="H80" i="10" s="1"/>
  <c r="J81" i="10"/>
  <c r="H81" i="10" s="1"/>
  <c r="J82" i="10"/>
  <c r="H82" i="10" s="1"/>
  <c r="J83" i="10"/>
  <c r="H83" i="10" s="1"/>
  <c r="J84" i="10"/>
  <c r="H84" i="10" s="1"/>
  <c r="J85" i="10"/>
  <c r="H85" i="10" s="1"/>
  <c r="J86" i="10"/>
  <c r="H86" i="10" s="1"/>
  <c r="J87" i="10"/>
  <c r="H87" i="10" s="1"/>
  <c r="J88" i="10"/>
  <c r="H88" i="10" s="1"/>
  <c r="J89" i="10"/>
  <c r="H89" i="10" s="1"/>
  <c r="J90" i="10"/>
  <c r="H90" i="10" s="1"/>
  <c r="J91" i="10"/>
  <c r="H91" i="10" s="1"/>
  <c r="J92" i="10"/>
  <c r="H92" i="10" s="1"/>
  <c r="J93" i="10"/>
  <c r="H93" i="10" s="1"/>
  <c r="J94" i="10"/>
  <c r="H94" i="10" s="1"/>
  <c r="J95" i="10"/>
  <c r="H95" i="10" s="1"/>
  <c r="J96" i="10"/>
  <c r="H96" i="10" s="1"/>
  <c r="J97" i="10"/>
  <c r="H97" i="10" s="1"/>
  <c r="J98" i="10"/>
  <c r="H98" i="10" s="1"/>
  <c r="J99" i="10"/>
  <c r="H99" i="10" s="1"/>
  <c r="J100" i="10"/>
  <c r="H100" i="10" s="1"/>
  <c r="J101" i="10"/>
  <c r="H101" i="10" s="1"/>
  <c r="A3" i="10"/>
  <c r="A4" i="10"/>
  <c r="A5" i="10"/>
  <c r="A6" i="10"/>
  <c r="A7" i="10"/>
  <c r="A8" i="10"/>
  <c r="A9" i="10"/>
  <c r="A10" i="10"/>
  <c r="A11" i="10"/>
  <c r="A12" i="10"/>
  <c r="A13" i="10"/>
  <c r="A14" i="10"/>
  <c r="A15" i="10"/>
  <c r="A16" i="10"/>
  <c r="A17" i="10"/>
  <c r="A18" i="10"/>
  <c r="A19" i="10"/>
  <c r="A20" i="10"/>
  <c r="A21" i="10"/>
  <c r="A22" i="10"/>
  <c r="A23" i="10"/>
  <c r="A24" i="10"/>
  <c r="A25" i="10"/>
  <c r="A26" i="10"/>
  <c r="A27" i="10"/>
  <c r="A28" i="10"/>
  <c r="A29" i="10"/>
  <c r="A30" i="10"/>
  <c r="A31" i="10"/>
  <c r="A32" i="10"/>
  <c r="A33" i="10"/>
  <c r="A34" i="10"/>
  <c r="A35" i="10"/>
  <c r="A36" i="10"/>
  <c r="A37" i="10"/>
  <c r="A38" i="10"/>
  <c r="A39" i="10"/>
  <c r="A40" i="10"/>
  <c r="A41" i="10"/>
  <c r="A42" i="10"/>
  <c r="A43" i="10"/>
  <c r="A44" i="10"/>
  <c r="A45" i="10"/>
  <c r="A46" i="10"/>
  <c r="A47" i="10"/>
  <c r="A48" i="10"/>
  <c r="A49" i="10"/>
  <c r="A50" i="10"/>
  <c r="A51" i="10"/>
  <c r="A2" i="10"/>
  <c r="D5" i="9"/>
  <c r="E5" i="9" s="1"/>
  <c r="D6" i="9"/>
  <c r="E6" i="9" s="1"/>
  <c r="D7" i="9"/>
  <c r="E7" i="9" s="1"/>
  <c r="D8" i="9"/>
  <c r="E8" i="9" s="1"/>
  <c r="D9" i="9"/>
  <c r="E9" i="9" s="1"/>
  <c r="D10" i="9"/>
  <c r="E10" i="9" s="1"/>
  <c r="D11" i="9"/>
  <c r="E11" i="9" s="1"/>
  <c r="D12" i="9"/>
  <c r="E12" i="9" s="1"/>
  <c r="D13" i="9"/>
  <c r="E13" i="9" s="1"/>
  <c r="D14" i="9"/>
  <c r="E14" i="9" s="1"/>
  <c r="D15" i="9"/>
  <c r="E15" i="9" s="1"/>
  <c r="D16" i="9"/>
  <c r="E16" i="9" s="1"/>
  <c r="D17" i="9"/>
  <c r="E17" i="9" s="1"/>
  <c r="D18" i="9"/>
  <c r="E18" i="9" s="1"/>
  <c r="D19" i="9"/>
  <c r="E19" i="9" s="1"/>
  <c r="D20" i="9"/>
  <c r="E20" i="9" s="1"/>
  <c r="D21" i="9"/>
  <c r="E21" i="9" s="1"/>
  <c r="D22" i="9"/>
  <c r="E22" i="9" s="1"/>
  <c r="D23" i="9"/>
  <c r="E23" i="9" s="1"/>
  <c r="D24" i="9"/>
  <c r="E24" i="9" s="1"/>
  <c r="D25" i="9"/>
  <c r="E25" i="9" s="1"/>
  <c r="D26" i="9"/>
  <c r="E26" i="9" s="1"/>
  <c r="D27" i="9"/>
  <c r="E27" i="9" s="1"/>
  <c r="D28" i="9"/>
  <c r="E28" i="9" s="1"/>
  <c r="D29" i="9"/>
  <c r="E29" i="9" s="1"/>
  <c r="D30" i="9"/>
  <c r="E30" i="9" s="1"/>
  <c r="D31" i="9"/>
  <c r="E31" i="9" s="1"/>
  <c r="D32" i="9"/>
  <c r="E32" i="9" s="1"/>
  <c r="D33" i="9"/>
  <c r="E33" i="9" s="1"/>
  <c r="D34" i="9"/>
  <c r="E34" i="9" s="1"/>
  <c r="D35" i="9"/>
  <c r="E35" i="9" s="1"/>
  <c r="D36" i="9"/>
  <c r="E36" i="9" s="1"/>
  <c r="D37" i="9"/>
  <c r="E37" i="9" s="1"/>
  <c r="D38" i="9"/>
  <c r="E38" i="9" s="1"/>
  <c r="D39" i="9"/>
  <c r="E39" i="9" s="1"/>
  <c r="D40" i="9"/>
  <c r="E40" i="9" s="1"/>
  <c r="D41" i="9"/>
  <c r="E41" i="9" s="1"/>
  <c r="D42" i="9"/>
  <c r="E42" i="9" s="1"/>
  <c r="D43" i="9"/>
  <c r="E43" i="9" s="1"/>
  <c r="D44" i="9"/>
  <c r="E44" i="9" s="1"/>
  <c r="D45" i="9"/>
  <c r="E45" i="9" s="1"/>
  <c r="D46" i="9"/>
  <c r="E46" i="9" s="1"/>
  <c r="D47" i="9"/>
  <c r="E47" i="9" s="1"/>
  <c r="D48" i="9"/>
  <c r="E48" i="9" s="1"/>
  <c r="D49" i="9"/>
  <c r="E49" i="9" s="1"/>
  <c r="D50" i="9"/>
  <c r="E50" i="9" s="1"/>
  <c r="D51" i="9"/>
  <c r="E51" i="9" s="1"/>
  <c r="D52" i="9"/>
  <c r="E52" i="9" s="1"/>
  <c r="D53" i="9"/>
  <c r="E53" i="9" s="1"/>
  <c r="D4" i="9"/>
  <c r="E4" i="9" s="1"/>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 i="9"/>
  <c r="A4" i="9"/>
  <c r="B4" i="9" s="1"/>
  <c r="B50" i="9" l="1"/>
  <c r="B46" i="9"/>
  <c r="B22" i="9"/>
  <c r="B18" i="9"/>
  <c r="B14" i="9"/>
  <c r="B10" i="9"/>
  <c r="B21" i="9"/>
  <c r="C21" i="9" s="1"/>
  <c r="B17" i="9"/>
  <c r="B13" i="9"/>
  <c r="B9" i="9"/>
  <c r="B52" i="9"/>
  <c r="B48" i="9"/>
  <c r="B44" i="9"/>
  <c r="B40" i="9"/>
  <c r="B36" i="9"/>
  <c r="B32" i="9"/>
  <c r="B28" i="9"/>
  <c r="B24" i="9"/>
  <c r="B20" i="9"/>
  <c r="C20" i="9" s="1"/>
  <c r="B16" i="9"/>
  <c r="C16" i="9" s="1"/>
  <c r="B12" i="9"/>
  <c r="C12" i="9" s="1"/>
  <c r="B8" i="9"/>
  <c r="C8" i="9" s="1"/>
  <c r="B51" i="9"/>
  <c r="B47" i="9"/>
  <c r="B43" i="9"/>
  <c r="B39" i="9"/>
  <c r="C39" i="9" s="1"/>
  <c r="B35" i="9"/>
  <c r="C35" i="9" s="1"/>
  <c r="B31" i="9"/>
  <c r="C31" i="9" s="1"/>
  <c r="B27" i="9"/>
  <c r="B23" i="9"/>
  <c r="B19" i="9"/>
  <c r="C19" i="9" s="1"/>
  <c r="B15" i="9"/>
  <c r="B11" i="9"/>
  <c r="B7" i="9"/>
  <c r="C7" i="9" s="1"/>
  <c r="B53" i="9"/>
  <c r="C53" i="9" s="1"/>
  <c r="B49" i="9"/>
  <c r="C49" i="9" s="1"/>
  <c r="B45" i="9"/>
  <c r="C45" i="9" s="1"/>
  <c r="B41" i="9"/>
  <c r="C40" i="9" s="1"/>
  <c r="B37" i="9"/>
  <c r="B33" i="9"/>
  <c r="C32" i="9" s="1"/>
  <c r="B29" i="9"/>
  <c r="B25" i="9"/>
  <c r="C24" i="9" s="1"/>
  <c r="B42" i="9"/>
  <c r="C42" i="9" s="1"/>
  <c r="B38" i="9"/>
  <c r="B34" i="9"/>
  <c r="B30" i="9"/>
  <c r="B26" i="9"/>
  <c r="C26" i="9" s="1"/>
  <c r="B6" i="9"/>
  <c r="B5" i="9"/>
  <c r="C4" i="9" s="1"/>
  <c r="E2"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G171" i="4"/>
  <c r="G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53" i="4"/>
  <c r="D154" i="4"/>
  <c r="D155" i="4"/>
  <c r="D156" i="4"/>
  <c r="D157" i="4"/>
  <c r="D158" i="4"/>
  <c r="D159" i="4"/>
  <c r="D160" i="4"/>
  <c r="D161" i="4"/>
  <c r="D162" i="4"/>
  <c r="D163" i="4"/>
  <c r="D164" i="4"/>
  <c r="D165" i="4"/>
  <c r="D166" i="4"/>
  <c r="D167" i="4"/>
  <c r="D168" i="4"/>
  <c r="D169" i="4"/>
  <c r="D170" i="4"/>
  <c r="F3" i="1"/>
  <c r="F2" i="1"/>
  <c r="A13" i="1"/>
  <c r="B51" i="2"/>
  <c r="B52" i="2"/>
  <c r="B53" i="2"/>
  <c r="B50" i="2"/>
  <c r="B47" i="2"/>
  <c r="B48" i="2"/>
  <c r="B49" i="2"/>
  <c r="B46" i="2"/>
  <c r="B43" i="2"/>
  <c r="B44" i="2"/>
  <c r="B45" i="2"/>
  <c r="B42" i="2"/>
  <c r="B39" i="2"/>
  <c r="B40" i="2"/>
  <c r="B41" i="2"/>
  <c r="B38" i="2"/>
  <c r="B35" i="2"/>
  <c r="B36" i="2"/>
  <c r="B37" i="2"/>
  <c r="B34" i="2"/>
  <c r="B31" i="2"/>
  <c r="B32" i="2"/>
  <c r="B33" i="2"/>
  <c r="B30" i="2"/>
  <c r="B27" i="2"/>
  <c r="B28" i="2"/>
  <c r="B29" i="2"/>
  <c r="B26" i="2"/>
  <c r="B23" i="2"/>
  <c r="B24" i="2"/>
  <c r="B25" i="2"/>
  <c r="B22" i="2"/>
  <c r="B19" i="2"/>
  <c r="B20" i="2"/>
  <c r="B21" i="2"/>
  <c r="B18" i="2"/>
  <c r="B15" i="2"/>
  <c r="B16" i="2"/>
  <c r="B17" i="2"/>
  <c r="B14" i="2"/>
  <c r="B11" i="2"/>
  <c r="B12" i="2"/>
  <c r="B13" i="2"/>
  <c r="B10" i="2"/>
  <c r="B7" i="2"/>
  <c r="B8" i="2"/>
  <c r="B9" i="2"/>
  <c r="B6" i="2"/>
  <c r="B2" i="2"/>
  <c r="B3" i="2"/>
  <c r="B4" i="2"/>
  <c r="B5" i="2"/>
  <c r="A3" i="1"/>
  <c r="A2" i="1"/>
  <c r="C30" i="9" l="1"/>
  <c r="C37" i="9"/>
  <c r="C14" i="9"/>
  <c r="C50" i="9"/>
  <c r="C22" i="9"/>
  <c r="C46" i="9"/>
  <c r="C5" i="9"/>
  <c r="C28" i="9"/>
  <c r="C48" i="9"/>
  <c r="C11" i="9"/>
  <c r="C27" i="9"/>
  <c r="C43" i="9"/>
  <c r="C36" i="9"/>
  <c r="C52" i="9"/>
  <c r="C15" i="9"/>
  <c r="C23" i="9"/>
  <c r="C47" i="9"/>
  <c r="C9" i="9"/>
  <c r="C29" i="9"/>
  <c r="C13" i="9"/>
  <c r="C38" i="9"/>
  <c r="C25" i="9"/>
  <c r="C33" i="9"/>
  <c r="C17" i="9"/>
  <c r="C18" i="9"/>
  <c r="C51" i="9"/>
  <c r="C44" i="9"/>
  <c r="C6" i="9"/>
  <c r="C41" i="9"/>
  <c r="C34" i="9"/>
  <c r="C10" i="9"/>
  <c r="B13" i="1"/>
  <c r="B6" i="5" s="1"/>
  <c r="A19" i="1"/>
  <c r="E20" i="1"/>
  <c r="E19" i="1"/>
  <c r="D171" i="4"/>
  <c r="B2" i="4" s="1"/>
  <c r="B166" i="4"/>
  <c r="B150" i="4"/>
  <c r="B134" i="4"/>
  <c r="B118" i="4"/>
  <c r="B102" i="4"/>
  <c r="B86" i="4"/>
  <c r="B70" i="4"/>
  <c r="B54" i="4"/>
  <c r="B38" i="4"/>
  <c r="B22" i="4"/>
  <c r="B6" i="4"/>
  <c r="B3" i="1"/>
  <c r="C3" i="1" s="1"/>
  <c r="B2" i="1"/>
  <c r="C19" i="1"/>
  <c r="K34" i="8" l="1"/>
  <c r="H34" i="8"/>
  <c r="B59" i="4"/>
  <c r="B75" i="4"/>
  <c r="B123" i="4"/>
  <c r="B26" i="4"/>
  <c r="B42" i="4"/>
  <c r="B74" i="4"/>
  <c r="B14" i="4"/>
  <c r="B30" i="4"/>
  <c r="B46" i="4"/>
  <c r="B62" i="4"/>
  <c r="B78" i="4"/>
  <c r="B94" i="4"/>
  <c r="B110" i="4"/>
  <c r="B126" i="4"/>
  <c r="B142" i="4"/>
  <c r="B158" i="4"/>
  <c r="B3" i="4"/>
  <c r="B19" i="4"/>
  <c r="B35" i="4"/>
  <c r="B51" i="4"/>
  <c r="B67" i="4"/>
  <c r="B83" i="4"/>
  <c r="B99" i="4"/>
  <c r="B115" i="4"/>
  <c r="B131" i="4"/>
  <c r="B147" i="4"/>
  <c r="B163" i="4"/>
  <c r="B8" i="4"/>
  <c r="B24" i="4"/>
  <c r="B40" i="4"/>
  <c r="B56" i="4"/>
  <c r="B72" i="4"/>
  <c r="B88" i="4"/>
  <c r="B104" i="4"/>
  <c r="B120" i="4"/>
  <c r="B136" i="4"/>
  <c r="B152" i="4"/>
  <c r="B168" i="4"/>
  <c r="B17" i="4"/>
  <c r="B33" i="4"/>
  <c r="B49" i="4"/>
  <c r="B65" i="4"/>
  <c r="B81" i="4"/>
  <c r="B97" i="4"/>
  <c r="B113" i="4"/>
  <c r="B129" i="4"/>
  <c r="B145" i="4"/>
  <c r="B161" i="4"/>
  <c r="B43" i="4"/>
  <c r="B91" i="4"/>
  <c r="B139" i="4"/>
  <c r="B18" i="4"/>
  <c r="B34" i="4"/>
  <c r="B50" i="4"/>
  <c r="B66" i="4"/>
  <c r="B82" i="4"/>
  <c r="B98" i="4"/>
  <c r="B114" i="4"/>
  <c r="B130" i="4"/>
  <c r="B146" i="4"/>
  <c r="B162" i="4"/>
  <c r="B7" i="4"/>
  <c r="B23" i="4"/>
  <c r="B39" i="4"/>
  <c r="B55" i="4"/>
  <c r="B71" i="4"/>
  <c r="B87" i="4"/>
  <c r="B103" i="4"/>
  <c r="B119" i="4"/>
  <c r="B135" i="4"/>
  <c r="B151" i="4"/>
  <c r="B167" i="4"/>
  <c r="B12" i="4"/>
  <c r="B28" i="4"/>
  <c r="B44" i="4"/>
  <c r="B60" i="4"/>
  <c r="B76" i="4"/>
  <c r="B92" i="4"/>
  <c r="B108" i="4"/>
  <c r="B124" i="4"/>
  <c r="B140" i="4"/>
  <c r="B156" i="4"/>
  <c r="B5" i="4"/>
  <c r="B21" i="4"/>
  <c r="B37" i="4"/>
  <c r="B53" i="4"/>
  <c r="B69" i="4"/>
  <c r="B85" i="4"/>
  <c r="B101" i="4"/>
  <c r="B117" i="4"/>
  <c r="B133" i="4"/>
  <c r="B149" i="4"/>
  <c r="B165" i="4"/>
  <c r="B16" i="4"/>
  <c r="B32" i="4"/>
  <c r="B48" i="4"/>
  <c r="B64" i="4"/>
  <c r="B80" i="4"/>
  <c r="B96" i="4"/>
  <c r="B112" i="4"/>
  <c r="B128" i="4"/>
  <c r="B144" i="4"/>
  <c r="B160" i="4"/>
  <c r="B9" i="4"/>
  <c r="B25" i="4"/>
  <c r="B41" i="4"/>
  <c r="B57" i="4"/>
  <c r="B73" i="4"/>
  <c r="B89" i="4"/>
  <c r="B105" i="4"/>
  <c r="B121" i="4"/>
  <c r="B137" i="4"/>
  <c r="B153" i="4"/>
  <c r="B169" i="4"/>
  <c r="B11" i="4"/>
  <c r="B27" i="4"/>
  <c r="B107" i="4"/>
  <c r="B155" i="4"/>
  <c r="B10" i="4"/>
  <c r="B58" i="4"/>
  <c r="B90" i="4"/>
  <c r="B106" i="4"/>
  <c r="B122" i="4"/>
  <c r="B138" i="4"/>
  <c r="B154" i="4"/>
  <c r="B170" i="4"/>
  <c r="B15" i="4"/>
  <c r="B31" i="4"/>
  <c r="B47" i="4"/>
  <c r="B63" i="4"/>
  <c r="B79" i="4"/>
  <c r="B95" i="4"/>
  <c r="B111" i="4"/>
  <c r="B127" i="4"/>
  <c r="B143" i="4"/>
  <c r="B159" i="4"/>
  <c r="B4" i="4"/>
  <c r="B20" i="4"/>
  <c r="B36" i="4"/>
  <c r="B52" i="4"/>
  <c r="B68" i="4"/>
  <c r="B84" i="4"/>
  <c r="B100" i="4"/>
  <c r="B116" i="4"/>
  <c r="B132" i="4"/>
  <c r="B148" i="4"/>
  <c r="B164" i="4"/>
  <c r="B13" i="4"/>
  <c r="B29" i="4"/>
  <c r="B45" i="4"/>
  <c r="B61" i="4"/>
  <c r="B77" i="4"/>
  <c r="B93" i="4"/>
  <c r="B109" i="4"/>
  <c r="B125" i="4"/>
  <c r="B141" i="4"/>
  <c r="B157" i="4"/>
  <c r="C2" i="1"/>
  <c r="A6" i="1" s="1"/>
  <c r="D24" i="1" l="1"/>
  <c r="A7" i="1"/>
  <c r="A10" i="1" s="1"/>
  <c r="B9" i="5" l="1"/>
  <c r="A16" i="1"/>
  <c r="A1" i="8" l="1"/>
  <c r="S28" i="8"/>
  <c r="H5" i="8"/>
  <c r="D29" i="8"/>
  <c r="S10" i="8"/>
  <c r="N5" i="8"/>
  <c r="K5" i="8"/>
  <c r="N34" i="8"/>
  <c r="D9" i="8"/>
  <c r="D23" i="1"/>
  <c r="A23" i="1"/>
  <c r="B12" i="5"/>
  <c r="B15" i="5" l="1"/>
  <c r="A8" i="8"/>
</calcChain>
</file>

<file path=xl/comments1.xml><?xml version="1.0" encoding="utf-8"?>
<comments xmlns="http://schemas.openxmlformats.org/spreadsheetml/2006/main">
  <authors>
    <author>j c</author>
  </authors>
  <commentList>
    <comment ref="B2" authorId="0">
      <text>
        <r>
          <rPr>
            <sz val="9"/>
            <color indexed="81"/>
            <rFont val="Tahoma"/>
            <family val="2"/>
          </rPr>
          <t>The number of players at the table greatly influences what types of hands, or hand ranges, you should potentially play.
The maximum number of players is 10 because this is the max in live play (9 is usually the max online). Also, at higher $ levels 6 players (6 max) is often the max online.
The minimum number of players is 3 because this trainer is currently only for preflop hand ranges assuming you are NOT in the blinds. Blind play is more complex and should include different pot odd calculations.</t>
        </r>
      </text>
    </comment>
    <comment ref="D2" authorId="0">
      <text>
        <r>
          <rPr>
            <sz val="9"/>
            <color indexed="81"/>
            <rFont val="Tahoma"/>
            <family val="2"/>
          </rPr>
          <t>The vast majority of preflop range trainer applications use simplified starting hand charts with a fixed number of players. As a result, these apps are almost useless unless you play in the same very specific scenarios (usually for small $) that they simulate.
This setting allows you to select your own unique hand ranges for the specific scenarios you are preparing for.</t>
        </r>
      </text>
    </comment>
    <comment ref="B5" authorId="0">
      <text>
        <r>
          <rPr>
            <sz val="9"/>
            <color indexed="81"/>
            <rFont val="Tahoma"/>
            <family val="2"/>
          </rPr>
          <t>Where you are located at the table in relation to the blinds is very import. Your advantage increases the closer to the button you are because you get to act later, and therefore with more information, than others. A general oversimplification is that if EVERYTHING else is equal, you have almost a 2:1 advantage with position.
The seating positions are fairly standardized for 6 max or less; i.e. Big Blind (BB), Small Blind (SB), Low Jack (LJ), High Jack (HJ), Cut Off (CO), and Button (B). However, the seat definitions can vary if there are more than 6 (sometimes 4) players.
A very common method is to fill whatever extra seats there are with Under The Gun (UTG) or Early Position (EP); which means first to act after the BB. Then, each following seat is UTG+1 or EP+1, UTG+2, etc. However, this method has some issues; i.e. if you are 3 handed you are BOTH on the button (positive) and UTG (negative); which doesn't make sense. Therefore, if there are more than 6 players we will reference how far off the button we are (B-x).</t>
        </r>
      </text>
    </comment>
    <comment ref="B8" authorId="0">
      <text>
        <r>
          <rPr>
            <sz val="9"/>
            <color indexed="81"/>
            <rFont val="Tahoma"/>
            <family val="2"/>
          </rPr>
          <t>This is the hand you were dealt. There are 1,326 unique starting hands in the deck; (52*51)/2. We divide by 2 because 3hAh is the same as Ah3h.
It is assumed you know the card rankings/values.</t>
        </r>
      </text>
    </comment>
    <comment ref="B11" authorId="0">
      <text>
        <r>
          <rPr>
            <sz val="9"/>
            <color indexed="81"/>
            <rFont val="Tahoma"/>
            <family val="2"/>
          </rPr>
          <t>This is the type of starting hand you were dealt. You can use card combinatorics to determine which types of hands you (and your opponents) will get dealt on average. The type of hand you were dealt also becomes import on later streets; i.e. it is easier to make a flush with JTs than JTo.
A brief overview:
- There are a 169 different types of hands, but their likelihood varies.
- The are 6 (3X2) ways to get dealt any pocket pair; i.e. 44 can be dealt as 4s4h, 4s4d, 4s4c, 4h4d, 4d4c, or 4d4c.
- There are 4 (4X1) ways to get dealt any suited hand because there are 4 different suites; i.e. A4s as As4s, Ah4h, Ad4d, or Ac4c.
- There are 12 (4X3) ways to get dealt any unsuited hand; i.e. AKo as AsKc, AsKd, AsKh, AhKc, AhKd, AhKs, AdKc, AdKh, AdKs, AcKd, AcKh, AcKs.</t>
        </r>
      </text>
    </comment>
  </commentList>
</comments>
</file>

<file path=xl/comments2.xml><?xml version="1.0" encoding="utf-8"?>
<comments xmlns="http://schemas.openxmlformats.org/spreadsheetml/2006/main">
  <authors>
    <author>j c</author>
  </authors>
  <commentList>
    <comment ref="G1" authorId="0">
      <text>
        <r>
          <rPr>
            <sz val="9"/>
            <color indexed="81"/>
            <rFont val="Tahoma"/>
            <family val="2"/>
          </rPr>
          <t>o = open
f = fold</t>
        </r>
      </text>
    </comment>
  </commentList>
</comments>
</file>

<file path=xl/sharedStrings.xml><?xml version="1.0" encoding="utf-8"?>
<sst xmlns="http://schemas.openxmlformats.org/spreadsheetml/2006/main" count="898" uniqueCount="365">
  <si>
    <t>Ranks</t>
  </si>
  <si>
    <t>Suits</t>
  </si>
  <si>
    <t>A</t>
  </si>
  <si>
    <t>K</t>
  </si>
  <si>
    <t>Q</t>
  </si>
  <si>
    <t>J</t>
  </si>
  <si>
    <t>T</t>
  </si>
  <si>
    <t>c</t>
  </si>
  <si>
    <t>d</t>
  </si>
  <si>
    <t>h</t>
  </si>
  <si>
    <t>s</t>
  </si>
  <si>
    <t>Card</t>
  </si>
  <si>
    <t>Index</t>
  </si>
  <si>
    <t>Unimproved</t>
  </si>
  <si>
    <t>AA</t>
  </si>
  <si>
    <t>KK</t>
  </si>
  <si>
    <t>QQ</t>
  </si>
  <si>
    <t>JJ</t>
  </si>
  <si>
    <t>TT</t>
  </si>
  <si>
    <t>AKs</t>
  </si>
  <si>
    <t>AKo</t>
  </si>
  <si>
    <t>AQs</t>
  </si>
  <si>
    <t>AQo</t>
  </si>
  <si>
    <t>AJs</t>
  </si>
  <si>
    <t>AJo</t>
  </si>
  <si>
    <t>ATs</t>
  </si>
  <si>
    <t>ATo</t>
  </si>
  <si>
    <t>A9s</t>
  </si>
  <si>
    <t>A9o</t>
  </si>
  <si>
    <t>A8s</t>
  </si>
  <si>
    <t>A8o</t>
  </si>
  <si>
    <t>A7s</t>
  </si>
  <si>
    <t>A7o</t>
  </si>
  <si>
    <t>A6s</t>
  </si>
  <si>
    <t>A6o</t>
  </si>
  <si>
    <t>A5s</t>
  </si>
  <si>
    <t>A5o</t>
  </si>
  <si>
    <t>A4s</t>
  </si>
  <si>
    <t>A4o</t>
  </si>
  <si>
    <t>A3s</t>
  </si>
  <si>
    <t>A3o</t>
  </si>
  <si>
    <t>A2s</t>
  </si>
  <si>
    <t>A2o</t>
  </si>
  <si>
    <t>KQs</t>
  </si>
  <si>
    <t>KQo</t>
  </si>
  <si>
    <t>KJs</t>
  </si>
  <si>
    <t>KJo</t>
  </si>
  <si>
    <t>KTs</t>
  </si>
  <si>
    <t>KTo</t>
  </si>
  <si>
    <t>K9s</t>
  </si>
  <si>
    <t>K9o</t>
  </si>
  <si>
    <t>K8s</t>
  </si>
  <si>
    <t>K8o</t>
  </si>
  <si>
    <t>K7s</t>
  </si>
  <si>
    <t>K7o</t>
  </si>
  <si>
    <t>K6s</t>
  </si>
  <si>
    <t>K6o</t>
  </si>
  <si>
    <t>K5s</t>
  </si>
  <si>
    <t>K5o</t>
  </si>
  <si>
    <t>K4s</t>
  </si>
  <si>
    <t>K4o</t>
  </si>
  <si>
    <t>K3s</t>
  </si>
  <si>
    <t>K3o</t>
  </si>
  <si>
    <t>K2s</t>
  </si>
  <si>
    <t>K2o</t>
  </si>
  <si>
    <t>QJs</t>
  </si>
  <si>
    <t>QJo</t>
  </si>
  <si>
    <t>QTs</t>
  </si>
  <si>
    <t>QTo</t>
  </si>
  <si>
    <t>Q9s</t>
  </si>
  <si>
    <t>Q9o</t>
  </si>
  <si>
    <t>Q8s</t>
  </si>
  <si>
    <t>Q8o</t>
  </si>
  <si>
    <t>Q7s</t>
  </si>
  <si>
    <t>Q7o</t>
  </si>
  <si>
    <t>Q6s</t>
  </si>
  <si>
    <t>Q6o</t>
  </si>
  <si>
    <t>Q5s</t>
  </si>
  <si>
    <t>Q5o</t>
  </si>
  <si>
    <t>Q4s</t>
  </si>
  <si>
    <t>Q4o</t>
  </si>
  <si>
    <t>Q3s</t>
  </si>
  <si>
    <t>Q3o</t>
  </si>
  <si>
    <t>Q2s</t>
  </si>
  <si>
    <t>Q2o</t>
  </si>
  <si>
    <t>JTs</t>
  </si>
  <si>
    <t>JTo</t>
  </si>
  <si>
    <t>J9s</t>
  </si>
  <si>
    <t>J9o</t>
  </si>
  <si>
    <t>J8s</t>
  </si>
  <si>
    <t>J8o</t>
  </si>
  <si>
    <t>J7s</t>
  </si>
  <si>
    <t>J7o</t>
  </si>
  <si>
    <t>J6s</t>
  </si>
  <si>
    <t>J6o</t>
  </si>
  <si>
    <t>J5s</t>
  </si>
  <si>
    <t>J5o</t>
  </si>
  <si>
    <t>J4s</t>
  </si>
  <si>
    <t>J4o</t>
  </si>
  <si>
    <t>J3s</t>
  </si>
  <si>
    <t>J3o</t>
  </si>
  <si>
    <t>J2s</t>
  </si>
  <si>
    <t>J2o</t>
  </si>
  <si>
    <t>T9s</t>
  </si>
  <si>
    <t>T9o</t>
  </si>
  <si>
    <t>T8s</t>
  </si>
  <si>
    <t>T8o</t>
  </si>
  <si>
    <t>T7s</t>
  </si>
  <si>
    <t>T7o</t>
  </si>
  <si>
    <t>T6s</t>
  </si>
  <si>
    <t>T6o</t>
  </si>
  <si>
    <t>T5s</t>
  </si>
  <si>
    <t>T5o</t>
  </si>
  <si>
    <t>T4s</t>
  </si>
  <si>
    <t>T4o</t>
  </si>
  <si>
    <t>T3s</t>
  </si>
  <si>
    <t>T3o</t>
  </si>
  <si>
    <t>T2s</t>
  </si>
  <si>
    <t>T2o</t>
  </si>
  <si>
    <t>98s</t>
  </si>
  <si>
    <t>98o</t>
  </si>
  <si>
    <t>97s</t>
  </si>
  <si>
    <t>97o</t>
  </si>
  <si>
    <t>96s</t>
  </si>
  <si>
    <t>96o</t>
  </si>
  <si>
    <t>95s</t>
  </si>
  <si>
    <t>95o</t>
  </si>
  <si>
    <t>94s</t>
  </si>
  <si>
    <t>94o</t>
  </si>
  <si>
    <t>93s</t>
  </si>
  <si>
    <t>93o</t>
  </si>
  <si>
    <t>92s</t>
  </si>
  <si>
    <t>92o</t>
  </si>
  <si>
    <t>87s</t>
  </si>
  <si>
    <t>87o</t>
  </si>
  <si>
    <t>86s</t>
  </si>
  <si>
    <t>86o</t>
  </si>
  <si>
    <t>85s</t>
  </si>
  <si>
    <t>85o</t>
  </si>
  <si>
    <t>84s</t>
  </si>
  <si>
    <t>84o</t>
  </si>
  <si>
    <t>83s</t>
  </si>
  <si>
    <t>83o</t>
  </si>
  <si>
    <t>82s</t>
  </si>
  <si>
    <t>82o</t>
  </si>
  <si>
    <t>76s</t>
  </si>
  <si>
    <t>76o</t>
  </si>
  <si>
    <t>75s</t>
  </si>
  <si>
    <t>75o</t>
  </si>
  <si>
    <t>74s</t>
  </si>
  <si>
    <t>74o</t>
  </si>
  <si>
    <t>73s</t>
  </si>
  <si>
    <t>73o</t>
  </si>
  <si>
    <t>72s</t>
  </si>
  <si>
    <t>72o</t>
  </si>
  <si>
    <t>65s</t>
  </si>
  <si>
    <t>65o</t>
  </si>
  <si>
    <t>64s</t>
  </si>
  <si>
    <t>64o</t>
  </si>
  <si>
    <t>63s</t>
  </si>
  <si>
    <t>63o</t>
  </si>
  <si>
    <t>62s</t>
  </si>
  <si>
    <t>62o</t>
  </si>
  <si>
    <t>54s</t>
  </si>
  <si>
    <t>54o</t>
  </si>
  <si>
    <t>53s</t>
  </si>
  <si>
    <t>53o</t>
  </si>
  <si>
    <t>52s</t>
  </si>
  <si>
    <t>52o</t>
  </si>
  <si>
    <t>43s</t>
  </si>
  <si>
    <t>43o</t>
  </si>
  <si>
    <t>42s</t>
  </si>
  <si>
    <t>42o</t>
  </si>
  <si>
    <t>32s</t>
  </si>
  <si>
    <t>32o</t>
  </si>
  <si>
    <t>Hole Cards</t>
  </si>
  <si>
    <t>How many players are there?</t>
  </si>
  <si>
    <t>Your Hand</t>
  </si>
  <si>
    <t>Position</t>
  </si>
  <si>
    <t>BB</t>
  </si>
  <si>
    <t>SB</t>
  </si>
  <si>
    <t>Button</t>
  </si>
  <si>
    <t>Cut Off</t>
  </si>
  <si>
    <t>High Jack</t>
  </si>
  <si>
    <t>Lable</t>
  </si>
  <si>
    <t>B</t>
  </si>
  <si>
    <t>CO</t>
  </si>
  <si>
    <t>HJ</t>
  </si>
  <si>
    <t>LJ</t>
  </si>
  <si>
    <t>B-5</t>
  </si>
  <si>
    <t>B-6</t>
  </si>
  <si>
    <t>B-7</t>
  </si>
  <si>
    <t>B-8</t>
  </si>
  <si>
    <t>Low Jack</t>
  </si>
  <si>
    <t>5 Off Button</t>
  </si>
  <si>
    <t>6 Off Button</t>
  </si>
  <si>
    <t>7 Off Button</t>
  </si>
  <si>
    <t>8 Off Button</t>
  </si>
  <si>
    <t>Big Blind</t>
  </si>
  <si>
    <t>Small Blind</t>
  </si>
  <si>
    <t>Sorted Cards</t>
  </si>
  <si>
    <t>Random Cards</t>
  </si>
  <si>
    <t>Hand Type</t>
  </si>
  <si>
    <t>Your Position</t>
  </si>
  <si>
    <t>Random Position</t>
  </si>
  <si>
    <t>Min Opening Card</t>
  </si>
  <si>
    <t>Desired Action</t>
  </si>
  <si>
    <t>% Test</t>
  </si>
  <si>
    <t>Feedback</t>
  </si>
  <si>
    <t>open</t>
  </si>
  <si>
    <t>fold</t>
  </si>
  <si>
    <t>Possible Actions</t>
  </si>
  <si>
    <t>99</t>
  </si>
  <si>
    <t>88</t>
  </si>
  <si>
    <t>77</t>
  </si>
  <si>
    <t>66</t>
  </si>
  <si>
    <t>55</t>
  </si>
  <si>
    <t>44</t>
  </si>
  <si>
    <t>33</t>
  </si>
  <si>
    <t>22</t>
  </si>
  <si>
    <t># Needs the ' before number to actually store it (as opposed to just changing the formatting).</t>
  </si>
  <si>
    <t>Number Stored as Text Test</t>
  </si>
  <si>
    <t>Unique Card Test</t>
  </si>
  <si>
    <t>Detailed Feedback</t>
  </si>
  <si>
    <t>CombosSHEV</t>
  </si>
  <si>
    <t>CombosU</t>
  </si>
  <si>
    <t>%DeckU</t>
  </si>
  <si>
    <t>%DeckSHEV</t>
  </si>
  <si>
    <t>StartingHandsEV</t>
  </si>
  <si>
    <t>Desired Range?</t>
  </si>
  <si>
    <t>Desired Range</t>
  </si>
  <si>
    <t>Multiple Range Testing</t>
  </si>
  <si>
    <t>Your Decision?</t>
  </si>
  <si>
    <t># Ref http://www.pokerroom.com/poker/poker-school/ev-stats/total-stats-by-card/ on 12/22/2016</t>
  </si>
  <si>
    <t># Adding additional ranges is cumbersome and inefficient.</t>
  </si>
  <si>
    <t># Various options for calculating percentage of min opening card based off of position.</t>
  </si>
  <si>
    <t># Card display in 2 or 4 color deck.</t>
  </si>
  <si>
    <t># The image of the table will change based off number of players in settings.</t>
  </si>
  <si>
    <t># All cards will be face down except for the ones at the correct position.</t>
  </si>
  <si>
    <t># Allow fixing the position.</t>
  </si>
  <si>
    <t># Allow fixing the hand.</t>
  </si>
  <si>
    <t># If no players improve their starting hands this is the winning order.</t>
  </si>
  <si>
    <t># Allow brief or more detailed feedback</t>
  </si>
  <si>
    <t># See Sample_History worksheet for workaround.</t>
  </si>
  <si>
    <t>Hole_Cards</t>
  </si>
  <si>
    <t>Td3s</t>
  </si>
  <si>
    <t>Kc3s</t>
  </si>
  <si>
    <t>KdKc</t>
  </si>
  <si>
    <t>Kd5s</t>
  </si>
  <si>
    <t>8s5s</t>
  </si>
  <si>
    <t>8s6s</t>
  </si>
  <si>
    <t>6s5d</t>
  </si>
  <si>
    <t>7h5d</t>
  </si>
  <si>
    <t>Ks7h</t>
  </si>
  <si>
    <t>KsQd</t>
  </si>
  <si>
    <t>Qd8s</t>
  </si>
  <si>
    <t>8s3c</t>
  </si>
  <si>
    <t>Qc3c</t>
  </si>
  <si>
    <t>Qc9h</t>
  </si>
  <si>
    <t>9h4h</t>
  </si>
  <si>
    <t>Jc4h</t>
  </si>
  <si>
    <t>JcTs</t>
  </si>
  <si>
    <t>AcTs</t>
  </si>
  <si>
    <t>AcQd</t>
  </si>
  <si>
    <t>QdQd</t>
  </si>
  <si>
    <t>KcKc</t>
  </si>
  <si>
    <t>Kc7d</t>
  </si>
  <si>
    <t>Qh7d</t>
  </si>
  <si>
    <t>Qh4s</t>
  </si>
  <si>
    <t>9c4s</t>
  </si>
  <si>
    <t>Jc9c</t>
  </si>
  <si>
    <t>Jc2c</t>
  </si>
  <si>
    <t>6s2c</t>
  </si>
  <si>
    <t>6s3d</t>
  </si>
  <si>
    <t>6d3d</t>
  </si>
  <si>
    <t>6d4h</t>
  </si>
  <si>
    <t>Qh4h</t>
  </si>
  <si>
    <t>KhQh</t>
  </si>
  <si>
    <t>KhTd</t>
  </si>
  <si>
    <t>AdTd</t>
  </si>
  <si>
    <t>Ad9s</t>
  </si>
  <si>
    <t>9s8s</t>
  </si>
  <si>
    <t>8s8h</t>
  </si>
  <si>
    <t>8h7h</t>
  </si>
  <si>
    <t>Kc7h</t>
  </si>
  <si>
    <t>Kc3c</t>
  </si>
  <si>
    <t>3c2h</t>
  </si>
  <si>
    <t>9d2h</t>
  </si>
  <si>
    <t>9d6c</t>
  </si>
  <si>
    <t>6c3s</t>
  </si>
  <si>
    <t>9h3s</t>
  </si>
  <si>
    <t>Ac9h</t>
  </si>
  <si>
    <t>Ac3c</t>
  </si>
  <si>
    <t>Jh3c</t>
  </si>
  <si>
    <t>JhTs</t>
  </si>
  <si>
    <t>JsTs</t>
  </si>
  <si>
    <t>Js5h</t>
  </si>
  <si>
    <t>5h5d</t>
  </si>
  <si>
    <t>7s5d</t>
  </si>
  <si>
    <t>7s7d</t>
  </si>
  <si>
    <t>7d5s</t>
  </si>
  <si>
    <t>Ac5s</t>
  </si>
  <si>
    <t>Ac9s</t>
  </si>
  <si>
    <t>9s5c</t>
  </si>
  <si>
    <t>5s5c</t>
  </si>
  <si>
    <t>6h5s</t>
  </si>
  <si>
    <t>6h3d</t>
  </si>
  <si>
    <t>7h3d</t>
  </si>
  <si>
    <t>7h6s</t>
  </si>
  <si>
    <t>Js6s</t>
  </si>
  <si>
    <t>KcJs</t>
  </si>
  <si>
    <t>Kc2h</t>
  </si>
  <si>
    <t>Tc2h</t>
  </si>
  <si>
    <t>QhTc</t>
  </si>
  <si>
    <t>AdKh</t>
  </si>
  <si>
    <t>AdJh</t>
  </si>
  <si>
    <t>JsJh</t>
  </si>
  <si>
    <t>Js3s</t>
  </si>
  <si>
    <t>5s3s</t>
  </si>
  <si>
    <t>5s2d</t>
  </si>
  <si>
    <t>Jc2d</t>
  </si>
  <si>
    <t>Ts4c</t>
  </si>
  <si>
    <t>Td4c</t>
  </si>
  <si>
    <t>Td5c</t>
  </si>
  <si>
    <t>5c4c</t>
  </si>
  <si>
    <t>5s4c</t>
  </si>
  <si>
    <t>5s5s</t>
  </si>
  <si>
    <t>3c3c</t>
  </si>
  <si>
    <t>6c3c</t>
  </si>
  <si>
    <t>Kc6c</t>
  </si>
  <si>
    <t>Kc8c</t>
  </si>
  <si>
    <t>Tc8c</t>
  </si>
  <si>
    <t>KsTc</t>
  </si>
  <si>
    <t>KsKh</t>
  </si>
  <si>
    <t>KhTs</t>
  </si>
  <si>
    <t>QdTs</t>
  </si>
  <si>
    <t>QsQd</t>
  </si>
  <si>
    <t>Qs6c</t>
  </si>
  <si>
    <t>Ts6c</t>
  </si>
  <si>
    <t>Jh7h</t>
  </si>
  <si>
    <t>9d7h</t>
  </si>
  <si>
    <t>9d5h</t>
  </si>
  <si>
    <t>Num_Players</t>
  </si>
  <si>
    <t>Range</t>
  </si>
  <si>
    <t>Decision</t>
  </si>
  <si>
    <t>Position_Index</t>
  </si>
  <si>
    <t>Index_Card</t>
  </si>
  <si>
    <t>Index_Position</t>
  </si>
  <si>
    <t># Should be option buttons like online.</t>
  </si>
  <si>
    <t>Fixed_Positions</t>
  </si>
  <si>
    <t>Fixed_Hole_Cards</t>
  </si>
  <si>
    <t>f</t>
  </si>
  <si>
    <t>o</t>
  </si>
  <si>
    <t>Hand_Type</t>
  </si>
  <si>
    <t>Min_Opening_Card</t>
  </si>
  <si>
    <t>Desired_Action</t>
  </si>
  <si>
    <t># Basic analysis could then be done looking for incorrect patterns which could help strengthen one's game.</t>
  </si>
  <si>
    <t># Thinking each range will be in a different file to access in code.</t>
  </si>
  <si>
    <t># The columns starting at Desired_Action and that continue to the right can be hidden if you want to practice.</t>
  </si>
  <si>
    <t># Also, if you disagreed with the feedback you could customize ranges based off of your experiences/preferences.</t>
  </si>
  <si>
    <t># The random function (how the hole cards are created) auto refreshes every time you do something in the workbook. This makes the correct feedback change when you make a decision (which is a problem but doesn't matter for this sample).</t>
  </si>
  <si>
    <t>Date_Time</t>
  </si>
  <si>
    <t># Also, have this type of information stored for later review and pattern analysis. See Sample_History worksheet.</t>
  </si>
  <si>
    <t># This won't always be unique because the 3rd random number can still be the same as the first 2. This must be prevented in code.</t>
  </si>
  <si>
    <t># This is a workaround sheet to get several HoleCards and positions that don't change after performing an action. There is a remote chance that the cards will be the same, but we'll ignore them (they won't match to the ranges).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</si>
</sst>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9"/>
      <color indexed="81"/>
      <name val="Tahoma"/>
      <family val="2"/>
    </font>
  </fonts>
  <fills count="4">
    <fill>
      <patternFill patternType="none"/>
    </fill>
    <fill>
      <patternFill patternType="gray125"/>
    </fill>
    <fill>
      <patternFill patternType="solid">
        <fgColor rgb="FFFFFFAB"/>
        <bgColor indexed="64"/>
      </patternFill>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0" fillId="0" borderId="0" xfId="0" quotePrefix="1"/>
    <xf numFmtId="0" fontId="0" fillId="2" borderId="1" xfId="0" applyFill="1" applyBorder="1" applyAlignment="1">
      <alignment horizontal="center"/>
    </xf>
    <xf numFmtId="0" fontId="1" fillId="0" borderId="0" xfId="0" applyFont="1"/>
    <xf numFmtId="49" fontId="0" fillId="0" borderId="0" xfId="0" applyNumberFormat="1"/>
    <xf numFmtId="49" fontId="0" fillId="0" borderId="0" xfId="0" quotePrefix="1" applyNumberFormat="1"/>
    <xf numFmtId="0" fontId="0" fillId="3" borderId="0" xfId="0" applyFill="1"/>
    <xf numFmtId="22" fontId="0" fillId="0" borderId="0" xfId="0" applyNumberFormat="1"/>
  </cellXfs>
  <cellStyles count="1">
    <cellStyle name="Normal" xfId="0" builtinId="0"/>
  </cellStyles>
  <dxfs count="16">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27" formatCode="m/d/yyyy\ h:mm"/>
    </dxf>
    <dxf>
      <font>
        <b/>
        <i val="0"/>
        <strike val="0"/>
        <condense val="0"/>
        <extend val="0"/>
        <outline val="0"/>
        <shadow val="0"/>
        <u val="none"/>
        <vertAlign val="baseline"/>
        <sz val="11"/>
        <color theme="1"/>
        <name val="Calibri"/>
        <scheme val="minor"/>
      </font>
    </dxf>
    <dxf>
      <numFmt numFmtId="0" formatCode="General"/>
    </dxf>
    <dxf>
      <numFmt numFmtId="0" formatCode="General"/>
    </dxf>
    <dxf>
      <numFmt numFmtId="0" formatCode="General"/>
    </dxf>
    <dxf>
      <numFmt numFmtId="0" formatCode="General"/>
    </dxf>
    <dxf>
      <numFmt numFmtId="0" formatCode="General"/>
    </dxf>
    <dxf>
      <font>
        <b/>
        <i val="0"/>
        <strike val="0"/>
        <condense val="0"/>
        <extend val="0"/>
        <outline val="0"/>
        <shadow val="0"/>
        <u val="none"/>
        <vertAlign val="baseline"/>
        <sz val="11"/>
        <color theme="1"/>
        <name val="Calibri"/>
        <scheme val="minor"/>
      </font>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5"/>
      <tableStyleElement type="headerRow" dxfId="14"/>
    </tableStyle>
  </tableStyles>
  <colors>
    <mruColors>
      <color rgb="FFFFFFAB"/>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142875</xdr:colOff>
      <xdr:row>5</xdr:row>
      <xdr:rowOff>47625</xdr:rowOff>
    </xdr:from>
    <xdr:to>
      <xdr:col>18</xdr:col>
      <xdr:colOff>142875</xdr:colOff>
      <xdr:row>32</xdr:row>
      <xdr:rowOff>114300</xdr:rowOff>
    </xdr:to>
    <xdr:pic>
      <xdr:nvPicPr>
        <xdr:cNvPr id="3" name="Picture 2" descr="C:\Users\jdcald13\AppData\Local\Microsoft\Windows\INetCache\IE\J5P9QWUL\Texas_Hold'em_Poker_Table_with_Blinds.svg[1].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71675" y="809625"/>
          <a:ext cx="9144000" cy="5210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7" name="Table7" displayName="Table7" ref="A27:A30" totalsRowShown="0" headerRowDxfId="13">
  <autoFilter ref="A27:A30"/>
  <tableColumns count="1">
    <tableColumn id="1" name="Possible Actions"/>
  </tableColumns>
  <tableStyleInfo name="TableStyleMedium2" showFirstColumn="0" showLastColumn="0" showRowStripes="1" showColumnStripes="0"/>
</table>
</file>

<file path=xl/tables/table2.xml><?xml version="1.0" encoding="utf-8"?>
<table xmlns="http://schemas.openxmlformats.org/spreadsheetml/2006/main" id="8" name="Table8" displayName="Table8" ref="C27:C29" totalsRowShown="0">
  <autoFilter ref="C27:C29"/>
  <tableColumns count="1">
    <tableColumn id="1" name="Desired Range"/>
  </tableColumns>
  <tableStyleInfo name="TableStyleMedium2" showFirstColumn="0" showLastColumn="0" showRowStripes="1" showColumnStripes="0"/>
</table>
</file>

<file path=xl/tables/table3.xml><?xml version="1.0" encoding="utf-8"?>
<table xmlns="http://schemas.openxmlformats.org/spreadsheetml/2006/main" id="1" name="Deck" displayName="Deck" ref="D1:E14" totalsRowShown="0">
  <autoFilter ref="D1:E14"/>
  <tableColumns count="2">
    <tableColumn id="1" name="Ranks"/>
    <tableColumn id="2" name="Suits"/>
  </tableColumns>
  <tableStyleInfo name="TableStyleMedium2" showFirstColumn="0" showLastColumn="0" showRowStripes="1" showColumnStripes="0"/>
</table>
</file>

<file path=xl/tables/table4.xml><?xml version="1.0" encoding="utf-8"?>
<table xmlns="http://schemas.openxmlformats.org/spreadsheetml/2006/main" id="2" name="Table2" displayName="Table2" ref="A1:B53" totalsRowShown="0">
  <autoFilter ref="A1:B53"/>
  <tableColumns count="2">
    <tableColumn id="1" name="Index"/>
    <tableColumn id="2" name="Card" dataDxfId="12">
      <calculatedColumnFormula>$D$2&amp;E2</calculatedColumnFormula>
    </tableColumn>
  </tableColumns>
  <tableStyleInfo name="TableStyleMedium2" showFirstColumn="0" showLastColumn="0" showRowStripes="1" showColumnStripes="0"/>
</table>
</file>

<file path=xl/tables/table5.xml><?xml version="1.0" encoding="utf-8"?>
<table xmlns="http://schemas.openxmlformats.org/spreadsheetml/2006/main" id="3" name="Table3" displayName="Table3" ref="A1:G171" totalsRowCount="1">
  <autoFilter ref="A1:G170"/>
  <tableColumns count="7">
    <tableColumn id="1" name="Index"/>
    <tableColumn id="5" name="%DeckU" dataDxfId="11">
      <calculatedColumnFormula>SUM($D$2:D2)/Table3[[#Totals],[CombosU]]</calculatedColumnFormula>
    </tableColumn>
    <tableColumn id="2" name="Unimproved"/>
    <tableColumn id="7" name="CombosU" totalsRowFunction="sum" dataDxfId="10">
      <calculatedColumnFormula>IF(LEN(Table3[[#This Row],[Unimproved]])=2,6,IF(RIGHT(Table3[[#This Row],[Unimproved]])="s",4,12))</calculatedColumnFormula>
    </tableColumn>
    <tableColumn id="8" name="%DeckSHEV" dataDxfId="9">
      <calculatedColumnFormula>SUM($G$2:G2)/Table3[[#Totals],[CombosSHEV]]</calculatedColumnFormula>
    </tableColumn>
    <tableColumn id="9" name="StartingHandsEV"/>
    <tableColumn id="10" name="CombosSHEV" totalsRowFunction="sum" dataDxfId="8">
      <calculatedColumnFormula>IF(LEN(Table3[[#This Row],[StartingHandsEV]])=2,6,IF(RIGHT(Table3[[#This Row],[StartingHandsEV]])="s",4,12))</calculatedColumnFormula>
    </tableColumn>
  </tableColumns>
  <tableStyleInfo name="TableStyleMedium2" showFirstColumn="0" showLastColumn="0" showRowStripes="1" showColumnStripes="0"/>
</table>
</file>

<file path=xl/tables/table6.xml><?xml version="1.0" encoding="utf-8"?>
<table xmlns="http://schemas.openxmlformats.org/spreadsheetml/2006/main" id="5" name="Table5" displayName="Table5" ref="A1:C11" totalsRowShown="0">
  <autoFilter ref="A1:C11"/>
  <tableColumns count="3">
    <tableColumn id="1" name="Index"/>
    <tableColumn id="2" name="Position"/>
    <tableColumn id="3" name="Lable"/>
  </tableColumns>
  <tableStyleInfo name="TableStyleMedium2" showFirstColumn="0" showLastColumn="0" showRowStripes="1" showColumnStripes="0"/>
</table>
</file>

<file path=xl/tables/table7.xml><?xml version="1.0" encoding="utf-8"?>
<table xmlns="http://schemas.openxmlformats.org/spreadsheetml/2006/main" id="4" name="Table4" displayName="Table4" ref="A1:K101" totalsRowShown="0" headerRowDxfId="7">
  <autoFilter ref="A1:K101"/>
  <tableColumns count="11">
    <tableColumn id="1" name="Date_Time" dataDxfId="6">
      <calculatedColumnFormula>NOW()</calculatedColumnFormula>
    </tableColumn>
    <tableColumn id="2" name="Range"/>
    <tableColumn id="3" name="Num_Players"/>
    <tableColumn id="10" name="Position_Index" dataDxfId="5"/>
    <tableColumn id="4" name="Position"/>
    <tableColumn id="5" name="Hole_Cards"/>
    <tableColumn id="6" name="Decision"/>
    <tableColumn id="11" name="Desired_Action" dataDxfId="4">
      <calculatedColumnFormula>IF(MATCH(J2,Table3[Unimproved],0)&lt;MATCH(K2,Table3[Unimproved],0),"open","fold")</calculatedColumnFormula>
    </tableColumn>
    <tableColumn id="7" name="Feedback" dataDxfId="3">
      <calculatedColumnFormula>IF(OR(AND(Table4[[#This Row],[Decision]]="f",Table4[[#This Row],[Desired_Action]]="fold"),AND(Table4[[#This Row],[Decision]]="o",Table4[[#This Row],[Desired_Action]]="open")),"Correct","Incorrect")</calculatedColumnFormula>
    </tableColumn>
    <tableColumn id="8" name="Hand_Type" dataDxfId="2">
      <calculatedColumnFormula>IF(MID(F2,1,1)=MID(F2,3,1),MID(F2,1,1)&amp;MID(F2,3,1),IF(MID(F2,2,1)=MID(F2,4,1),MID(F2,1,1)&amp;MID(F2,3,1)&amp;"s",MID(F2,1,1)&amp;MID(F2,3,1)&amp;"o"))</calculatedColumnFormula>
    </tableColumn>
    <tableColumn id="9" name="Min_Opening_Card" dataDxfId="1">
      <calculatedColumnFormula>VLOOKUP(IF(D2&lt;3,1/3,1/D2),Table3[[%DeckU]:[Unimproved]],2)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4"/>
  <sheetViews>
    <sheetView tabSelected="1" workbookViewId="0">
      <selection activeCell="A9" sqref="A9"/>
    </sheetView>
  </sheetViews>
  <sheetFormatPr defaultRowHeight="15" x14ac:dyDescent="0.25"/>
  <cols>
    <col min="1" max="1" width="14.5703125" customWidth="1"/>
  </cols>
  <sheetData>
    <row r="1" spans="1:19" x14ac:dyDescent="0.25">
      <c r="A1" t="str">
        <f ca="1">"You are at "&amp;'Info &amp; Settings'!B6&amp;" with "&amp;'Info &amp; Settings'!B9&amp;" and are practicing with the "&amp;'Info &amp; Settings'!D3&amp;" range. Good luck and have fun!"</f>
        <v>You are at CO with As2d and are practicing with the Unimproved range. Good luck and have fun!</v>
      </c>
    </row>
    <row r="3" spans="1:19" x14ac:dyDescent="0.25">
      <c r="A3" s="3" t="s">
        <v>232</v>
      </c>
      <c r="C3" t="s">
        <v>360</v>
      </c>
    </row>
    <row r="4" spans="1:19" x14ac:dyDescent="0.25">
      <c r="A4" s="2" t="s">
        <v>210</v>
      </c>
      <c r="C4" t="s">
        <v>243</v>
      </c>
    </row>
    <row r="5" spans="1:19" x14ac:dyDescent="0.25">
      <c r="A5" t="s">
        <v>348</v>
      </c>
      <c r="H5" s="6" t="str">
        <f ca="1">IF('Info &amp; Settings'!B6="B-6",'Info &amp; Settings'!B9,"")</f>
        <v/>
      </c>
      <c r="K5" s="6" t="str">
        <f ca="1">IF('Info &amp; Settings'!B6="B-5",'Info &amp; Settings'!B9,"")</f>
        <v/>
      </c>
      <c r="N5" s="6" t="str">
        <f ca="1">IF('Info &amp; Settings'!B6="LJ",'Info &amp; Settings'!B9,"")</f>
        <v/>
      </c>
      <c r="Q5" t="s">
        <v>237</v>
      </c>
    </row>
    <row r="6" spans="1:19" x14ac:dyDescent="0.25">
      <c r="Q6" t="s">
        <v>238</v>
      </c>
    </row>
    <row r="7" spans="1:19" x14ac:dyDescent="0.25">
      <c r="A7" s="3" t="s">
        <v>208</v>
      </c>
    </row>
    <row r="8" spans="1:19" x14ac:dyDescent="0.25">
      <c r="A8" t="str">
        <f ca="1">IF(A4="","",IF(A4=Calculations!A23,"Correct","Incorrect"))</f>
        <v>Incorrect</v>
      </c>
    </row>
    <row r="9" spans="1:19" x14ac:dyDescent="0.25">
      <c r="D9" s="6" t="str">
        <f ca="1">IF('Info &amp; Settings'!B6="B-7",'Info &amp; Settings'!B9,"")</f>
        <v/>
      </c>
    </row>
    <row r="10" spans="1:19" x14ac:dyDescent="0.25">
      <c r="S10" s="6" t="str">
        <f ca="1">IF('Info &amp; Settings'!B6="HJ",'Info &amp; Settings'!B9,"")</f>
        <v/>
      </c>
    </row>
    <row r="28" spans="4:19" x14ac:dyDescent="0.25">
      <c r="S28" s="6" t="str">
        <f ca="1">IF('Info &amp; Settings'!B6="CO",'Info &amp; Settings'!B9,"")</f>
        <v>As2d</v>
      </c>
    </row>
    <row r="29" spans="4:19" x14ac:dyDescent="0.25">
      <c r="D29" s="6" t="str">
        <f ca="1">IF('Info &amp; Settings'!B6="B-8",'Info &amp; Settings'!B9,"")</f>
        <v/>
      </c>
    </row>
    <row r="34" spans="8:14" x14ac:dyDescent="0.25">
      <c r="H34" s="6" t="str">
        <f ca="1">IF('Info &amp; Settings'!B6="BB",'Info &amp; Settings'!B9,"")</f>
        <v/>
      </c>
      <c r="K34" s="6" t="str">
        <f ca="1">IF('Info &amp; Settings'!B6="SB",'Info &amp; Settings'!B9,"")</f>
        <v/>
      </c>
      <c r="N34" s="6" t="str">
        <f ca="1">IF('Info &amp; Settings'!B6="B",'Info &amp; Settings'!B9,"")</f>
        <v/>
      </c>
    </row>
  </sheetData>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errorTitle="Unavailable Action" error="Please choose to open or fold." promptTitle="Your Action" prompt="To simplify our decisions we are only considering opening (limp or raise) or folding._x000a__x000a_No one has opened before you.">
          <x14:formula1>
            <xm:f>Calculations!$A$28:$A$30</xm:f>
          </x14:formula1>
          <xm:sqref>A4</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D18"/>
  <sheetViews>
    <sheetView workbookViewId="0">
      <selection activeCell="D17" sqref="D17"/>
    </sheetView>
  </sheetViews>
  <sheetFormatPr defaultRowHeight="15" x14ac:dyDescent="0.25"/>
  <cols>
    <col min="1" max="1" width="2.5703125" customWidth="1"/>
    <col min="2" max="2" width="27.28515625" bestFit="1" customWidth="1"/>
    <col min="3" max="3" width="5.42578125" customWidth="1"/>
    <col min="4" max="4" width="15.85546875" customWidth="1"/>
  </cols>
  <sheetData>
    <row r="1" spans="2:4" ht="8.25" customHeight="1" x14ac:dyDescent="0.25"/>
    <row r="2" spans="2:4" x14ac:dyDescent="0.25">
      <c r="B2" s="3" t="s">
        <v>176</v>
      </c>
      <c r="D2" s="3" t="s">
        <v>229</v>
      </c>
    </row>
    <row r="3" spans="2:4" x14ac:dyDescent="0.25">
      <c r="B3" s="2">
        <v>6</v>
      </c>
      <c r="D3" s="2" t="s">
        <v>13</v>
      </c>
    </row>
    <row r="5" spans="2:4" x14ac:dyDescent="0.25">
      <c r="B5" s="3" t="s">
        <v>203</v>
      </c>
      <c r="D5" t="s">
        <v>239</v>
      </c>
    </row>
    <row r="6" spans="2:4" x14ac:dyDescent="0.25">
      <c r="B6" t="str">
        <f ca="1">Calculations!B13</f>
        <v>CO</v>
      </c>
      <c r="D6" t="s">
        <v>235</v>
      </c>
    </row>
    <row r="8" spans="2:4" x14ac:dyDescent="0.25">
      <c r="B8" s="3" t="s">
        <v>177</v>
      </c>
      <c r="D8" t="s">
        <v>240</v>
      </c>
    </row>
    <row r="9" spans="2:4" x14ac:dyDescent="0.25">
      <c r="B9" t="str">
        <f ca="1">Calculations!A10</f>
        <v>As2d</v>
      </c>
      <c r="D9" t="s">
        <v>236</v>
      </c>
    </row>
    <row r="11" spans="2:4" x14ac:dyDescent="0.25">
      <c r="B11" s="3" t="s">
        <v>202</v>
      </c>
    </row>
    <row r="12" spans="2:4" x14ac:dyDescent="0.25">
      <c r="B12" t="str">
        <f ca="1">Calculations!A16</f>
        <v>A2o</v>
      </c>
    </row>
    <row r="14" spans="2:4" x14ac:dyDescent="0.25">
      <c r="B14" s="3" t="s">
        <v>223</v>
      </c>
      <c r="D14" t="s">
        <v>242</v>
      </c>
    </row>
    <row r="15" spans="2:4" x14ac:dyDescent="0.25">
      <c r="B15" t="str">
        <f ca="1">IF(App!A4=Calculations!A23,"Good decision. You should "&amp;Calculations!A23&amp;" "&amp;Calculations!A16&amp;" because only opening hands as strong as "&amp;Calculations!A19&amp;" when playing from "&amp;Calculations!B13&amp;" is a good idea based off of your chosen "&amp;D3&amp;" range.","Sorry, you should "&amp;Calculations!A23&amp;" "&amp;Calculations!A16&amp;" and only consider opening hands as strong as "&amp;Calculations!A19&amp;" when playing from "&amp;Calculations!B13&amp;" based off of your chosen "&amp;D3&amp;" range.")</f>
        <v>Sorry, you should open A2o and only consider opening hands as strong as K9s when playing from CO based off of your chosen Unimproved range.</v>
      </c>
    </row>
    <row r="16" spans="2:4" x14ac:dyDescent="0.25">
      <c r="D16" t="s">
        <v>362</v>
      </c>
    </row>
    <row r="18" spans="2:2" x14ac:dyDescent="0.25">
      <c r="B18" s="3"/>
    </row>
  </sheetData>
  <dataValidations count="1">
    <dataValidation type="whole" allowBlank="1" showInputMessage="1" showErrorMessage="1" errorTitle="Seating Issue" error="Sorry, only 3 to 10 players can play at this table." promptTitle="Table Seating" prompt="A seat is open for you. Good luck and have fun!" sqref="B3">
      <formula1>3</formula1>
      <formula2>10</formula2>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errorTitle="Unavailable Range" error="Please select an available range." promptTitle="Choose Your Range" prompt="The decision to open or fold depends on many factors. This option will allow you to choose which range to practice with.">
          <x14:formula1>
            <xm:f>Calculations!$C$28:$C$29</xm:f>
          </x14:formula1>
          <xm:sqref>D3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workbookViewId="0">
      <selection activeCell="H4" sqref="H4"/>
    </sheetView>
  </sheetViews>
  <sheetFormatPr defaultRowHeight="15" x14ac:dyDescent="0.25"/>
  <cols>
    <col min="1" max="1" width="17.5703125" customWidth="1"/>
    <col min="2" max="2" width="11" customWidth="1"/>
    <col min="3" max="3" width="15.85546875" customWidth="1"/>
  </cols>
  <sheetData>
    <row r="1" spans="1:8" x14ac:dyDescent="0.25">
      <c r="A1" s="3" t="s">
        <v>201</v>
      </c>
      <c r="E1" s="3" t="s">
        <v>222</v>
      </c>
    </row>
    <row r="2" spans="1:8" x14ac:dyDescent="0.25">
      <c r="A2">
        <f ca="1">INT(RAND()*52)+1</f>
        <v>51</v>
      </c>
      <c r="B2">
        <f ca="1">A2</f>
        <v>51</v>
      </c>
      <c r="C2" t="str">
        <f ca="1">VLOOKUP(B2,Card,2)</f>
        <v>2d</v>
      </c>
      <c r="E2">
        <v>28</v>
      </c>
      <c r="F2">
        <f>E2</f>
        <v>28</v>
      </c>
    </row>
    <row r="3" spans="1:8" x14ac:dyDescent="0.25">
      <c r="A3">
        <f ca="1">INT(RAND()*52)+1</f>
        <v>1</v>
      </c>
      <c r="B3">
        <f ca="1">IF(A3&lt;&gt;A2,A3,INT(RAND()*52)+1)</f>
        <v>1</v>
      </c>
      <c r="C3" t="str">
        <f ca="1">VLOOKUP(B3,Card,2)</f>
        <v>As</v>
      </c>
      <c r="E3">
        <v>28</v>
      </c>
      <c r="F3">
        <f ca="1">IF(E3&lt;&gt;E2,E3,INT(RAND()*52)+1)</f>
        <v>48</v>
      </c>
      <c r="H3" t="s">
        <v>363</v>
      </c>
    </row>
    <row r="5" spans="1:8" x14ac:dyDescent="0.25">
      <c r="A5" s="3" t="s">
        <v>200</v>
      </c>
    </row>
    <row r="6" spans="1:8" x14ac:dyDescent="0.25">
      <c r="A6" t="str">
        <f ca="1">INDEX($B$2:$C$3,MATCH(MIN($B$2:$B$3),$B$2:$B$3,0),2)</f>
        <v>As</v>
      </c>
    </row>
    <row r="7" spans="1:8" x14ac:dyDescent="0.25">
      <c r="A7" t="str">
        <f ca="1">INDEX($B$2:$C$3,MATCH(MAX($B$2:$B$3),$B$2:$B$3,0),2)</f>
        <v>2d</v>
      </c>
    </row>
    <row r="9" spans="1:8" x14ac:dyDescent="0.25">
      <c r="A9" s="3" t="s">
        <v>175</v>
      </c>
    </row>
    <row r="10" spans="1:8" x14ac:dyDescent="0.25">
      <c r="A10" t="str">
        <f ca="1">IF(A6=A7,"Misdeal. Please re-enter the number of players.",A6&amp;A7)</f>
        <v>As2d</v>
      </c>
    </row>
    <row r="12" spans="1:8" x14ac:dyDescent="0.25">
      <c r="A12" s="3" t="s">
        <v>204</v>
      </c>
    </row>
    <row r="13" spans="1:8" x14ac:dyDescent="0.25">
      <c r="A13">
        <f ca="1">INT(RAND()*'Info &amp; Settings'!B3)+1</f>
        <v>4</v>
      </c>
      <c r="B13" t="str">
        <f ca="1">IF(A13&lt;3,VLOOKUP(3,Postion,2),VLOOKUP(A13,Postion,2))</f>
        <v>CO</v>
      </c>
    </row>
    <row r="15" spans="1:8" x14ac:dyDescent="0.25">
      <c r="A15" s="3" t="s">
        <v>202</v>
      </c>
    </row>
    <row r="16" spans="1:8" x14ac:dyDescent="0.25">
      <c r="A16" t="str">
        <f ca="1">IF(MID(A10,1,1)=MID(A10,3,1),MID(A10,1,1)&amp;MID(A10,3,1),IF(MID(A10,2,1)=MID(A10,4,1),MID(A10,1,1)&amp;MID(A10,3,1)&amp;"s",MID(A10,1,1)&amp;MID(A10,3,1)&amp;"o"))</f>
        <v>A2o</v>
      </c>
    </row>
    <row r="18" spans="1:5" x14ac:dyDescent="0.25">
      <c r="A18" s="3" t="s">
        <v>205</v>
      </c>
      <c r="C18" s="3" t="s">
        <v>207</v>
      </c>
      <c r="E18" s="3" t="s">
        <v>231</v>
      </c>
    </row>
    <row r="19" spans="1:5" x14ac:dyDescent="0.25">
      <c r="A19" t="str">
        <f ca="1">IF('Info &amp; Settings'!D3=Calculations!C28,VLOOKUP(IF(A13&lt;3,1/3,1/A13),Table3[[%DeckU]:[Unimproved]],2),VLOOKUP(IF(A13&lt;3,1/3,1/A13),Table3[[%DeckSHEV]:[StartingHandsEV]],2))</f>
        <v>K9s</v>
      </c>
      <c r="C19">
        <f ca="1">IF(A13&lt;3,1/3,1/A13)</f>
        <v>0.25</v>
      </c>
      <c r="E19" t="str">
        <f ca="1">IF('Info &amp; Settings'!D3=Calculations!C28,VLOOKUP(IF(A13&lt;3,1/3,1/A13),Table3[[%DeckU]:[Unimproved]],2),VLOOKUP(IF(A13&lt;3,1/3,1/A13),Table3[[%DeckSHEV]:[StartingHandsEV]],2))</f>
        <v>K9s</v>
      </c>
    </row>
    <row r="20" spans="1:5" x14ac:dyDescent="0.25">
      <c r="E20" t="str">
        <f ca="1">IF('Info &amp; Settings'!D3=Calculations!C29,VLOOKUP(IF(A13&lt;3,1/3,1/A13),Table3[[%DeckU]:[Unimproved]],2),VLOOKUP(IF(A13&lt;3,1/3,1/A13),Table3[[%DeckSHEV]:[StartingHandsEV]],2))</f>
        <v>K5s</v>
      </c>
    </row>
    <row r="22" spans="1:5" x14ac:dyDescent="0.25">
      <c r="A22" s="3" t="s">
        <v>206</v>
      </c>
      <c r="C22" s="3" t="s">
        <v>221</v>
      </c>
    </row>
    <row r="23" spans="1:5" x14ac:dyDescent="0.25">
      <c r="A23" t="str">
        <f ca="1">IF(MATCH(A16,Table3[Unimproved],0)&lt;MATCH(A19,Table3[Unimproved],0),"open","fold")</f>
        <v>open</v>
      </c>
      <c r="C23" s="5" t="s">
        <v>212</v>
      </c>
      <c r="D23" t="str">
        <f ca="1">IF(MATCH(A16,Table3[Unimproved],0)&lt;MATCH(C23,Table3[Unimproved],0),"open","fold")</f>
        <v>fold</v>
      </c>
      <c r="E23" t="s">
        <v>220</v>
      </c>
    </row>
    <row r="24" spans="1:5" x14ac:dyDescent="0.25">
      <c r="D24" t="str">
        <f ca="1">IF(MATCH(C23,Table3[Unimproved],0)&lt;MATCH(A19,Table3[Unimproved],0),"open","fold")</f>
        <v>open</v>
      </c>
    </row>
    <row r="27" spans="1:5" x14ac:dyDescent="0.25">
      <c r="A27" s="3" t="s">
        <v>211</v>
      </c>
      <c r="C27" t="s">
        <v>230</v>
      </c>
    </row>
    <row r="28" spans="1:5" x14ac:dyDescent="0.25">
      <c r="C28" t="s">
        <v>13</v>
      </c>
      <c r="D28" t="s">
        <v>241</v>
      </c>
    </row>
    <row r="29" spans="1:5" x14ac:dyDescent="0.25">
      <c r="A29" t="s">
        <v>210</v>
      </c>
      <c r="C29" t="s">
        <v>228</v>
      </c>
      <c r="D29" t="s">
        <v>233</v>
      </c>
    </row>
    <row r="30" spans="1:5" x14ac:dyDescent="0.25">
      <c r="A30" t="s">
        <v>209</v>
      </c>
    </row>
  </sheetData>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
  <sheetViews>
    <sheetView workbookViewId="0"/>
  </sheetViews>
  <sheetFormatPr defaultRowHeight="15" x14ac:dyDescent="0.25"/>
  <sheetData>
    <row r="1" spans="1:5" x14ac:dyDescent="0.25">
      <c r="A1" t="s">
        <v>12</v>
      </c>
      <c r="B1" t="s">
        <v>11</v>
      </c>
      <c r="D1" t="s">
        <v>0</v>
      </c>
      <c r="E1" t="s">
        <v>1</v>
      </c>
    </row>
    <row r="2" spans="1:5" x14ac:dyDescent="0.25">
      <c r="A2">
        <v>1</v>
      </c>
      <c r="B2" t="str">
        <f t="shared" ref="B2:B5" si="0">$D$2&amp;E2</f>
        <v>As</v>
      </c>
      <c r="D2" t="s">
        <v>2</v>
      </c>
      <c r="E2" t="s">
        <v>10</v>
      </c>
    </row>
    <row r="3" spans="1:5" x14ac:dyDescent="0.25">
      <c r="A3">
        <v>2</v>
      </c>
      <c r="B3" t="str">
        <f t="shared" si="0"/>
        <v>Ah</v>
      </c>
      <c r="D3" t="s">
        <v>3</v>
      </c>
      <c r="E3" t="s">
        <v>9</v>
      </c>
    </row>
    <row r="4" spans="1:5" x14ac:dyDescent="0.25">
      <c r="A4">
        <v>3</v>
      </c>
      <c r="B4" t="str">
        <f t="shared" si="0"/>
        <v>Ad</v>
      </c>
      <c r="D4" t="s">
        <v>4</v>
      </c>
      <c r="E4" t="s">
        <v>8</v>
      </c>
    </row>
    <row r="5" spans="1:5" x14ac:dyDescent="0.25">
      <c r="A5">
        <v>4</v>
      </c>
      <c r="B5" t="str">
        <f t="shared" si="0"/>
        <v>Ac</v>
      </c>
      <c r="D5" t="s">
        <v>5</v>
      </c>
      <c r="E5" t="s">
        <v>7</v>
      </c>
    </row>
    <row r="6" spans="1:5" x14ac:dyDescent="0.25">
      <c r="A6">
        <v>5</v>
      </c>
      <c r="B6" t="str">
        <f>$D$3&amp;E2</f>
        <v>Ks</v>
      </c>
      <c r="D6" t="s">
        <v>6</v>
      </c>
    </row>
    <row r="7" spans="1:5" x14ac:dyDescent="0.25">
      <c r="A7">
        <v>6</v>
      </c>
      <c r="B7" t="str">
        <f t="shared" ref="B7:B9" si="1">$D$3&amp;E3</f>
        <v>Kh</v>
      </c>
      <c r="D7" s="4">
        <v>9</v>
      </c>
    </row>
    <row r="8" spans="1:5" x14ac:dyDescent="0.25">
      <c r="A8">
        <v>7</v>
      </c>
      <c r="B8" t="str">
        <f t="shared" si="1"/>
        <v>Kd</v>
      </c>
      <c r="D8" s="4">
        <v>8</v>
      </c>
    </row>
    <row r="9" spans="1:5" x14ac:dyDescent="0.25">
      <c r="A9">
        <v>8</v>
      </c>
      <c r="B9" t="str">
        <f t="shared" si="1"/>
        <v>Kc</v>
      </c>
      <c r="D9" s="4">
        <v>7</v>
      </c>
    </row>
    <row r="10" spans="1:5" x14ac:dyDescent="0.25">
      <c r="A10">
        <v>9</v>
      </c>
      <c r="B10" t="str">
        <f>$D$4&amp;E2</f>
        <v>Qs</v>
      </c>
      <c r="D10" s="4">
        <v>6</v>
      </c>
    </row>
    <row r="11" spans="1:5" x14ac:dyDescent="0.25">
      <c r="A11">
        <v>10</v>
      </c>
      <c r="B11" t="str">
        <f t="shared" ref="B11:B13" si="2">$D$4&amp;E3</f>
        <v>Qh</v>
      </c>
      <c r="D11" s="4">
        <v>5</v>
      </c>
    </row>
    <row r="12" spans="1:5" x14ac:dyDescent="0.25">
      <c r="A12">
        <v>11</v>
      </c>
      <c r="B12" t="str">
        <f t="shared" si="2"/>
        <v>Qd</v>
      </c>
      <c r="D12" s="4">
        <v>4</v>
      </c>
    </row>
    <row r="13" spans="1:5" x14ac:dyDescent="0.25">
      <c r="A13">
        <v>12</v>
      </c>
      <c r="B13" t="str">
        <f t="shared" si="2"/>
        <v>Qc</v>
      </c>
      <c r="D13" s="4">
        <v>3</v>
      </c>
    </row>
    <row r="14" spans="1:5" x14ac:dyDescent="0.25">
      <c r="A14">
        <v>13</v>
      </c>
      <c r="B14" t="str">
        <f>$D$5&amp;E2</f>
        <v>Js</v>
      </c>
      <c r="D14" s="4">
        <v>2</v>
      </c>
    </row>
    <row r="15" spans="1:5" x14ac:dyDescent="0.25">
      <c r="A15">
        <v>14</v>
      </c>
      <c r="B15" t="str">
        <f t="shared" ref="B15:B17" si="3">$D$5&amp;E3</f>
        <v>Jh</v>
      </c>
    </row>
    <row r="16" spans="1:5" x14ac:dyDescent="0.25">
      <c r="A16">
        <v>15</v>
      </c>
      <c r="B16" t="str">
        <f t="shared" si="3"/>
        <v>Jd</v>
      </c>
    </row>
    <row r="17" spans="1:2" x14ac:dyDescent="0.25">
      <c r="A17">
        <v>16</v>
      </c>
      <c r="B17" t="str">
        <f t="shared" si="3"/>
        <v>Jc</v>
      </c>
    </row>
    <row r="18" spans="1:2" x14ac:dyDescent="0.25">
      <c r="A18">
        <v>17</v>
      </c>
      <c r="B18" t="str">
        <f>$D$6&amp;E2</f>
        <v>Ts</v>
      </c>
    </row>
    <row r="19" spans="1:2" x14ac:dyDescent="0.25">
      <c r="A19">
        <v>18</v>
      </c>
      <c r="B19" t="str">
        <f t="shared" ref="B19:B21" si="4">$D$6&amp;E3</f>
        <v>Th</v>
      </c>
    </row>
    <row r="20" spans="1:2" x14ac:dyDescent="0.25">
      <c r="A20">
        <v>19</v>
      </c>
      <c r="B20" t="str">
        <f t="shared" si="4"/>
        <v>Td</v>
      </c>
    </row>
    <row r="21" spans="1:2" x14ac:dyDescent="0.25">
      <c r="A21">
        <v>20</v>
      </c>
      <c r="B21" t="str">
        <f t="shared" si="4"/>
        <v>Tc</v>
      </c>
    </row>
    <row r="22" spans="1:2" x14ac:dyDescent="0.25">
      <c r="A22">
        <v>21</v>
      </c>
      <c r="B22" t="str">
        <f>$D$7&amp;E2</f>
        <v>9s</v>
      </c>
    </row>
    <row r="23" spans="1:2" x14ac:dyDescent="0.25">
      <c r="A23">
        <v>22</v>
      </c>
      <c r="B23" t="str">
        <f t="shared" ref="B23:B25" si="5">$D$7&amp;E3</f>
        <v>9h</v>
      </c>
    </row>
    <row r="24" spans="1:2" x14ac:dyDescent="0.25">
      <c r="A24">
        <v>23</v>
      </c>
      <c r="B24" t="str">
        <f t="shared" si="5"/>
        <v>9d</v>
      </c>
    </row>
    <row r="25" spans="1:2" x14ac:dyDescent="0.25">
      <c r="A25">
        <v>24</v>
      </c>
      <c r="B25" t="str">
        <f t="shared" si="5"/>
        <v>9c</v>
      </c>
    </row>
    <row r="26" spans="1:2" x14ac:dyDescent="0.25">
      <c r="A26">
        <v>25</v>
      </c>
      <c r="B26" t="str">
        <f>$D$8&amp;E2</f>
        <v>8s</v>
      </c>
    </row>
    <row r="27" spans="1:2" x14ac:dyDescent="0.25">
      <c r="A27">
        <v>26</v>
      </c>
      <c r="B27" t="str">
        <f t="shared" ref="B27:B29" si="6">$D$8&amp;E3</f>
        <v>8h</v>
      </c>
    </row>
    <row r="28" spans="1:2" x14ac:dyDescent="0.25">
      <c r="A28">
        <v>27</v>
      </c>
      <c r="B28" t="str">
        <f t="shared" si="6"/>
        <v>8d</v>
      </c>
    </row>
    <row r="29" spans="1:2" x14ac:dyDescent="0.25">
      <c r="A29">
        <v>28</v>
      </c>
      <c r="B29" t="str">
        <f t="shared" si="6"/>
        <v>8c</v>
      </c>
    </row>
    <row r="30" spans="1:2" x14ac:dyDescent="0.25">
      <c r="A30">
        <v>29</v>
      </c>
      <c r="B30" t="str">
        <f>$D$9&amp;E2</f>
        <v>7s</v>
      </c>
    </row>
    <row r="31" spans="1:2" x14ac:dyDescent="0.25">
      <c r="A31">
        <v>30</v>
      </c>
      <c r="B31" t="str">
        <f t="shared" ref="B31:B33" si="7">$D$9&amp;E3</f>
        <v>7h</v>
      </c>
    </row>
    <row r="32" spans="1:2" x14ac:dyDescent="0.25">
      <c r="A32">
        <v>31</v>
      </c>
      <c r="B32" t="str">
        <f t="shared" si="7"/>
        <v>7d</v>
      </c>
    </row>
    <row r="33" spans="1:2" x14ac:dyDescent="0.25">
      <c r="A33">
        <v>32</v>
      </c>
      <c r="B33" t="str">
        <f t="shared" si="7"/>
        <v>7c</v>
      </c>
    </row>
    <row r="34" spans="1:2" x14ac:dyDescent="0.25">
      <c r="A34">
        <v>33</v>
      </c>
      <c r="B34" t="str">
        <f>$D$10&amp;E2</f>
        <v>6s</v>
      </c>
    </row>
    <row r="35" spans="1:2" x14ac:dyDescent="0.25">
      <c r="A35">
        <v>34</v>
      </c>
      <c r="B35" t="str">
        <f t="shared" ref="B35:B37" si="8">$D$10&amp;E3</f>
        <v>6h</v>
      </c>
    </row>
    <row r="36" spans="1:2" x14ac:dyDescent="0.25">
      <c r="A36">
        <v>35</v>
      </c>
      <c r="B36" t="str">
        <f t="shared" si="8"/>
        <v>6d</v>
      </c>
    </row>
    <row r="37" spans="1:2" x14ac:dyDescent="0.25">
      <c r="A37">
        <v>36</v>
      </c>
      <c r="B37" t="str">
        <f t="shared" si="8"/>
        <v>6c</v>
      </c>
    </row>
    <row r="38" spans="1:2" x14ac:dyDescent="0.25">
      <c r="A38">
        <v>37</v>
      </c>
      <c r="B38" t="str">
        <f>$D$11&amp;E2</f>
        <v>5s</v>
      </c>
    </row>
    <row r="39" spans="1:2" x14ac:dyDescent="0.25">
      <c r="A39">
        <v>38</v>
      </c>
      <c r="B39" t="str">
        <f t="shared" ref="B39:B41" si="9">$D$11&amp;E3</f>
        <v>5h</v>
      </c>
    </row>
    <row r="40" spans="1:2" x14ac:dyDescent="0.25">
      <c r="A40">
        <v>39</v>
      </c>
      <c r="B40" t="str">
        <f t="shared" si="9"/>
        <v>5d</v>
      </c>
    </row>
    <row r="41" spans="1:2" x14ac:dyDescent="0.25">
      <c r="A41">
        <v>40</v>
      </c>
      <c r="B41" t="str">
        <f t="shared" si="9"/>
        <v>5c</v>
      </c>
    </row>
    <row r="42" spans="1:2" x14ac:dyDescent="0.25">
      <c r="A42">
        <v>41</v>
      </c>
      <c r="B42" t="str">
        <f>$D$12&amp;E2</f>
        <v>4s</v>
      </c>
    </row>
    <row r="43" spans="1:2" x14ac:dyDescent="0.25">
      <c r="A43">
        <v>42</v>
      </c>
      <c r="B43" t="str">
        <f t="shared" ref="B43:B45" si="10">$D$12&amp;E3</f>
        <v>4h</v>
      </c>
    </row>
    <row r="44" spans="1:2" x14ac:dyDescent="0.25">
      <c r="A44">
        <v>43</v>
      </c>
      <c r="B44" t="str">
        <f t="shared" si="10"/>
        <v>4d</v>
      </c>
    </row>
    <row r="45" spans="1:2" x14ac:dyDescent="0.25">
      <c r="A45">
        <v>44</v>
      </c>
      <c r="B45" t="str">
        <f t="shared" si="10"/>
        <v>4c</v>
      </c>
    </row>
    <row r="46" spans="1:2" x14ac:dyDescent="0.25">
      <c r="A46">
        <v>45</v>
      </c>
      <c r="B46" t="str">
        <f>$D$13&amp;E2</f>
        <v>3s</v>
      </c>
    </row>
    <row r="47" spans="1:2" x14ac:dyDescent="0.25">
      <c r="A47">
        <v>46</v>
      </c>
      <c r="B47" t="str">
        <f t="shared" ref="B47:B49" si="11">$D$13&amp;E3</f>
        <v>3h</v>
      </c>
    </row>
    <row r="48" spans="1:2" x14ac:dyDescent="0.25">
      <c r="A48">
        <v>47</v>
      </c>
      <c r="B48" t="str">
        <f t="shared" si="11"/>
        <v>3d</v>
      </c>
    </row>
    <row r="49" spans="1:2" x14ac:dyDescent="0.25">
      <c r="A49">
        <v>48</v>
      </c>
      <c r="B49" t="str">
        <f t="shared" si="11"/>
        <v>3c</v>
      </c>
    </row>
    <row r="50" spans="1:2" x14ac:dyDescent="0.25">
      <c r="A50">
        <v>49</v>
      </c>
      <c r="B50" t="str">
        <f>$D$14&amp;E2</f>
        <v>2s</v>
      </c>
    </row>
    <row r="51" spans="1:2" x14ac:dyDescent="0.25">
      <c r="A51">
        <v>50</v>
      </c>
      <c r="B51" t="str">
        <f t="shared" ref="B51:B53" si="12">$D$14&amp;E3</f>
        <v>2h</v>
      </c>
    </row>
    <row r="52" spans="1:2" x14ac:dyDescent="0.25">
      <c r="A52">
        <v>51</v>
      </c>
      <c r="B52" t="str">
        <f t="shared" si="12"/>
        <v>2d</v>
      </c>
    </row>
    <row r="53" spans="1:2" x14ac:dyDescent="0.25">
      <c r="A53">
        <v>52</v>
      </c>
      <c r="B53" t="str">
        <f t="shared" si="12"/>
        <v>2c</v>
      </c>
    </row>
  </sheetData>
  <pageMargins left="0.7" right="0.7" top="0.75" bottom="0.75" header="0.3" footer="0.3"/>
  <ignoredErrors>
    <ignoredError sqref="B53" calculatedColumn="1"/>
  </ignoredErrors>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1"/>
  <sheetViews>
    <sheetView workbookViewId="0"/>
  </sheetViews>
  <sheetFormatPr defaultRowHeight="15" x14ac:dyDescent="0.25"/>
  <cols>
    <col min="2" max="2" width="12" bestFit="1" customWidth="1"/>
    <col min="3" max="3" width="14.28515625" customWidth="1"/>
    <col min="4" max="4" width="11.85546875" bestFit="1" customWidth="1"/>
    <col min="5" max="5" width="10.5703125" bestFit="1" customWidth="1"/>
    <col min="6" max="6" width="17.85546875" bestFit="1" customWidth="1"/>
    <col min="7" max="7" width="15" bestFit="1" customWidth="1"/>
  </cols>
  <sheetData>
    <row r="1" spans="1:9" x14ac:dyDescent="0.25">
      <c r="A1" t="s">
        <v>12</v>
      </c>
      <c r="B1" t="s">
        <v>226</v>
      </c>
      <c r="C1" t="s">
        <v>13</v>
      </c>
      <c r="D1" t="s">
        <v>225</v>
      </c>
      <c r="E1" t="s">
        <v>227</v>
      </c>
      <c r="F1" t="s">
        <v>228</v>
      </c>
      <c r="G1" t="s">
        <v>224</v>
      </c>
    </row>
    <row r="2" spans="1:9" x14ac:dyDescent="0.25">
      <c r="A2">
        <v>1</v>
      </c>
      <c r="B2">
        <f>SUM($D$2:D2)/Table3[[#Totals],[CombosU]]</f>
        <v>4.5248868778280547E-3</v>
      </c>
      <c r="C2" t="s">
        <v>14</v>
      </c>
      <c r="D2">
        <f>IF(LEN(Table3[[#This Row],[Unimproved]])=2,6,IF(RIGHT(Table3[[#This Row],[Unimproved]])="s",4,12))</f>
        <v>6</v>
      </c>
      <c r="E2">
        <f>SUM($G$2:G2)/Table3[[#Totals],[CombosSHEV]]</f>
        <v>4.5248868778280547E-3</v>
      </c>
      <c r="F2" t="s">
        <v>14</v>
      </c>
      <c r="G2">
        <f>IF(LEN(Table3[[#This Row],[StartingHandsEV]])=2,6,IF(RIGHT(Table3[[#This Row],[StartingHandsEV]])="s",4,12))</f>
        <v>6</v>
      </c>
      <c r="I2" t="s">
        <v>234</v>
      </c>
    </row>
    <row r="3" spans="1:9" x14ac:dyDescent="0.25">
      <c r="A3">
        <v>2</v>
      </c>
      <c r="B3">
        <f>SUM($D$2:D3)/Table3[[#Totals],[CombosU]]</f>
        <v>9.0497737556561094E-3</v>
      </c>
      <c r="C3" t="s">
        <v>15</v>
      </c>
      <c r="D3">
        <f>IF(LEN(Table3[[#This Row],[Unimproved]])=2,6,IF(RIGHT(Table3[[#This Row],[Unimproved]])="s",4,12))</f>
        <v>6</v>
      </c>
      <c r="E3">
        <f>SUM($G$2:G3)/Table3[[#Totals],[CombosSHEV]]</f>
        <v>9.0497737556561094E-3</v>
      </c>
      <c r="F3" t="s">
        <v>15</v>
      </c>
      <c r="G3">
        <f>IF(LEN(Table3[[#This Row],[StartingHandsEV]])=2,6,IF(RIGHT(Table3[[#This Row],[StartingHandsEV]])="s",4,12))</f>
        <v>6</v>
      </c>
      <c r="I3" t="s">
        <v>357</v>
      </c>
    </row>
    <row r="4" spans="1:9" x14ac:dyDescent="0.25">
      <c r="A4">
        <v>3</v>
      </c>
      <c r="B4">
        <f>SUM($D$2:D4)/Table3[[#Totals],[CombosU]]</f>
        <v>1.3574660633484163E-2</v>
      </c>
      <c r="C4" t="s">
        <v>16</v>
      </c>
      <c r="D4">
        <f>IF(LEN(Table3[[#This Row],[Unimproved]])=2,6,IF(RIGHT(Table3[[#This Row],[Unimproved]])="s",4,12))</f>
        <v>6</v>
      </c>
      <c r="E4">
        <f>SUM($G$2:G4)/Table3[[#Totals],[CombosSHEV]]</f>
        <v>1.3574660633484163E-2</v>
      </c>
      <c r="F4" t="s">
        <v>16</v>
      </c>
      <c r="G4">
        <f>IF(LEN(Table3[[#This Row],[StartingHandsEV]])=2,6,IF(RIGHT(Table3[[#This Row],[StartingHandsEV]])="s",4,12))</f>
        <v>6</v>
      </c>
    </row>
    <row r="5" spans="1:9" x14ac:dyDescent="0.25">
      <c r="A5">
        <v>4</v>
      </c>
      <c r="B5">
        <f>SUM($D$2:D5)/Table3[[#Totals],[CombosU]]</f>
        <v>1.8099547511312219E-2</v>
      </c>
      <c r="C5" t="s">
        <v>17</v>
      </c>
      <c r="D5">
        <f>IF(LEN(Table3[[#This Row],[Unimproved]])=2,6,IF(RIGHT(Table3[[#This Row],[Unimproved]])="s",4,12))</f>
        <v>6</v>
      </c>
      <c r="E5">
        <f>SUM($G$2:G5)/Table3[[#Totals],[CombosSHEV]]</f>
        <v>1.8099547511312219E-2</v>
      </c>
      <c r="F5" t="s">
        <v>17</v>
      </c>
      <c r="G5">
        <f>IF(LEN(Table3[[#This Row],[StartingHandsEV]])=2,6,IF(RIGHT(Table3[[#This Row],[StartingHandsEV]])="s",4,12))</f>
        <v>6</v>
      </c>
    </row>
    <row r="6" spans="1:9" x14ac:dyDescent="0.25">
      <c r="A6">
        <v>5</v>
      </c>
      <c r="B6">
        <f>SUM($D$2:D6)/Table3[[#Totals],[CombosU]]</f>
        <v>2.2624434389140271E-2</v>
      </c>
      <c r="C6" t="s">
        <v>18</v>
      </c>
      <c r="D6">
        <f>IF(LEN(Table3[[#This Row],[Unimproved]])=2,6,IF(RIGHT(Table3[[#This Row],[Unimproved]])="s",4,12))</f>
        <v>6</v>
      </c>
      <c r="E6">
        <f>SUM($G$2:G6)/Table3[[#Totals],[CombosSHEV]]</f>
        <v>2.1116138763197588E-2</v>
      </c>
      <c r="F6" t="s">
        <v>19</v>
      </c>
      <c r="G6">
        <f>IF(LEN(Table3[[#This Row],[StartingHandsEV]])=2,6,IF(RIGHT(Table3[[#This Row],[StartingHandsEV]])="s",4,12))</f>
        <v>4</v>
      </c>
    </row>
    <row r="7" spans="1:9" x14ac:dyDescent="0.25">
      <c r="A7">
        <v>6</v>
      </c>
      <c r="B7">
        <f>SUM($D$2:D7)/Table3[[#Totals],[CombosU]]</f>
        <v>2.7149321266968326E-2</v>
      </c>
      <c r="C7" s="5" t="s">
        <v>212</v>
      </c>
      <c r="D7">
        <f>IF(LEN(Table3[[#This Row],[Unimproved]])=2,6,IF(RIGHT(Table3[[#This Row],[Unimproved]])="s",4,12))</f>
        <v>6</v>
      </c>
      <c r="E7">
        <f>SUM($G$2:G7)/Table3[[#Totals],[CombosSHEV]]</f>
        <v>2.4132730015082957E-2</v>
      </c>
      <c r="F7" t="s">
        <v>21</v>
      </c>
      <c r="G7">
        <f>IF(LEN(Table3[[#This Row],[StartingHandsEV]])=2,6,IF(RIGHT(Table3[[#This Row],[StartingHandsEV]])="s",4,12))</f>
        <v>4</v>
      </c>
    </row>
    <row r="8" spans="1:9" x14ac:dyDescent="0.25">
      <c r="A8">
        <v>7</v>
      </c>
      <c r="B8">
        <f>SUM($D$2:D8)/Table3[[#Totals],[CombosU]]</f>
        <v>3.1674208144796379E-2</v>
      </c>
      <c r="C8" s="5" t="s">
        <v>213</v>
      </c>
      <c r="D8">
        <f>IF(LEN(Table3[[#This Row],[Unimproved]])=2,6,IF(RIGHT(Table3[[#This Row],[Unimproved]])="s",4,12))</f>
        <v>6</v>
      </c>
      <c r="E8">
        <f>SUM($G$2:G8)/Table3[[#Totals],[CombosSHEV]]</f>
        <v>2.8657616892911009E-2</v>
      </c>
      <c r="F8" t="s">
        <v>18</v>
      </c>
      <c r="G8">
        <f>IF(LEN(Table3[[#This Row],[StartingHandsEV]])=2,6,IF(RIGHT(Table3[[#This Row],[StartingHandsEV]])="s",4,12))</f>
        <v>6</v>
      </c>
    </row>
    <row r="9" spans="1:9" x14ac:dyDescent="0.25">
      <c r="A9">
        <v>8</v>
      </c>
      <c r="B9">
        <f>SUM($D$2:D9)/Table3[[#Totals],[CombosU]]</f>
        <v>3.6199095022624438E-2</v>
      </c>
      <c r="C9" s="5" t="s">
        <v>214</v>
      </c>
      <c r="D9">
        <f>IF(LEN(Table3[[#This Row],[Unimproved]])=2,6,IF(RIGHT(Table3[[#This Row],[Unimproved]])="s",4,12))</f>
        <v>6</v>
      </c>
      <c r="E9">
        <f>SUM($G$2:G9)/Table3[[#Totals],[CombosSHEV]]</f>
        <v>3.7707390648567117E-2</v>
      </c>
      <c r="F9" t="s">
        <v>20</v>
      </c>
      <c r="G9">
        <f>IF(LEN(Table3[[#This Row],[StartingHandsEV]])=2,6,IF(RIGHT(Table3[[#This Row],[StartingHandsEV]])="s",4,12))</f>
        <v>12</v>
      </c>
    </row>
    <row r="10" spans="1:9" x14ac:dyDescent="0.25">
      <c r="A10">
        <v>9</v>
      </c>
      <c r="B10">
        <f>SUM($D$2:D10)/Table3[[#Totals],[CombosU]]</f>
        <v>4.072398190045249E-2</v>
      </c>
      <c r="C10" s="5" t="s">
        <v>215</v>
      </c>
      <c r="D10">
        <f>IF(LEN(Table3[[#This Row],[Unimproved]])=2,6,IF(RIGHT(Table3[[#This Row],[Unimproved]])="s",4,12))</f>
        <v>6</v>
      </c>
      <c r="E10">
        <f>SUM($G$2:G10)/Table3[[#Totals],[CombosSHEV]]</f>
        <v>4.072398190045249E-2</v>
      </c>
      <c r="F10" t="s">
        <v>23</v>
      </c>
      <c r="G10">
        <f>IF(LEN(Table3[[#This Row],[StartingHandsEV]])=2,6,IF(RIGHT(Table3[[#This Row],[StartingHandsEV]])="s",4,12))</f>
        <v>4</v>
      </c>
    </row>
    <row r="11" spans="1:9" x14ac:dyDescent="0.25">
      <c r="A11">
        <v>10</v>
      </c>
      <c r="B11">
        <f>SUM($D$2:D11)/Table3[[#Totals],[CombosU]]</f>
        <v>4.5248868778280542E-2</v>
      </c>
      <c r="C11" s="5" t="s">
        <v>216</v>
      </c>
      <c r="D11">
        <f>IF(LEN(Table3[[#This Row],[Unimproved]])=2,6,IF(RIGHT(Table3[[#This Row],[Unimproved]])="s",4,12))</f>
        <v>6</v>
      </c>
      <c r="E11">
        <f>SUM($G$2:G11)/Table3[[#Totals],[CombosSHEV]]</f>
        <v>4.3740573152337855E-2</v>
      </c>
      <c r="F11" t="s">
        <v>43</v>
      </c>
      <c r="G11">
        <f>IF(LEN(Table3[[#This Row],[StartingHandsEV]])=2,6,IF(RIGHT(Table3[[#This Row],[StartingHandsEV]])="s",4,12))</f>
        <v>4</v>
      </c>
    </row>
    <row r="12" spans="1:9" x14ac:dyDescent="0.25">
      <c r="A12">
        <v>11</v>
      </c>
      <c r="B12">
        <f>SUM($D$2:D12)/Table3[[#Totals],[CombosU]]</f>
        <v>4.9773755656108594E-2</v>
      </c>
      <c r="C12" s="5" t="s">
        <v>217</v>
      </c>
      <c r="D12">
        <f>IF(LEN(Table3[[#This Row],[Unimproved]])=2,6,IF(RIGHT(Table3[[#This Row],[Unimproved]])="s",4,12))</f>
        <v>6</v>
      </c>
      <c r="E12">
        <f>SUM($G$2:G12)/Table3[[#Totals],[CombosSHEV]]</f>
        <v>4.8265460030165915E-2</v>
      </c>
      <c r="F12" s="1" t="s">
        <v>212</v>
      </c>
      <c r="G12">
        <f>IF(LEN(Table3[[#This Row],[StartingHandsEV]])=2,6,IF(RIGHT(Table3[[#This Row],[StartingHandsEV]])="s",4,12))</f>
        <v>6</v>
      </c>
    </row>
    <row r="13" spans="1:9" x14ac:dyDescent="0.25">
      <c r="A13">
        <v>12</v>
      </c>
      <c r="B13">
        <f>SUM($D$2:D13)/Table3[[#Totals],[CombosU]]</f>
        <v>5.4298642533936653E-2</v>
      </c>
      <c r="C13" s="5" t="s">
        <v>218</v>
      </c>
      <c r="D13">
        <f>IF(LEN(Table3[[#This Row],[Unimproved]])=2,6,IF(RIGHT(Table3[[#This Row],[Unimproved]])="s",4,12))</f>
        <v>6</v>
      </c>
      <c r="E13">
        <f>SUM($G$2:G13)/Table3[[#Totals],[CombosSHEV]]</f>
        <v>5.128205128205128E-2</v>
      </c>
      <c r="F13" t="s">
        <v>25</v>
      </c>
      <c r="G13">
        <f>IF(LEN(Table3[[#This Row],[StartingHandsEV]])=2,6,IF(RIGHT(Table3[[#This Row],[StartingHandsEV]])="s",4,12))</f>
        <v>4</v>
      </c>
    </row>
    <row r="14" spans="1:9" x14ac:dyDescent="0.25">
      <c r="A14">
        <v>13</v>
      </c>
      <c r="B14">
        <f>SUM($D$2:D14)/Table3[[#Totals],[CombosU]]</f>
        <v>5.8823529411764705E-2</v>
      </c>
      <c r="C14" s="5" t="s">
        <v>219</v>
      </c>
      <c r="D14">
        <f>IF(LEN(Table3[[#This Row],[Unimproved]])=2,6,IF(RIGHT(Table3[[#This Row],[Unimproved]])="s",4,12))</f>
        <v>6</v>
      </c>
      <c r="E14">
        <f>SUM($G$2:G14)/Table3[[#Totals],[CombosSHEV]]</f>
        <v>6.0331825037707391E-2</v>
      </c>
      <c r="F14" t="s">
        <v>22</v>
      </c>
      <c r="G14">
        <f>IF(LEN(Table3[[#This Row],[StartingHandsEV]])=2,6,IF(RIGHT(Table3[[#This Row],[StartingHandsEV]])="s",4,12))</f>
        <v>12</v>
      </c>
    </row>
    <row r="15" spans="1:9" x14ac:dyDescent="0.25">
      <c r="A15">
        <v>14</v>
      </c>
      <c r="B15">
        <f>SUM($D$2:D15)/Table3[[#Totals],[CombosU]]</f>
        <v>6.1840120663650078E-2</v>
      </c>
      <c r="C15" t="s">
        <v>19</v>
      </c>
      <c r="D15">
        <f>IF(LEN(Table3[[#This Row],[Unimproved]])=2,6,IF(RIGHT(Table3[[#This Row],[Unimproved]])="s",4,12))</f>
        <v>4</v>
      </c>
      <c r="E15">
        <f>SUM($G$2:G15)/Table3[[#Totals],[CombosSHEV]]</f>
        <v>6.3348416289592757E-2</v>
      </c>
      <c r="F15" t="s">
        <v>45</v>
      </c>
      <c r="G15">
        <f>IF(LEN(Table3[[#This Row],[StartingHandsEV]])=2,6,IF(RIGHT(Table3[[#This Row],[StartingHandsEV]])="s",4,12))</f>
        <v>4</v>
      </c>
    </row>
    <row r="16" spans="1:9" x14ac:dyDescent="0.25">
      <c r="A16">
        <v>15</v>
      </c>
      <c r="B16">
        <f>SUM($D$2:D16)/Table3[[#Totals],[CombosU]]</f>
        <v>7.0889894419306182E-2</v>
      </c>
      <c r="C16" t="s">
        <v>20</v>
      </c>
      <c r="D16">
        <f>IF(LEN(Table3[[#This Row],[Unimproved]])=2,6,IF(RIGHT(Table3[[#This Row],[Unimproved]])="s",4,12))</f>
        <v>12</v>
      </c>
      <c r="E16">
        <f>SUM($G$2:G16)/Table3[[#Totals],[CombosSHEV]]</f>
        <v>6.7873303167420809E-2</v>
      </c>
      <c r="F16" s="1" t="s">
        <v>213</v>
      </c>
      <c r="G16">
        <f>IF(LEN(Table3[[#This Row],[StartingHandsEV]])=2,6,IF(RIGHT(Table3[[#This Row],[StartingHandsEV]])="s",4,12))</f>
        <v>6</v>
      </c>
    </row>
    <row r="17" spans="1:7" x14ac:dyDescent="0.25">
      <c r="A17">
        <v>16</v>
      </c>
      <c r="B17">
        <f>SUM($D$2:D17)/Table3[[#Totals],[CombosU]]</f>
        <v>7.3906485671191555E-2</v>
      </c>
      <c r="C17" t="s">
        <v>21</v>
      </c>
      <c r="D17">
        <f>IF(LEN(Table3[[#This Row],[Unimproved]])=2,6,IF(RIGHT(Table3[[#This Row],[Unimproved]])="s",4,12))</f>
        <v>4</v>
      </c>
      <c r="E17">
        <f>SUM($G$2:G17)/Table3[[#Totals],[CombosSHEV]]</f>
        <v>7.0889894419306182E-2</v>
      </c>
      <c r="F17" t="s">
        <v>65</v>
      </c>
      <c r="G17">
        <f>IF(LEN(Table3[[#This Row],[StartingHandsEV]])=2,6,IF(RIGHT(Table3[[#This Row],[StartingHandsEV]])="s",4,12))</f>
        <v>4</v>
      </c>
    </row>
    <row r="18" spans="1:7" x14ac:dyDescent="0.25">
      <c r="A18">
        <v>17</v>
      </c>
      <c r="B18">
        <f>SUM($D$2:D18)/Table3[[#Totals],[CombosU]]</f>
        <v>8.2956259426847659E-2</v>
      </c>
      <c r="C18" t="s">
        <v>22</v>
      </c>
      <c r="D18">
        <f>IF(LEN(Table3[[#This Row],[Unimproved]])=2,6,IF(RIGHT(Table3[[#This Row],[Unimproved]])="s",4,12))</f>
        <v>12</v>
      </c>
      <c r="E18">
        <f>SUM($G$2:G18)/Table3[[#Totals],[CombosSHEV]]</f>
        <v>7.3906485671191555E-2</v>
      </c>
      <c r="F18" t="s">
        <v>47</v>
      </c>
      <c r="G18">
        <f>IF(LEN(Table3[[#This Row],[StartingHandsEV]])=2,6,IF(RIGHT(Table3[[#This Row],[StartingHandsEV]])="s",4,12))</f>
        <v>4</v>
      </c>
    </row>
    <row r="19" spans="1:7" x14ac:dyDescent="0.25">
      <c r="A19">
        <v>18</v>
      </c>
      <c r="B19">
        <f>SUM($D$2:D19)/Table3[[#Totals],[CombosU]]</f>
        <v>8.5972850678733032E-2</v>
      </c>
      <c r="C19" t="s">
        <v>23</v>
      </c>
      <c r="D19">
        <f>IF(LEN(Table3[[#This Row],[Unimproved]])=2,6,IF(RIGHT(Table3[[#This Row],[Unimproved]])="s",4,12))</f>
        <v>4</v>
      </c>
      <c r="E19">
        <f>SUM($G$2:G19)/Table3[[#Totals],[CombosSHEV]]</f>
        <v>8.2956259426847659E-2</v>
      </c>
      <c r="F19" t="s">
        <v>24</v>
      </c>
      <c r="G19">
        <f>IF(LEN(Table3[[#This Row],[StartingHandsEV]])=2,6,IF(RIGHT(Table3[[#This Row],[StartingHandsEV]])="s",4,12))</f>
        <v>12</v>
      </c>
    </row>
    <row r="20" spans="1:7" x14ac:dyDescent="0.25">
      <c r="A20">
        <v>19</v>
      </c>
      <c r="B20">
        <f>SUM($D$2:D20)/Table3[[#Totals],[CombosU]]</f>
        <v>9.5022624434389136E-2</v>
      </c>
      <c r="C20" t="s">
        <v>24</v>
      </c>
      <c r="D20">
        <f>IF(LEN(Table3[[#This Row],[Unimproved]])=2,6,IF(RIGHT(Table3[[#This Row],[Unimproved]])="s",4,12))</f>
        <v>12</v>
      </c>
      <c r="E20">
        <f>SUM($G$2:G20)/Table3[[#Totals],[CombosSHEV]]</f>
        <v>8.5972850678733032E-2</v>
      </c>
      <c r="F20" t="s">
        <v>27</v>
      </c>
      <c r="G20">
        <f>IF(LEN(Table3[[#This Row],[StartingHandsEV]])=2,6,IF(RIGHT(Table3[[#This Row],[StartingHandsEV]])="s",4,12))</f>
        <v>4</v>
      </c>
    </row>
    <row r="21" spans="1:7" x14ac:dyDescent="0.25">
      <c r="A21">
        <v>20</v>
      </c>
      <c r="B21">
        <f>SUM($D$2:D21)/Table3[[#Totals],[CombosU]]</f>
        <v>9.8039215686274508E-2</v>
      </c>
      <c r="C21" t="s">
        <v>25</v>
      </c>
      <c r="D21">
        <f>IF(LEN(Table3[[#This Row],[Unimproved]])=2,6,IF(RIGHT(Table3[[#This Row],[Unimproved]])="s",4,12))</f>
        <v>4</v>
      </c>
      <c r="E21">
        <f>SUM($G$2:G21)/Table3[[#Totals],[CombosSHEV]]</f>
        <v>8.8989441930618404E-2</v>
      </c>
      <c r="F21" t="s">
        <v>67</v>
      </c>
      <c r="G21">
        <f>IF(LEN(Table3[[#This Row],[StartingHandsEV]])=2,6,IF(RIGHT(Table3[[#This Row],[StartingHandsEV]])="s",4,12))</f>
        <v>4</v>
      </c>
    </row>
    <row r="22" spans="1:7" x14ac:dyDescent="0.25">
      <c r="A22">
        <v>21</v>
      </c>
      <c r="B22">
        <f>SUM($D$2:D22)/Table3[[#Totals],[CombosU]]</f>
        <v>0.10708898944193061</v>
      </c>
      <c r="C22" t="s">
        <v>26</v>
      </c>
      <c r="D22">
        <f>IF(LEN(Table3[[#This Row],[Unimproved]])=2,6,IF(RIGHT(Table3[[#This Row],[Unimproved]])="s",4,12))</f>
        <v>12</v>
      </c>
      <c r="E22">
        <f>SUM($G$2:G22)/Table3[[#Totals],[CombosSHEV]]</f>
        <v>9.3514328808446456E-2</v>
      </c>
      <c r="F22" s="1" t="s">
        <v>214</v>
      </c>
      <c r="G22">
        <f>IF(LEN(Table3[[#This Row],[StartingHandsEV]])=2,6,IF(RIGHT(Table3[[#This Row],[StartingHandsEV]])="s",4,12))</f>
        <v>6</v>
      </c>
    </row>
    <row r="23" spans="1:7" x14ac:dyDescent="0.25">
      <c r="A23">
        <v>22</v>
      </c>
      <c r="B23">
        <f>SUM($D$2:D23)/Table3[[#Totals],[CombosU]]</f>
        <v>0.11010558069381599</v>
      </c>
      <c r="C23" t="s">
        <v>27</v>
      </c>
      <c r="D23">
        <f>IF(LEN(Table3[[#This Row],[Unimproved]])=2,6,IF(RIGHT(Table3[[#This Row],[Unimproved]])="s",4,12))</f>
        <v>4</v>
      </c>
      <c r="E23">
        <f>SUM($G$2:G23)/Table3[[#Totals],[CombosSHEV]]</f>
        <v>0.10256410256410256</v>
      </c>
      <c r="F23" t="s">
        <v>44</v>
      </c>
      <c r="G23">
        <f>IF(LEN(Table3[[#This Row],[StartingHandsEV]])=2,6,IF(RIGHT(Table3[[#This Row],[StartingHandsEV]])="s",4,12))</f>
        <v>12</v>
      </c>
    </row>
    <row r="24" spans="1:7" x14ac:dyDescent="0.25">
      <c r="A24">
        <v>23</v>
      </c>
      <c r="B24">
        <f>SUM($D$2:D24)/Table3[[#Totals],[CombosU]]</f>
        <v>0.1191553544494721</v>
      </c>
      <c r="C24" t="s">
        <v>28</v>
      </c>
      <c r="D24">
        <f>IF(LEN(Table3[[#This Row],[Unimproved]])=2,6,IF(RIGHT(Table3[[#This Row],[Unimproved]])="s",4,12))</f>
        <v>12</v>
      </c>
      <c r="E24">
        <f>SUM($G$2:G24)/Table3[[#Totals],[CombosSHEV]]</f>
        <v>0.10558069381598793</v>
      </c>
      <c r="F24" t="s">
        <v>85</v>
      </c>
      <c r="G24">
        <f>IF(LEN(Table3[[#This Row],[StartingHandsEV]])=2,6,IF(RIGHT(Table3[[#This Row],[StartingHandsEV]])="s",4,12))</f>
        <v>4</v>
      </c>
    </row>
    <row r="25" spans="1:7" x14ac:dyDescent="0.25">
      <c r="A25">
        <v>24</v>
      </c>
      <c r="B25">
        <f>SUM($D$2:D25)/Table3[[#Totals],[CombosU]]</f>
        <v>0.12217194570135746</v>
      </c>
      <c r="C25" t="s">
        <v>29</v>
      </c>
      <c r="D25">
        <f>IF(LEN(Table3[[#This Row],[Unimproved]])=2,6,IF(RIGHT(Table3[[#This Row],[Unimproved]])="s",4,12))</f>
        <v>4</v>
      </c>
      <c r="E25">
        <f>SUM($G$2:G25)/Table3[[#Totals],[CombosSHEV]]</f>
        <v>0.10859728506787331</v>
      </c>
      <c r="F25" t="s">
        <v>29</v>
      </c>
      <c r="G25">
        <f>IF(LEN(Table3[[#This Row],[StartingHandsEV]])=2,6,IF(RIGHT(Table3[[#This Row],[StartingHandsEV]])="s",4,12))</f>
        <v>4</v>
      </c>
    </row>
    <row r="26" spans="1:7" x14ac:dyDescent="0.25">
      <c r="A26">
        <v>25</v>
      </c>
      <c r="B26">
        <f>SUM($D$2:D26)/Table3[[#Totals],[CombosU]]</f>
        <v>0.13122171945701358</v>
      </c>
      <c r="C26" t="s">
        <v>30</v>
      </c>
      <c r="D26">
        <f>IF(LEN(Table3[[#This Row],[Unimproved]])=2,6,IF(RIGHT(Table3[[#This Row],[Unimproved]])="s",4,12))</f>
        <v>12</v>
      </c>
      <c r="E26">
        <f>SUM($G$2:G26)/Table3[[#Totals],[CombosSHEV]]</f>
        <v>0.11161387631975868</v>
      </c>
      <c r="F26" t="s">
        <v>49</v>
      </c>
      <c r="G26">
        <f>IF(LEN(Table3[[#This Row],[StartingHandsEV]])=2,6,IF(RIGHT(Table3[[#This Row],[StartingHandsEV]])="s",4,12))</f>
        <v>4</v>
      </c>
    </row>
    <row r="27" spans="1:7" x14ac:dyDescent="0.25">
      <c r="A27">
        <v>26</v>
      </c>
      <c r="B27">
        <f>SUM($D$2:D27)/Table3[[#Totals],[CombosU]]</f>
        <v>0.13423831070889894</v>
      </c>
      <c r="C27" t="s">
        <v>31</v>
      </c>
      <c r="D27">
        <f>IF(LEN(Table3[[#This Row],[Unimproved]])=2,6,IF(RIGHT(Table3[[#This Row],[Unimproved]])="s",4,12))</f>
        <v>4</v>
      </c>
      <c r="E27">
        <f>SUM($G$2:G27)/Table3[[#Totals],[CombosSHEV]]</f>
        <v>0.12066365007541478</v>
      </c>
      <c r="F27" t="s">
        <v>26</v>
      </c>
      <c r="G27">
        <f>IF(LEN(Table3[[#This Row],[StartingHandsEV]])=2,6,IF(RIGHT(Table3[[#This Row],[StartingHandsEV]])="s",4,12))</f>
        <v>12</v>
      </c>
    </row>
    <row r="28" spans="1:7" x14ac:dyDescent="0.25">
      <c r="A28">
        <v>27</v>
      </c>
      <c r="B28">
        <f>SUM($D$2:D28)/Table3[[#Totals],[CombosU]]</f>
        <v>0.14328808446455504</v>
      </c>
      <c r="C28" t="s">
        <v>32</v>
      </c>
      <c r="D28">
        <f>IF(LEN(Table3[[#This Row],[Unimproved]])=2,6,IF(RIGHT(Table3[[#This Row],[Unimproved]])="s",4,12))</f>
        <v>12</v>
      </c>
      <c r="E28">
        <f>SUM($G$2:G28)/Table3[[#Totals],[CombosSHEV]]</f>
        <v>0.12368024132730016</v>
      </c>
      <c r="F28" t="s">
        <v>31</v>
      </c>
      <c r="G28">
        <f>IF(LEN(Table3[[#This Row],[StartingHandsEV]])=2,6,IF(RIGHT(Table3[[#This Row],[StartingHandsEV]])="s",4,12))</f>
        <v>4</v>
      </c>
    </row>
    <row r="29" spans="1:7" x14ac:dyDescent="0.25">
      <c r="A29">
        <v>28</v>
      </c>
      <c r="B29">
        <f>SUM($D$2:D29)/Table3[[#Totals],[CombosU]]</f>
        <v>0.14630467571644043</v>
      </c>
      <c r="C29" t="s">
        <v>33</v>
      </c>
      <c r="D29">
        <f>IF(LEN(Table3[[#This Row],[Unimproved]])=2,6,IF(RIGHT(Table3[[#This Row],[Unimproved]])="s",4,12))</f>
        <v>4</v>
      </c>
      <c r="E29">
        <f>SUM($G$2:G29)/Table3[[#Totals],[CombosSHEV]]</f>
        <v>0.12669683257918551</v>
      </c>
      <c r="F29" t="s">
        <v>35</v>
      </c>
      <c r="G29">
        <f>IF(LEN(Table3[[#This Row],[StartingHandsEV]])=2,6,IF(RIGHT(Table3[[#This Row],[StartingHandsEV]])="s",4,12))</f>
        <v>4</v>
      </c>
    </row>
    <row r="30" spans="1:7" x14ac:dyDescent="0.25">
      <c r="A30">
        <v>29</v>
      </c>
      <c r="B30">
        <f>SUM($D$2:D30)/Table3[[#Totals],[CombosU]]</f>
        <v>0.15535444947209653</v>
      </c>
      <c r="C30" t="s">
        <v>34</v>
      </c>
      <c r="D30">
        <f>IF(LEN(Table3[[#This Row],[Unimproved]])=2,6,IF(RIGHT(Table3[[#This Row],[Unimproved]])="s",4,12))</f>
        <v>12</v>
      </c>
      <c r="E30">
        <f>SUM($G$2:G30)/Table3[[#Totals],[CombosSHEV]]</f>
        <v>0.13122171945701358</v>
      </c>
      <c r="F30" s="1" t="s">
        <v>215</v>
      </c>
      <c r="G30">
        <f>IF(LEN(Table3[[#This Row],[StartingHandsEV]])=2,6,IF(RIGHT(Table3[[#This Row],[StartingHandsEV]])="s",4,12))</f>
        <v>6</v>
      </c>
    </row>
    <row r="31" spans="1:7" x14ac:dyDescent="0.25">
      <c r="A31">
        <v>30</v>
      </c>
      <c r="B31">
        <f>SUM($D$2:D31)/Table3[[#Totals],[CombosU]]</f>
        <v>0.15837104072398189</v>
      </c>
      <c r="C31" t="s">
        <v>35</v>
      </c>
      <c r="D31">
        <f>IF(LEN(Table3[[#This Row],[Unimproved]])=2,6,IF(RIGHT(Table3[[#This Row],[Unimproved]])="s",4,12))</f>
        <v>4</v>
      </c>
      <c r="E31">
        <f>SUM($G$2:G31)/Table3[[#Totals],[CombosSHEV]]</f>
        <v>0.14027149321266968</v>
      </c>
      <c r="F31" t="s">
        <v>46</v>
      </c>
      <c r="G31">
        <f>IF(LEN(Table3[[#This Row],[StartingHandsEV]])=2,6,IF(RIGHT(Table3[[#This Row],[StartingHandsEV]])="s",4,12))</f>
        <v>12</v>
      </c>
    </row>
    <row r="32" spans="1:7" x14ac:dyDescent="0.25">
      <c r="A32">
        <v>31</v>
      </c>
      <c r="B32">
        <f>SUM($D$2:D32)/Table3[[#Totals],[CombosU]]</f>
        <v>0.167420814479638</v>
      </c>
      <c r="C32" t="s">
        <v>36</v>
      </c>
      <c r="D32">
        <f>IF(LEN(Table3[[#This Row],[Unimproved]])=2,6,IF(RIGHT(Table3[[#This Row],[Unimproved]])="s",4,12))</f>
        <v>12</v>
      </c>
      <c r="E32">
        <f>SUM($G$2:G32)/Table3[[#Totals],[CombosSHEV]]</f>
        <v>0.14328808446455504</v>
      </c>
      <c r="F32" t="s">
        <v>37</v>
      </c>
      <c r="G32">
        <f>IF(LEN(Table3[[#This Row],[StartingHandsEV]])=2,6,IF(RIGHT(Table3[[#This Row],[StartingHandsEV]])="s",4,12))</f>
        <v>4</v>
      </c>
    </row>
    <row r="33" spans="1:7" x14ac:dyDescent="0.25">
      <c r="A33">
        <v>32</v>
      </c>
      <c r="B33">
        <f>SUM($D$2:D33)/Table3[[#Totals],[CombosU]]</f>
        <v>0.17043740573152338</v>
      </c>
      <c r="C33" t="s">
        <v>37</v>
      </c>
      <c r="D33">
        <f>IF(LEN(Table3[[#This Row],[Unimproved]])=2,6,IF(RIGHT(Table3[[#This Row],[Unimproved]])="s",4,12))</f>
        <v>4</v>
      </c>
      <c r="E33">
        <f>SUM($G$2:G33)/Table3[[#Totals],[CombosSHEV]]</f>
        <v>0.14630467571644043</v>
      </c>
      <c r="F33" t="s">
        <v>69</v>
      </c>
      <c r="G33">
        <f>IF(LEN(Table3[[#This Row],[StartingHandsEV]])=2,6,IF(RIGHT(Table3[[#This Row],[StartingHandsEV]])="s",4,12))</f>
        <v>4</v>
      </c>
    </row>
    <row r="34" spans="1:7" x14ac:dyDescent="0.25">
      <c r="A34">
        <v>33</v>
      </c>
      <c r="B34">
        <f>SUM($D$2:D34)/Table3[[#Totals],[CombosU]]</f>
        <v>0.17948717948717949</v>
      </c>
      <c r="C34" t="s">
        <v>38</v>
      </c>
      <c r="D34">
        <f>IF(LEN(Table3[[#This Row],[Unimproved]])=2,6,IF(RIGHT(Table3[[#This Row],[Unimproved]])="s",4,12))</f>
        <v>12</v>
      </c>
      <c r="E34">
        <f>SUM($G$2:G34)/Table3[[#Totals],[CombosSHEV]]</f>
        <v>0.14932126696832579</v>
      </c>
      <c r="F34" t="s">
        <v>103</v>
      </c>
      <c r="G34">
        <f>IF(LEN(Table3[[#This Row],[StartingHandsEV]])=2,6,IF(RIGHT(Table3[[#This Row],[StartingHandsEV]])="s",4,12))</f>
        <v>4</v>
      </c>
    </row>
    <row r="35" spans="1:7" x14ac:dyDescent="0.25">
      <c r="A35">
        <v>34</v>
      </c>
      <c r="B35">
        <f>SUM($D$2:D35)/Table3[[#Totals],[CombosU]]</f>
        <v>0.18250377073906485</v>
      </c>
      <c r="C35" t="s">
        <v>39</v>
      </c>
      <c r="D35">
        <f>IF(LEN(Table3[[#This Row],[Unimproved]])=2,6,IF(RIGHT(Table3[[#This Row],[Unimproved]])="s",4,12))</f>
        <v>4</v>
      </c>
      <c r="E35">
        <f>SUM($G$2:G35)/Table3[[#Totals],[CombosSHEV]]</f>
        <v>0.15233785822021115</v>
      </c>
      <c r="F35" t="s">
        <v>87</v>
      </c>
      <c r="G35">
        <f>IF(LEN(Table3[[#This Row],[StartingHandsEV]])=2,6,IF(RIGHT(Table3[[#This Row],[StartingHandsEV]])="s",4,12))</f>
        <v>4</v>
      </c>
    </row>
    <row r="36" spans="1:7" x14ac:dyDescent="0.25">
      <c r="A36">
        <v>35</v>
      </c>
      <c r="B36">
        <f>SUM($D$2:D36)/Table3[[#Totals],[CombosU]]</f>
        <v>0.19155354449472098</v>
      </c>
      <c r="C36" t="s">
        <v>40</v>
      </c>
      <c r="D36">
        <f>IF(LEN(Table3[[#This Row],[Unimproved]])=2,6,IF(RIGHT(Table3[[#This Row],[Unimproved]])="s",4,12))</f>
        <v>12</v>
      </c>
      <c r="E36">
        <f>SUM($G$2:G36)/Table3[[#Totals],[CombosSHEV]]</f>
        <v>0.15535444947209653</v>
      </c>
      <c r="F36" t="s">
        <v>33</v>
      </c>
      <c r="G36">
        <f>IF(LEN(Table3[[#This Row],[StartingHandsEV]])=2,6,IF(RIGHT(Table3[[#This Row],[StartingHandsEV]])="s",4,12))</f>
        <v>4</v>
      </c>
    </row>
    <row r="37" spans="1:7" x14ac:dyDescent="0.25">
      <c r="A37">
        <v>36</v>
      </c>
      <c r="B37">
        <f>SUM($D$2:D37)/Table3[[#Totals],[CombosU]]</f>
        <v>0.19457013574660634</v>
      </c>
      <c r="C37" t="s">
        <v>41</v>
      </c>
      <c r="D37">
        <f>IF(LEN(Table3[[#This Row],[Unimproved]])=2,6,IF(RIGHT(Table3[[#This Row],[Unimproved]])="s",4,12))</f>
        <v>4</v>
      </c>
      <c r="E37">
        <f>SUM($G$2:G37)/Table3[[#Totals],[CombosSHEV]]</f>
        <v>0.16440422322775264</v>
      </c>
      <c r="F37" t="s">
        <v>66</v>
      </c>
      <c r="G37">
        <f>IF(LEN(Table3[[#This Row],[StartingHandsEV]])=2,6,IF(RIGHT(Table3[[#This Row],[StartingHandsEV]])="s",4,12))</f>
        <v>12</v>
      </c>
    </row>
    <row r="38" spans="1:7" x14ac:dyDescent="0.25">
      <c r="A38">
        <v>37</v>
      </c>
      <c r="B38">
        <f>SUM($D$2:D38)/Table3[[#Totals],[CombosU]]</f>
        <v>0.20361990950226244</v>
      </c>
      <c r="C38" t="s">
        <v>42</v>
      </c>
      <c r="D38">
        <f>IF(LEN(Table3[[#This Row],[Unimproved]])=2,6,IF(RIGHT(Table3[[#This Row],[Unimproved]])="s",4,12))</f>
        <v>12</v>
      </c>
      <c r="E38">
        <f>SUM($G$2:G38)/Table3[[#Totals],[CombosSHEV]]</f>
        <v>0.1689291101055807</v>
      </c>
      <c r="F38" s="1" t="s">
        <v>216</v>
      </c>
      <c r="G38">
        <f>IF(LEN(Table3[[#This Row],[StartingHandsEV]])=2,6,IF(RIGHT(Table3[[#This Row],[StartingHandsEV]])="s",4,12))</f>
        <v>6</v>
      </c>
    </row>
    <row r="39" spans="1:7" x14ac:dyDescent="0.25">
      <c r="A39">
        <v>38</v>
      </c>
      <c r="B39">
        <f>SUM($D$2:D39)/Table3[[#Totals],[CombosU]]</f>
        <v>0.2066365007541478</v>
      </c>
      <c r="C39" t="s">
        <v>43</v>
      </c>
      <c r="D39">
        <f>IF(LEN(Table3[[#This Row],[Unimproved]])=2,6,IF(RIGHT(Table3[[#This Row],[Unimproved]])="s",4,12))</f>
        <v>4</v>
      </c>
      <c r="E39">
        <f>SUM($G$2:G39)/Table3[[#Totals],[CombosSHEV]]</f>
        <v>0.17194570135746606</v>
      </c>
      <c r="F39" t="s">
        <v>39</v>
      </c>
      <c r="G39">
        <f>IF(LEN(Table3[[#This Row],[StartingHandsEV]])=2,6,IF(RIGHT(Table3[[#This Row],[StartingHandsEV]])="s",4,12))</f>
        <v>4</v>
      </c>
    </row>
    <row r="40" spans="1:7" x14ac:dyDescent="0.25">
      <c r="A40">
        <v>39</v>
      </c>
      <c r="B40">
        <f>SUM($D$2:D40)/Table3[[#Totals],[CombosU]]</f>
        <v>0.21568627450980393</v>
      </c>
      <c r="C40" t="s">
        <v>44</v>
      </c>
      <c r="D40">
        <f>IF(LEN(Table3[[#This Row],[Unimproved]])=2,6,IF(RIGHT(Table3[[#This Row],[Unimproved]])="s",4,12))</f>
        <v>12</v>
      </c>
      <c r="E40">
        <f>SUM($G$2:G40)/Table3[[#Totals],[CombosSHEV]]</f>
        <v>0.18099547511312217</v>
      </c>
      <c r="F40" t="s">
        <v>48</v>
      </c>
      <c r="G40">
        <f>IF(LEN(Table3[[#This Row],[StartingHandsEV]])=2,6,IF(RIGHT(Table3[[#This Row],[StartingHandsEV]])="s",4,12))</f>
        <v>12</v>
      </c>
    </row>
    <row r="41" spans="1:7" x14ac:dyDescent="0.25">
      <c r="A41">
        <v>40</v>
      </c>
      <c r="B41">
        <f>SUM($D$2:D41)/Table3[[#Totals],[CombosU]]</f>
        <v>0.21870286576168929</v>
      </c>
      <c r="C41" t="s">
        <v>45</v>
      </c>
      <c r="D41">
        <f>IF(LEN(Table3[[#This Row],[Unimproved]])=2,6,IF(RIGHT(Table3[[#This Row],[Unimproved]])="s",4,12))</f>
        <v>4</v>
      </c>
      <c r="E41">
        <f>SUM($G$2:G41)/Table3[[#Totals],[CombosSHEV]]</f>
        <v>0.18401206636500755</v>
      </c>
      <c r="F41" t="s">
        <v>51</v>
      </c>
      <c r="G41">
        <f>IF(LEN(Table3[[#This Row],[StartingHandsEV]])=2,6,IF(RIGHT(Table3[[#This Row],[StartingHandsEV]])="s",4,12))</f>
        <v>4</v>
      </c>
    </row>
    <row r="42" spans="1:7" x14ac:dyDescent="0.25">
      <c r="A42">
        <v>41</v>
      </c>
      <c r="B42">
        <f>SUM($D$2:D42)/Table3[[#Totals],[CombosU]]</f>
        <v>0.2277526395173454</v>
      </c>
      <c r="C42" t="s">
        <v>46</v>
      </c>
      <c r="D42">
        <f>IF(LEN(Table3[[#This Row],[Unimproved]])=2,6,IF(RIGHT(Table3[[#This Row],[Unimproved]])="s",4,12))</f>
        <v>12</v>
      </c>
      <c r="E42">
        <f>SUM($G$2:G42)/Table3[[#Totals],[CombosSHEV]]</f>
        <v>0.18702865761689291</v>
      </c>
      <c r="F42" t="s">
        <v>41</v>
      </c>
      <c r="G42">
        <f>IF(LEN(Table3[[#This Row],[StartingHandsEV]])=2,6,IF(RIGHT(Table3[[#This Row],[StartingHandsEV]])="s",4,12))</f>
        <v>4</v>
      </c>
    </row>
    <row r="43" spans="1:7" x14ac:dyDescent="0.25">
      <c r="A43">
        <v>42</v>
      </c>
      <c r="B43">
        <f>SUM($D$2:D43)/Table3[[#Totals],[CombosU]]</f>
        <v>0.23076923076923078</v>
      </c>
      <c r="C43" t="s">
        <v>47</v>
      </c>
      <c r="D43">
        <f>IF(LEN(Table3[[#This Row],[Unimproved]])=2,6,IF(RIGHT(Table3[[#This Row],[Unimproved]])="s",4,12))</f>
        <v>4</v>
      </c>
      <c r="E43">
        <f>SUM($G$2:G43)/Table3[[#Totals],[CombosSHEV]]</f>
        <v>0.19004524886877827</v>
      </c>
      <c r="F43" t="s">
        <v>53</v>
      </c>
      <c r="G43">
        <f>IF(LEN(Table3[[#This Row],[StartingHandsEV]])=2,6,IF(RIGHT(Table3[[#This Row],[StartingHandsEV]])="s",4,12))</f>
        <v>4</v>
      </c>
    </row>
    <row r="44" spans="1:7" x14ac:dyDescent="0.25">
      <c r="A44">
        <v>43</v>
      </c>
      <c r="B44">
        <f>SUM($D$2:D44)/Table3[[#Totals],[CombosU]]</f>
        <v>0.23981900452488689</v>
      </c>
      <c r="C44" t="s">
        <v>48</v>
      </c>
      <c r="D44">
        <f>IF(LEN(Table3[[#This Row],[Unimproved]])=2,6,IF(RIGHT(Table3[[#This Row],[Unimproved]])="s",4,12))</f>
        <v>12</v>
      </c>
      <c r="E44">
        <f>SUM($G$2:G44)/Table3[[#Totals],[CombosSHEV]]</f>
        <v>0.19306184012066366</v>
      </c>
      <c r="F44" t="s">
        <v>105</v>
      </c>
      <c r="G44">
        <f>IF(LEN(Table3[[#This Row],[StartingHandsEV]])=2,6,IF(RIGHT(Table3[[#This Row],[StartingHandsEV]])="s",4,12))</f>
        <v>4</v>
      </c>
    </row>
    <row r="45" spans="1:7" x14ac:dyDescent="0.25">
      <c r="A45">
        <v>44</v>
      </c>
      <c r="B45">
        <f>SUM($D$2:D45)/Table3[[#Totals],[CombosU]]</f>
        <v>0.24283559577677225</v>
      </c>
      <c r="C45" t="s">
        <v>49</v>
      </c>
      <c r="D45">
        <f>IF(LEN(Table3[[#This Row],[Unimproved]])=2,6,IF(RIGHT(Table3[[#This Row],[Unimproved]])="s",4,12))</f>
        <v>4</v>
      </c>
      <c r="E45">
        <f>SUM($G$2:G45)/Table3[[#Totals],[CombosSHEV]]</f>
        <v>0.19607843137254902</v>
      </c>
      <c r="F45" t="s">
        <v>119</v>
      </c>
      <c r="G45">
        <f>IF(LEN(Table3[[#This Row],[StartingHandsEV]])=2,6,IF(RIGHT(Table3[[#This Row],[StartingHandsEV]])="s",4,12))</f>
        <v>4</v>
      </c>
    </row>
    <row r="46" spans="1:7" x14ac:dyDescent="0.25">
      <c r="A46">
        <v>45</v>
      </c>
      <c r="B46">
        <f>SUM($D$2:D46)/Table3[[#Totals],[CombosU]]</f>
        <v>0.25188536953242835</v>
      </c>
      <c r="C46" t="s">
        <v>50</v>
      </c>
      <c r="D46">
        <f>IF(LEN(Table3[[#This Row],[Unimproved]])=2,6,IF(RIGHT(Table3[[#This Row],[Unimproved]])="s",4,12))</f>
        <v>12</v>
      </c>
      <c r="E46">
        <f>SUM($G$2:G46)/Table3[[#Totals],[CombosSHEV]]</f>
        <v>0.20512820512820512</v>
      </c>
      <c r="F46" t="s">
        <v>68</v>
      </c>
      <c r="G46">
        <f>IF(LEN(Table3[[#This Row],[StartingHandsEV]])=2,6,IF(RIGHT(Table3[[#This Row],[StartingHandsEV]])="s",4,12))</f>
        <v>12</v>
      </c>
    </row>
    <row r="47" spans="1:7" x14ac:dyDescent="0.25">
      <c r="A47">
        <v>46</v>
      </c>
      <c r="B47">
        <f>SUM($D$2:D47)/Table3[[#Totals],[CombosU]]</f>
        <v>0.25490196078431371</v>
      </c>
      <c r="C47" t="s">
        <v>51</v>
      </c>
      <c r="D47">
        <f>IF(LEN(Table3[[#This Row],[Unimproved]])=2,6,IF(RIGHT(Table3[[#This Row],[Unimproved]])="s",4,12))</f>
        <v>4</v>
      </c>
      <c r="E47">
        <f>SUM($G$2:G47)/Table3[[#Totals],[CombosSHEV]]</f>
        <v>0.20814479638009051</v>
      </c>
      <c r="F47" t="s">
        <v>71</v>
      </c>
      <c r="G47">
        <f>IF(LEN(Table3[[#This Row],[StartingHandsEV]])=2,6,IF(RIGHT(Table3[[#This Row],[StartingHandsEV]])="s",4,12))</f>
        <v>4</v>
      </c>
    </row>
    <row r="48" spans="1:7" x14ac:dyDescent="0.25">
      <c r="A48">
        <v>47</v>
      </c>
      <c r="B48">
        <f>SUM($D$2:D48)/Table3[[#Totals],[CombosU]]</f>
        <v>0.26395173453996984</v>
      </c>
      <c r="C48" t="s">
        <v>52</v>
      </c>
      <c r="D48">
        <f>IF(LEN(Table3[[#This Row],[Unimproved]])=2,6,IF(RIGHT(Table3[[#This Row],[Unimproved]])="s",4,12))</f>
        <v>12</v>
      </c>
      <c r="E48">
        <f>SUM($G$2:G48)/Table3[[#Totals],[CombosSHEV]]</f>
        <v>0.21116138763197587</v>
      </c>
      <c r="F48" t="s">
        <v>133</v>
      </c>
      <c r="G48">
        <f>IF(LEN(Table3[[#This Row],[StartingHandsEV]])=2,6,IF(RIGHT(Table3[[#This Row],[StartingHandsEV]])="s",4,12))</f>
        <v>4</v>
      </c>
    </row>
    <row r="49" spans="1:7" x14ac:dyDescent="0.25">
      <c r="A49">
        <v>48</v>
      </c>
      <c r="B49">
        <f>SUM($D$2:D49)/Table3[[#Totals],[CombosU]]</f>
        <v>0.2669683257918552</v>
      </c>
      <c r="C49" t="s">
        <v>53</v>
      </c>
      <c r="D49">
        <f>IF(LEN(Table3[[#This Row],[Unimproved]])=2,6,IF(RIGHT(Table3[[#This Row],[Unimproved]])="s",4,12))</f>
        <v>4</v>
      </c>
      <c r="E49">
        <f>SUM($G$2:G49)/Table3[[#Totals],[CombosSHEV]]</f>
        <v>0.21568627450980393</v>
      </c>
      <c r="F49" s="1" t="s">
        <v>217</v>
      </c>
      <c r="G49">
        <f>IF(LEN(Table3[[#This Row],[StartingHandsEV]])=2,6,IF(RIGHT(Table3[[#This Row],[StartingHandsEV]])="s",4,12))</f>
        <v>6</v>
      </c>
    </row>
    <row r="50" spans="1:7" x14ac:dyDescent="0.25">
      <c r="A50">
        <v>49</v>
      </c>
      <c r="B50">
        <f>SUM($D$2:D50)/Table3[[#Totals],[CombosU]]</f>
        <v>0.27601809954751133</v>
      </c>
      <c r="C50" t="s">
        <v>54</v>
      </c>
      <c r="D50">
        <f>IF(LEN(Table3[[#This Row],[Unimproved]])=2,6,IF(RIGHT(Table3[[#This Row],[Unimproved]])="s",4,12))</f>
        <v>12</v>
      </c>
      <c r="E50">
        <f>SUM($G$2:G50)/Table3[[#Totals],[CombosSHEV]]</f>
        <v>0.22473604826546004</v>
      </c>
      <c r="F50" t="s">
        <v>28</v>
      </c>
      <c r="G50">
        <f>IF(LEN(Table3[[#This Row],[StartingHandsEV]])=2,6,IF(RIGHT(Table3[[#This Row],[StartingHandsEV]])="s",4,12))</f>
        <v>12</v>
      </c>
    </row>
    <row r="51" spans="1:7" x14ac:dyDescent="0.25">
      <c r="A51">
        <v>50</v>
      </c>
      <c r="B51">
        <f>SUM($D$2:D51)/Table3[[#Totals],[CombosU]]</f>
        <v>0.27903469079939669</v>
      </c>
      <c r="C51" t="s">
        <v>55</v>
      </c>
      <c r="D51">
        <f>IF(LEN(Table3[[#This Row],[Unimproved]])=2,6,IF(RIGHT(Table3[[#This Row],[Unimproved]])="s",4,12))</f>
        <v>4</v>
      </c>
      <c r="E51">
        <f>SUM($G$2:G51)/Table3[[#Totals],[CombosSHEV]]</f>
        <v>0.23378582202111614</v>
      </c>
      <c r="F51" t="s">
        <v>86</v>
      </c>
      <c r="G51">
        <f>IF(LEN(Table3[[#This Row],[StartingHandsEV]])=2,6,IF(RIGHT(Table3[[#This Row],[StartingHandsEV]])="s",4,12))</f>
        <v>12</v>
      </c>
    </row>
    <row r="52" spans="1:7" x14ac:dyDescent="0.25">
      <c r="A52">
        <v>51</v>
      </c>
      <c r="B52">
        <f>SUM($D$2:D52)/Table3[[#Totals],[CombosU]]</f>
        <v>0.28808446455505277</v>
      </c>
      <c r="C52" t="s">
        <v>56</v>
      </c>
      <c r="D52">
        <f>IF(LEN(Table3[[#This Row],[Unimproved]])=2,6,IF(RIGHT(Table3[[#This Row],[Unimproved]])="s",4,12))</f>
        <v>12</v>
      </c>
      <c r="E52">
        <f>SUM($G$2:G52)/Table3[[#Totals],[CombosSHEV]]</f>
        <v>0.2368024132730015</v>
      </c>
      <c r="F52" t="s">
        <v>89</v>
      </c>
      <c r="G52">
        <f>IF(LEN(Table3[[#This Row],[StartingHandsEV]])=2,6,IF(RIGHT(Table3[[#This Row],[StartingHandsEV]])="s",4,12))</f>
        <v>4</v>
      </c>
    </row>
    <row r="53" spans="1:7" x14ac:dyDescent="0.25">
      <c r="A53">
        <v>52</v>
      </c>
      <c r="B53">
        <f>SUM($D$2:D53)/Table3[[#Totals],[CombosU]]</f>
        <v>0.29110105580693818</v>
      </c>
      <c r="C53" t="s">
        <v>57</v>
      </c>
      <c r="D53">
        <f>IF(LEN(Table3[[#This Row],[Unimproved]])=2,6,IF(RIGHT(Table3[[#This Row],[Unimproved]])="s",4,12))</f>
        <v>4</v>
      </c>
      <c r="E53">
        <f>SUM($G$2:G53)/Table3[[#Totals],[CombosSHEV]]</f>
        <v>0.23981900452488689</v>
      </c>
      <c r="F53" t="s">
        <v>145</v>
      </c>
      <c r="G53">
        <f>IF(LEN(Table3[[#This Row],[StartingHandsEV]])=2,6,IF(RIGHT(Table3[[#This Row],[StartingHandsEV]])="s",4,12))</f>
        <v>4</v>
      </c>
    </row>
    <row r="54" spans="1:7" x14ac:dyDescent="0.25">
      <c r="A54">
        <v>53</v>
      </c>
      <c r="B54">
        <f>SUM($D$2:D54)/Table3[[#Totals],[CombosU]]</f>
        <v>0.30015082956259426</v>
      </c>
      <c r="C54" t="s">
        <v>58</v>
      </c>
      <c r="D54">
        <f>IF(LEN(Table3[[#This Row],[Unimproved]])=2,6,IF(RIGHT(Table3[[#This Row],[Unimproved]])="s",4,12))</f>
        <v>12</v>
      </c>
      <c r="E54">
        <f>SUM($G$2:G54)/Table3[[#Totals],[CombosSHEV]]</f>
        <v>0.24283559577677225</v>
      </c>
      <c r="F54" t="s">
        <v>55</v>
      </c>
      <c r="G54">
        <f>IF(LEN(Table3[[#This Row],[StartingHandsEV]])=2,6,IF(RIGHT(Table3[[#This Row],[StartingHandsEV]])="s",4,12))</f>
        <v>4</v>
      </c>
    </row>
    <row r="55" spans="1:7" x14ac:dyDescent="0.25">
      <c r="A55">
        <v>54</v>
      </c>
      <c r="B55">
        <f>SUM($D$2:D55)/Table3[[#Totals],[CombosU]]</f>
        <v>0.30316742081447962</v>
      </c>
      <c r="C55" t="s">
        <v>59</v>
      </c>
      <c r="D55">
        <f>IF(LEN(Table3[[#This Row],[Unimproved]])=2,6,IF(RIGHT(Table3[[#This Row],[Unimproved]])="s",4,12))</f>
        <v>4</v>
      </c>
      <c r="E55">
        <f>SUM($G$2:G55)/Table3[[#Totals],[CombosSHEV]]</f>
        <v>0.2458521870286576</v>
      </c>
      <c r="F55" t="s">
        <v>121</v>
      </c>
      <c r="G55">
        <f>IF(LEN(Table3[[#This Row],[StartingHandsEV]])=2,6,IF(RIGHT(Table3[[#This Row],[StartingHandsEV]])="s",4,12))</f>
        <v>4</v>
      </c>
    </row>
    <row r="56" spans="1:7" x14ac:dyDescent="0.25">
      <c r="A56">
        <v>55</v>
      </c>
      <c r="B56">
        <f>SUM($D$2:D56)/Table3[[#Totals],[CombosU]]</f>
        <v>0.31221719457013575</v>
      </c>
      <c r="C56" t="s">
        <v>60</v>
      </c>
      <c r="D56">
        <f>IF(LEN(Table3[[#This Row],[Unimproved]])=2,6,IF(RIGHT(Table3[[#This Row],[Unimproved]])="s",4,12))</f>
        <v>12</v>
      </c>
      <c r="E56">
        <f>SUM($G$2:G56)/Table3[[#Totals],[CombosSHEV]]</f>
        <v>0.24886877828054299</v>
      </c>
      <c r="F56" t="s">
        <v>57</v>
      </c>
      <c r="G56">
        <f>IF(LEN(Table3[[#This Row],[StartingHandsEV]])=2,6,IF(RIGHT(Table3[[#This Row],[StartingHandsEV]])="s",4,12))</f>
        <v>4</v>
      </c>
    </row>
    <row r="57" spans="1:7" x14ac:dyDescent="0.25">
      <c r="A57">
        <v>56</v>
      </c>
      <c r="B57">
        <f>SUM($D$2:D57)/Table3[[#Totals],[CombosU]]</f>
        <v>0.31523378582202111</v>
      </c>
      <c r="C57" t="s">
        <v>61</v>
      </c>
      <c r="D57">
        <f>IF(LEN(Table3[[#This Row],[Unimproved]])=2,6,IF(RIGHT(Table3[[#This Row],[Unimproved]])="s",4,12))</f>
        <v>4</v>
      </c>
      <c r="E57">
        <f>SUM($G$2:G57)/Table3[[#Totals],[CombosSHEV]]</f>
        <v>0.25188536953242835</v>
      </c>
      <c r="F57" t="s">
        <v>59</v>
      </c>
      <c r="G57">
        <f>IF(LEN(Table3[[#This Row],[StartingHandsEV]])=2,6,IF(RIGHT(Table3[[#This Row],[StartingHandsEV]])="s",4,12))</f>
        <v>4</v>
      </c>
    </row>
    <row r="58" spans="1:7" x14ac:dyDescent="0.25">
      <c r="A58">
        <v>57</v>
      </c>
      <c r="B58">
        <f>SUM($D$2:D58)/Table3[[#Totals],[CombosU]]</f>
        <v>0.32428355957767724</v>
      </c>
      <c r="C58" t="s">
        <v>62</v>
      </c>
      <c r="D58">
        <f>IF(LEN(Table3[[#This Row],[Unimproved]])=2,6,IF(RIGHT(Table3[[#This Row],[Unimproved]])="s",4,12))</f>
        <v>12</v>
      </c>
      <c r="E58">
        <f>SUM($G$2:G58)/Table3[[#Totals],[CombosSHEV]]</f>
        <v>0.25490196078431371</v>
      </c>
      <c r="F58" t="s">
        <v>107</v>
      </c>
      <c r="G58">
        <f>IF(LEN(Table3[[#This Row],[StartingHandsEV]])=2,6,IF(RIGHT(Table3[[#This Row],[StartingHandsEV]])="s",4,12))</f>
        <v>4</v>
      </c>
    </row>
    <row r="59" spans="1:7" x14ac:dyDescent="0.25">
      <c r="A59">
        <v>58</v>
      </c>
      <c r="B59">
        <f>SUM($D$2:D59)/Table3[[#Totals],[CombosU]]</f>
        <v>0.3273001508295626</v>
      </c>
      <c r="C59" t="s">
        <v>63</v>
      </c>
      <c r="D59">
        <f>IF(LEN(Table3[[#This Row],[Unimproved]])=2,6,IF(RIGHT(Table3[[#This Row],[Unimproved]])="s",4,12))</f>
        <v>4</v>
      </c>
      <c r="E59">
        <f>SUM($G$2:G59)/Table3[[#Totals],[CombosSHEV]]</f>
        <v>0.25791855203619912</v>
      </c>
      <c r="F59" t="s">
        <v>73</v>
      </c>
      <c r="G59">
        <f>IF(LEN(Table3[[#This Row],[StartingHandsEV]])=2,6,IF(RIGHT(Table3[[#This Row],[StartingHandsEV]])="s",4,12))</f>
        <v>4</v>
      </c>
    </row>
    <row r="60" spans="1:7" x14ac:dyDescent="0.25">
      <c r="A60">
        <v>59</v>
      </c>
      <c r="B60">
        <f>SUM($D$2:D60)/Table3[[#Totals],[CombosU]]</f>
        <v>0.33634992458521873</v>
      </c>
      <c r="C60" t="s">
        <v>64</v>
      </c>
      <c r="D60">
        <f>IF(LEN(Table3[[#This Row],[Unimproved]])=2,6,IF(RIGHT(Table3[[#This Row],[Unimproved]])="s",4,12))</f>
        <v>12</v>
      </c>
      <c r="E60">
        <f>SUM($G$2:G60)/Table3[[#Totals],[CombosSHEV]]</f>
        <v>0.26244343891402716</v>
      </c>
      <c r="F60" s="1" t="s">
        <v>218</v>
      </c>
      <c r="G60">
        <f>IF(LEN(Table3[[#This Row],[StartingHandsEV]])=2,6,IF(RIGHT(Table3[[#This Row],[StartingHandsEV]])="s",4,12))</f>
        <v>6</v>
      </c>
    </row>
    <row r="61" spans="1:7" x14ac:dyDescent="0.25">
      <c r="A61">
        <v>60</v>
      </c>
      <c r="B61">
        <f>SUM($D$2:D61)/Table3[[#Totals],[CombosU]]</f>
        <v>0.33936651583710409</v>
      </c>
      <c r="C61" t="s">
        <v>65</v>
      </c>
      <c r="D61">
        <f>IF(LEN(Table3[[#This Row],[Unimproved]])=2,6,IF(RIGHT(Table3[[#This Row],[Unimproved]])="s",4,12))</f>
        <v>4</v>
      </c>
      <c r="E61">
        <f>SUM($G$2:G61)/Table3[[#Totals],[CombosSHEV]]</f>
        <v>0.27149321266968324</v>
      </c>
      <c r="F61" t="s">
        <v>30</v>
      </c>
      <c r="G61">
        <f>IF(LEN(Table3[[#This Row],[StartingHandsEV]])=2,6,IF(RIGHT(Table3[[#This Row],[StartingHandsEV]])="s",4,12))</f>
        <v>12</v>
      </c>
    </row>
    <row r="62" spans="1:7" x14ac:dyDescent="0.25">
      <c r="A62">
        <v>61</v>
      </c>
      <c r="B62">
        <f>SUM($D$2:D62)/Table3[[#Totals],[CombosU]]</f>
        <v>0.34841628959276016</v>
      </c>
      <c r="C62" t="s">
        <v>66</v>
      </c>
      <c r="D62">
        <f>IF(LEN(Table3[[#This Row],[Unimproved]])=2,6,IF(RIGHT(Table3[[#This Row],[Unimproved]])="s",4,12))</f>
        <v>12</v>
      </c>
      <c r="E62">
        <f>SUM($G$2:G62)/Table3[[#Totals],[CombosSHEV]]</f>
        <v>0.28054298642533937</v>
      </c>
      <c r="F62" t="s">
        <v>50</v>
      </c>
      <c r="G62">
        <f>IF(LEN(Table3[[#This Row],[StartingHandsEV]])=2,6,IF(RIGHT(Table3[[#This Row],[StartingHandsEV]])="s",4,12))</f>
        <v>12</v>
      </c>
    </row>
    <row r="63" spans="1:7" x14ac:dyDescent="0.25">
      <c r="A63">
        <v>62</v>
      </c>
      <c r="B63">
        <f>SUM($D$2:D63)/Table3[[#Totals],[CombosU]]</f>
        <v>0.35143288084464552</v>
      </c>
      <c r="C63" t="s">
        <v>67</v>
      </c>
      <c r="D63">
        <f>IF(LEN(Table3[[#This Row],[Unimproved]])=2,6,IF(RIGHT(Table3[[#This Row],[Unimproved]])="s",4,12))</f>
        <v>4</v>
      </c>
      <c r="E63">
        <f>SUM($G$2:G63)/Table3[[#Totals],[CombosSHEV]]</f>
        <v>0.28355957767722473</v>
      </c>
      <c r="F63" t="s">
        <v>91</v>
      </c>
      <c r="G63">
        <f>IF(LEN(Table3[[#This Row],[StartingHandsEV]])=2,6,IF(RIGHT(Table3[[#This Row],[StartingHandsEV]])="s",4,12))</f>
        <v>4</v>
      </c>
    </row>
    <row r="64" spans="1:7" x14ac:dyDescent="0.25">
      <c r="A64">
        <v>63</v>
      </c>
      <c r="B64">
        <f>SUM($D$2:D64)/Table3[[#Totals],[CombosU]]</f>
        <v>0.36048265460030166</v>
      </c>
      <c r="C64" t="s">
        <v>68</v>
      </c>
      <c r="D64">
        <f>IF(LEN(Table3[[#This Row],[Unimproved]])=2,6,IF(RIGHT(Table3[[#This Row],[Unimproved]])="s",4,12))</f>
        <v>12</v>
      </c>
      <c r="E64">
        <f>SUM($G$2:G64)/Table3[[#Totals],[CombosSHEV]]</f>
        <v>0.28657616892911009</v>
      </c>
      <c r="F64" t="s">
        <v>135</v>
      </c>
      <c r="G64">
        <f>IF(LEN(Table3[[#This Row],[StartingHandsEV]])=2,6,IF(RIGHT(Table3[[#This Row],[StartingHandsEV]])="s",4,12))</f>
        <v>4</v>
      </c>
    </row>
    <row r="65" spans="1:7" x14ac:dyDescent="0.25">
      <c r="A65">
        <v>64</v>
      </c>
      <c r="B65">
        <f>SUM($D$2:D65)/Table3[[#Totals],[CombosU]]</f>
        <v>0.36349924585218701</v>
      </c>
      <c r="C65" t="s">
        <v>69</v>
      </c>
      <c r="D65">
        <f>IF(LEN(Table3[[#This Row],[Unimproved]])=2,6,IF(RIGHT(Table3[[#This Row],[Unimproved]])="s",4,12))</f>
        <v>4</v>
      </c>
      <c r="E65">
        <f>SUM($G$2:G65)/Table3[[#Totals],[CombosSHEV]]</f>
        <v>0.2895927601809955</v>
      </c>
      <c r="F65" t="s">
        <v>155</v>
      </c>
      <c r="G65">
        <f>IF(LEN(Table3[[#This Row],[StartingHandsEV]])=2,6,IF(RIGHT(Table3[[#This Row],[StartingHandsEV]])="s",4,12))</f>
        <v>4</v>
      </c>
    </row>
    <row r="66" spans="1:7" x14ac:dyDescent="0.25">
      <c r="A66">
        <v>65</v>
      </c>
      <c r="B66">
        <f>SUM($D$2:D66)/Table3[[#Totals],[CombosU]]</f>
        <v>0.37254901960784315</v>
      </c>
      <c r="C66" t="s">
        <v>70</v>
      </c>
      <c r="D66">
        <f>IF(LEN(Table3[[#This Row],[Unimproved]])=2,6,IF(RIGHT(Table3[[#This Row],[Unimproved]])="s",4,12))</f>
        <v>12</v>
      </c>
      <c r="E66">
        <f>SUM($G$2:G66)/Table3[[#Totals],[CombosSHEV]]</f>
        <v>0.29260935143288086</v>
      </c>
      <c r="F66" t="s">
        <v>61</v>
      </c>
      <c r="G66">
        <f>IF(LEN(Table3[[#This Row],[StartingHandsEV]])=2,6,IF(RIGHT(Table3[[#This Row],[StartingHandsEV]])="s",4,12))</f>
        <v>4</v>
      </c>
    </row>
    <row r="67" spans="1:7" x14ac:dyDescent="0.25">
      <c r="A67">
        <v>66</v>
      </c>
      <c r="B67">
        <f>SUM($D$2:D67)/Table3[[#Totals],[CombosU]]</f>
        <v>0.3755656108597285</v>
      </c>
      <c r="C67" t="s">
        <v>71</v>
      </c>
      <c r="D67">
        <f>IF(LEN(Table3[[#This Row],[Unimproved]])=2,6,IF(RIGHT(Table3[[#This Row],[Unimproved]])="s",4,12))</f>
        <v>4</v>
      </c>
      <c r="E67">
        <f>SUM($G$2:G67)/Table3[[#Totals],[CombosSHEV]]</f>
        <v>0.29562594268476622</v>
      </c>
      <c r="F67" t="s">
        <v>63</v>
      </c>
      <c r="G67">
        <f>IF(LEN(Table3[[#This Row],[StartingHandsEV]])=2,6,IF(RIGHT(Table3[[#This Row],[StartingHandsEV]])="s",4,12))</f>
        <v>4</v>
      </c>
    </row>
    <row r="68" spans="1:7" x14ac:dyDescent="0.25">
      <c r="A68">
        <v>67</v>
      </c>
      <c r="B68">
        <f>SUM($D$2:D68)/Table3[[#Totals],[CombosU]]</f>
        <v>0.38461538461538464</v>
      </c>
      <c r="C68" t="s">
        <v>72</v>
      </c>
      <c r="D68">
        <f>IF(LEN(Table3[[#This Row],[Unimproved]])=2,6,IF(RIGHT(Table3[[#This Row],[Unimproved]])="s",4,12))</f>
        <v>12</v>
      </c>
      <c r="E68">
        <f>SUM($G$2:G68)/Table3[[#Totals],[CombosSHEV]]</f>
        <v>0.3046757164404223</v>
      </c>
      <c r="F68" t="s">
        <v>70</v>
      </c>
      <c r="G68">
        <f>IF(LEN(Table3[[#This Row],[StartingHandsEV]])=2,6,IF(RIGHT(Table3[[#This Row],[StartingHandsEV]])="s",4,12))</f>
        <v>12</v>
      </c>
    </row>
    <row r="69" spans="1:7" x14ac:dyDescent="0.25">
      <c r="A69">
        <v>68</v>
      </c>
      <c r="B69">
        <f>SUM($D$2:D69)/Table3[[#Totals],[CombosU]]</f>
        <v>0.38763197586727</v>
      </c>
      <c r="C69" t="s">
        <v>73</v>
      </c>
      <c r="D69">
        <f>IF(LEN(Table3[[#This Row],[Unimproved]])=2,6,IF(RIGHT(Table3[[#This Row],[Unimproved]])="s",4,12))</f>
        <v>4</v>
      </c>
      <c r="E69">
        <f>SUM($G$2:G69)/Table3[[#Totals],[CombosSHEV]]</f>
        <v>0.30769230769230771</v>
      </c>
      <c r="F69" t="s">
        <v>75</v>
      </c>
      <c r="G69">
        <f>IF(LEN(Table3[[#This Row],[StartingHandsEV]])=2,6,IF(RIGHT(Table3[[#This Row],[StartingHandsEV]])="s",4,12))</f>
        <v>4</v>
      </c>
    </row>
    <row r="70" spans="1:7" x14ac:dyDescent="0.25">
      <c r="A70">
        <v>69</v>
      </c>
      <c r="B70">
        <f>SUM($D$2:D70)/Table3[[#Totals],[CombosU]]</f>
        <v>0.39668174962292607</v>
      </c>
      <c r="C70" t="s">
        <v>74</v>
      </c>
      <c r="D70">
        <f>IF(LEN(Table3[[#This Row],[Unimproved]])=2,6,IF(RIGHT(Table3[[#This Row],[Unimproved]])="s",4,12))</f>
        <v>12</v>
      </c>
      <c r="E70">
        <f>SUM($G$2:G70)/Table3[[#Totals],[CombosSHEV]]</f>
        <v>0.31674208144796379</v>
      </c>
      <c r="F70" t="s">
        <v>88</v>
      </c>
      <c r="G70">
        <f>IF(LEN(Table3[[#This Row],[StartingHandsEV]])=2,6,IF(RIGHT(Table3[[#This Row],[StartingHandsEV]])="s",4,12))</f>
        <v>12</v>
      </c>
    </row>
    <row r="71" spans="1:7" x14ac:dyDescent="0.25">
      <c r="A71">
        <v>70</v>
      </c>
      <c r="B71">
        <f>SUM($D$2:D71)/Table3[[#Totals],[CombosU]]</f>
        <v>0.39969834087481149</v>
      </c>
      <c r="C71" t="s">
        <v>75</v>
      </c>
      <c r="D71">
        <f>IF(LEN(Table3[[#This Row],[Unimproved]])=2,6,IF(RIGHT(Table3[[#This Row],[Unimproved]])="s",4,12))</f>
        <v>4</v>
      </c>
      <c r="E71">
        <f>SUM($G$2:G71)/Table3[[#Totals],[CombosSHEV]]</f>
        <v>0.32579185520361992</v>
      </c>
      <c r="F71" t="s">
        <v>104</v>
      </c>
      <c r="G71">
        <f>IF(LEN(Table3[[#This Row],[StartingHandsEV]])=2,6,IF(RIGHT(Table3[[#This Row],[StartingHandsEV]])="s",4,12))</f>
        <v>12</v>
      </c>
    </row>
    <row r="72" spans="1:7" x14ac:dyDescent="0.25">
      <c r="A72">
        <v>71</v>
      </c>
      <c r="B72">
        <f>SUM($D$2:D72)/Table3[[#Totals],[CombosU]]</f>
        <v>0.40874811463046756</v>
      </c>
      <c r="C72" t="s">
        <v>76</v>
      </c>
      <c r="D72">
        <f>IF(LEN(Table3[[#This Row],[Unimproved]])=2,6,IF(RIGHT(Table3[[#This Row],[Unimproved]])="s",4,12))</f>
        <v>12</v>
      </c>
      <c r="E72">
        <f>SUM($G$2:G72)/Table3[[#Totals],[CombosSHEV]]</f>
        <v>0.32880844645550528</v>
      </c>
      <c r="F72" t="s">
        <v>163</v>
      </c>
      <c r="G72">
        <f>IF(LEN(Table3[[#This Row],[StartingHandsEV]])=2,6,IF(RIGHT(Table3[[#This Row],[StartingHandsEV]])="s",4,12))</f>
        <v>4</v>
      </c>
    </row>
    <row r="73" spans="1:7" x14ac:dyDescent="0.25">
      <c r="A73">
        <v>72</v>
      </c>
      <c r="B73">
        <f>SUM($D$2:D73)/Table3[[#Totals],[CombosU]]</f>
        <v>0.41176470588235292</v>
      </c>
      <c r="C73" t="s">
        <v>77</v>
      </c>
      <c r="D73">
        <f>IF(LEN(Table3[[#This Row],[Unimproved]])=2,6,IF(RIGHT(Table3[[#This Row],[Unimproved]])="s",4,12))</f>
        <v>4</v>
      </c>
      <c r="E73">
        <f>SUM($G$2:G73)/Table3[[#Totals],[CombosSHEV]]</f>
        <v>0.33333333333333331</v>
      </c>
      <c r="F73" s="1" t="s">
        <v>219</v>
      </c>
      <c r="G73">
        <f>IF(LEN(Table3[[#This Row],[StartingHandsEV]])=2,6,IF(RIGHT(Table3[[#This Row],[StartingHandsEV]])="s",4,12))</f>
        <v>6</v>
      </c>
    </row>
    <row r="74" spans="1:7" x14ac:dyDescent="0.25">
      <c r="A74">
        <v>73</v>
      </c>
      <c r="B74">
        <f>SUM($D$2:D74)/Table3[[#Totals],[CombosU]]</f>
        <v>0.42081447963800905</v>
      </c>
      <c r="C74" t="s">
        <v>78</v>
      </c>
      <c r="D74">
        <f>IF(LEN(Table3[[#This Row],[Unimproved]])=2,6,IF(RIGHT(Table3[[#This Row],[Unimproved]])="s",4,12))</f>
        <v>12</v>
      </c>
      <c r="E74">
        <f>SUM($G$2:G74)/Table3[[#Totals],[CombosSHEV]]</f>
        <v>0.33634992458521873</v>
      </c>
      <c r="F74" t="s">
        <v>77</v>
      </c>
      <c r="G74">
        <f>IF(LEN(Table3[[#This Row],[StartingHandsEV]])=2,6,IF(RIGHT(Table3[[#This Row],[StartingHandsEV]])="s",4,12))</f>
        <v>4</v>
      </c>
    </row>
    <row r="75" spans="1:7" x14ac:dyDescent="0.25">
      <c r="A75">
        <v>74</v>
      </c>
      <c r="B75">
        <f>SUM($D$2:D75)/Table3[[#Totals],[CombosU]]</f>
        <v>0.42383107088989441</v>
      </c>
      <c r="C75" t="s">
        <v>79</v>
      </c>
      <c r="D75">
        <f>IF(LEN(Table3[[#This Row],[Unimproved]])=2,6,IF(RIGHT(Table3[[#This Row],[Unimproved]])="s",4,12))</f>
        <v>4</v>
      </c>
      <c r="E75">
        <f>SUM($G$2:G75)/Table3[[#Totals],[CombosSHEV]]</f>
        <v>0.34539969834087481</v>
      </c>
      <c r="F75" t="s">
        <v>106</v>
      </c>
      <c r="G75">
        <f>IF(LEN(Table3[[#This Row],[StartingHandsEV]])=2,6,IF(RIGHT(Table3[[#This Row],[StartingHandsEV]])="s",4,12))</f>
        <v>12</v>
      </c>
    </row>
    <row r="76" spans="1:7" x14ac:dyDescent="0.25">
      <c r="A76">
        <v>75</v>
      </c>
      <c r="B76">
        <f>SUM($D$2:D76)/Table3[[#Totals],[CombosU]]</f>
        <v>0.43288084464555054</v>
      </c>
      <c r="C76" t="s">
        <v>80</v>
      </c>
      <c r="D76">
        <f>IF(LEN(Table3[[#This Row],[Unimproved]])=2,6,IF(RIGHT(Table3[[#This Row],[Unimproved]])="s",4,12))</f>
        <v>12</v>
      </c>
      <c r="E76">
        <f>SUM($G$2:G76)/Table3[[#Totals],[CombosSHEV]]</f>
        <v>0.34841628959276016</v>
      </c>
      <c r="F76" t="s">
        <v>123</v>
      </c>
      <c r="G76">
        <f>IF(LEN(Table3[[#This Row],[StartingHandsEV]])=2,6,IF(RIGHT(Table3[[#This Row],[StartingHandsEV]])="s",4,12))</f>
        <v>4</v>
      </c>
    </row>
    <row r="77" spans="1:7" x14ac:dyDescent="0.25">
      <c r="A77">
        <v>76</v>
      </c>
      <c r="B77">
        <f>SUM($D$2:D77)/Table3[[#Totals],[CombosU]]</f>
        <v>0.4358974358974359</v>
      </c>
      <c r="C77" t="s">
        <v>81</v>
      </c>
      <c r="D77">
        <f>IF(LEN(Table3[[#This Row],[Unimproved]])=2,6,IF(RIGHT(Table3[[#This Row],[Unimproved]])="s",4,12))</f>
        <v>4</v>
      </c>
      <c r="E77">
        <f>SUM($G$2:G77)/Table3[[#Totals],[CombosSHEV]]</f>
        <v>0.35143288084464552</v>
      </c>
      <c r="F77" t="s">
        <v>147</v>
      </c>
      <c r="G77">
        <f>IF(LEN(Table3[[#This Row],[StartingHandsEV]])=2,6,IF(RIGHT(Table3[[#This Row],[StartingHandsEV]])="s",4,12))</f>
        <v>4</v>
      </c>
    </row>
    <row r="78" spans="1:7" x14ac:dyDescent="0.25">
      <c r="A78">
        <v>77</v>
      </c>
      <c r="B78">
        <f>SUM($D$2:D78)/Table3[[#Totals],[CombosU]]</f>
        <v>0.44494720965309198</v>
      </c>
      <c r="C78" t="s">
        <v>82</v>
      </c>
      <c r="D78">
        <f>IF(LEN(Table3[[#This Row],[Unimproved]])=2,6,IF(RIGHT(Table3[[#This Row],[Unimproved]])="s",4,12))</f>
        <v>12</v>
      </c>
      <c r="E78">
        <f>SUM($G$2:G78)/Table3[[#Totals],[CombosSHEV]]</f>
        <v>0.35444947209653094</v>
      </c>
      <c r="F78" t="s">
        <v>157</v>
      </c>
      <c r="G78">
        <f>IF(LEN(Table3[[#This Row],[StartingHandsEV]])=2,6,IF(RIGHT(Table3[[#This Row],[StartingHandsEV]])="s",4,12))</f>
        <v>4</v>
      </c>
    </row>
    <row r="79" spans="1:7" x14ac:dyDescent="0.25">
      <c r="A79">
        <v>78</v>
      </c>
      <c r="B79">
        <f>SUM($D$2:D79)/Table3[[#Totals],[CombosU]]</f>
        <v>0.44796380090497739</v>
      </c>
      <c r="C79" t="s">
        <v>83</v>
      </c>
      <c r="D79">
        <f>IF(LEN(Table3[[#This Row],[Unimproved]])=2,6,IF(RIGHT(Table3[[#This Row],[Unimproved]])="s",4,12))</f>
        <v>4</v>
      </c>
      <c r="E79">
        <f>SUM($G$2:G79)/Table3[[#Totals],[CombosSHEV]]</f>
        <v>0.36349924585218701</v>
      </c>
      <c r="F79" t="s">
        <v>32</v>
      </c>
      <c r="G79">
        <f>IF(LEN(Table3[[#This Row],[StartingHandsEV]])=2,6,IF(RIGHT(Table3[[#This Row],[StartingHandsEV]])="s",4,12))</f>
        <v>12</v>
      </c>
    </row>
    <row r="80" spans="1:7" x14ac:dyDescent="0.25">
      <c r="A80">
        <v>79</v>
      </c>
      <c r="B80">
        <f>SUM($D$2:D80)/Table3[[#Totals],[CombosU]]</f>
        <v>0.45701357466063347</v>
      </c>
      <c r="C80" t="s">
        <v>84</v>
      </c>
      <c r="D80">
        <f>IF(LEN(Table3[[#This Row],[Unimproved]])=2,6,IF(RIGHT(Table3[[#This Row],[Unimproved]])="s",4,12))</f>
        <v>12</v>
      </c>
      <c r="E80">
        <f>SUM($G$2:G80)/Table3[[#Totals],[CombosSHEV]]</f>
        <v>0.36651583710407237</v>
      </c>
      <c r="F80" t="s">
        <v>79</v>
      </c>
      <c r="G80">
        <f>IF(LEN(Table3[[#This Row],[StartingHandsEV]])=2,6,IF(RIGHT(Table3[[#This Row],[StartingHandsEV]])="s",4,12))</f>
        <v>4</v>
      </c>
    </row>
    <row r="81" spans="1:7" x14ac:dyDescent="0.25">
      <c r="A81">
        <v>80</v>
      </c>
      <c r="B81">
        <f>SUM($D$2:D81)/Table3[[#Totals],[CombosU]]</f>
        <v>0.46003016591251883</v>
      </c>
      <c r="C81" t="s">
        <v>85</v>
      </c>
      <c r="D81">
        <f>IF(LEN(Table3[[#This Row],[Unimproved]])=2,6,IF(RIGHT(Table3[[#This Row],[Unimproved]])="s",4,12))</f>
        <v>4</v>
      </c>
      <c r="E81">
        <f>SUM($G$2:G81)/Table3[[#Totals],[CombosSHEV]]</f>
        <v>0.3755656108597285</v>
      </c>
      <c r="F81" t="s">
        <v>90</v>
      </c>
      <c r="G81">
        <f>IF(LEN(Table3[[#This Row],[StartingHandsEV]])=2,6,IF(RIGHT(Table3[[#This Row],[StartingHandsEV]])="s",4,12))</f>
        <v>12</v>
      </c>
    </row>
    <row r="82" spans="1:7" x14ac:dyDescent="0.25">
      <c r="A82">
        <v>81</v>
      </c>
      <c r="B82">
        <f>SUM($D$2:D82)/Table3[[#Totals],[CombosU]]</f>
        <v>0.46907993966817496</v>
      </c>
      <c r="C82" t="s">
        <v>86</v>
      </c>
      <c r="D82">
        <f>IF(LEN(Table3[[#This Row],[Unimproved]])=2,6,IF(RIGHT(Table3[[#This Row],[Unimproved]])="s",4,12))</f>
        <v>12</v>
      </c>
      <c r="E82">
        <f>SUM($G$2:G82)/Table3[[#Totals],[CombosSHEV]]</f>
        <v>0.38461538461538464</v>
      </c>
      <c r="F82" t="s">
        <v>108</v>
      </c>
      <c r="G82">
        <f>IF(LEN(Table3[[#This Row],[StartingHandsEV]])=2,6,IF(RIGHT(Table3[[#This Row],[StartingHandsEV]])="s",4,12))</f>
        <v>12</v>
      </c>
    </row>
    <row r="83" spans="1:7" x14ac:dyDescent="0.25">
      <c r="A83">
        <v>82</v>
      </c>
      <c r="B83">
        <f>SUM($D$2:D83)/Table3[[#Totals],[CombosU]]</f>
        <v>0.47209653092006032</v>
      </c>
      <c r="C83" t="s">
        <v>87</v>
      </c>
      <c r="D83">
        <f>IF(LEN(Table3[[#This Row],[Unimproved]])=2,6,IF(RIGHT(Table3[[#This Row],[Unimproved]])="s",4,12))</f>
        <v>4</v>
      </c>
      <c r="E83">
        <f>SUM($G$2:G83)/Table3[[#Totals],[CombosSHEV]]</f>
        <v>0.39366515837104071</v>
      </c>
      <c r="F83" t="s">
        <v>120</v>
      </c>
      <c r="G83">
        <f>IF(LEN(Table3[[#This Row],[StartingHandsEV]])=2,6,IF(RIGHT(Table3[[#This Row],[StartingHandsEV]])="s",4,12))</f>
        <v>12</v>
      </c>
    </row>
    <row r="84" spans="1:7" x14ac:dyDescent="0.25">
      <c r="A84">
        <v>83</v>
      </c>
      <c r="B84">
        <f>SUM($D$2:D84)/Table3[[#Totals],[CombosU]]</f>
        <v>0.48114630467571645</v>
      </c>
      <c r="C84" t="s">
        <v>88</v>
      </c>
      <c r="D84">
        <f>IF(LEN(Table3[[#This Row],[Unimproved]])=2,6,IF(RIGHT(Table3[[#This Row],[Unimproved]])="s",4,12))</f>
        <v>12</v>
      </c>
      <c r="E84">
        <f>SUM($G$2:G84)/Table3[[#Totals],[CombosSHEV]]</f>
        <v>0.40271493212669685</v>
      </c>
      <c r="F84" t="s">
        <v>122</v>
      </c>
      <c r="G84">
        <f>IF(LEN(Table3[[#This Row],[StartingHandsEV]])=2,6,IF(RIGHT(Table3[[#This Row],[StartingHandsEV]])="s",4,12))</f>
        <v>12</v>
      </c>
    </row>
    <row r="85" spans="1:7" x14ac:dyDescent="0.25">
      <c r="A85">
        <v>84</v>
      </c>
      <c r="B85">
        <f>SUM($D$2:D85)/Table3[[#Totals],[CombosU]]</f>
        <v>0.48416289592760181</v>
      </c>
      <c r="C85" t="s">
        <v>89</v>
      </c>
      <c r="D85">
        <f>IF(LEN(Table3[[#This Row],[Unimproved]])=2,6,IF(RIGHT(Table3[[#This Row],[Unimproved]])="s",4,12))</f>
        <v>4</v>
      </c>
      <c r="E85">
        <f>SUM($G$2:G85)/Table3[[#Totals],[CombosSHEV]]</f>
        <v>0.41176470588235292</v>
      </c>
      <c r="F85" t="s">
        <v>52</v>
      </c>
      <c r="G85">
        <f>IF(LEN(Table3[[#This Row],[StartingHandsEV]])=2,6,IF(RIGHT(Table3[[#This Row],[StartingHandsEV]])="s",4,12))</f>
        <v>12</v>
      </c>
    </row>
    <row r="86" spans="1:7" x14ac:dyDescent="0.25">
      <c r="A86">
        <v>85</v>
      </c>
      <c r="B86">
        <f>SUM($D$2:D86)/Table3[[#Totals],[CombosU]]</f>
        <v>0.49321266968325794</v>
      </c>
      <c r="C86" t="s">
        <v>90</v>
      </c>
      <c r="D86">
        <f>IF(LEN(Table3[[#This Row],[Unimproved]])=2,6,IF(RIGHT(Table3[[#This Row],[Unimproved]])="s",4,12))</f>
        <v>12</v>
      </c>
      <c r="E86">
        <f>SUM($G$2:G86)/Table3[[#Totals],[CombosSHEV]]</f>
        <v>0.42081447963800905</v>
      </c>
      <c r="F86" t="s">
        <v>54</v>
      </c>
      <c r="G86">
        <f>IF(LEN(Table3[[#This Row],[StartingHandsEV]])=2,6,IF(RIGHT(Table3[[#This Row],[StartingHandsEV]])="s",4,12))</f>
        <v>12</v>
      </c>
    </row>
    <row r="87" spans="1:7" x14ac:dyDescent="0.25">
      <c r="A87">
        <v>86</v>
      </c>
      <c r="B87">
        <f>SUM($D$2:D87)/Table3[[#Totals],[CombosU]]</f>
        <v>0.4962292609351433</v>
      </c>
      <c r="C87" t="s">
        <v>91</v>
      </c>
      <c r="D87">
        <f>IF(LEN(Table3[[#This Row],[Unimproved]])=2,6,IF(RIGHT(Table3[[#This Row],[Unimproved]])="s",4,12))</f>
        <v>4</v>
      </c>
      <c r="E87">
        <f>SUM($G$2:G87)/Table3[[#Totals],[CombosSHEV]]</f>
        <v>0.42986425339366519</v>
      </c>
      <c r="F87" t="s">
        <v>72</v>
      </c>
      <c r="G87">
        <f>IF(LEN(Table3[[#This Row],[StartingHandsEV]])=2,6,IF(RIGHT(Table3[[#This Row],[StartingHandsEV]])="s",4,12))</f>
        <v>12</v>
      </c>
    </row>
    <row r="88" spans="1:7" x14ac:dyDescent="0.25">
      <c r="A88">
        <v>87</v>
      </c>
      <c r="B88">
        <f>SUM($D$2:D88)/Table3[[#Totals],[CombosU]]</f>
        <v>0.50527903469079938</v>
      </c>
      <c r="C88" t="s">
        <v>92</v>
      </c>
      <c r="D88">
        <f>IF(LEN(Table3[[#This Row],[Unimproved]])=2,6,IF(RIGHT(Table3[[#This Row],[Unimproved]])="s",4,12))</f>
        <v>12</v>
      </c>
      <c r="E88">
        <f>SUM($G$2:G88)/Table3[[#Totals],[CombosSHEV]]</f>
        <v>0.43288084464555054</v>
      </c>
      <c r="F88" t="s">
        <v>81</v>
      </c>
      <c r="G88">
        <f>IF(LEN(Table3[[#This Row],[StartingHandsEV]])=2,6,IF(RIGHT(Table3[[#This Row],[StartingHandsEV]])="s",4,12))</f>
        <v>4</v>
      </c>
    </row>
    <row r="89" spans="1:7" x14ac:dyDescent="0.25">
      <c r="A89">
        <v>88</v>
      </c>
      <c r="B89">
        <f>SUM($D$2:D89)/Table3[[#Totals],[CombosU]]</f>
        <v>0.50829562594268474</v>
      </c>
      <c r="C89" t="s">
        <v>93</v>
      </c>
      <c r="D89">
        <f>IF(LEN(Table3[[#This Row],[Unimproved]])=2,6,IF(RIGHT(Table3[[#This Row],[Unimproved]])="s",4,12))</f>
        <v>4</v>
      </c>
      <c r="E89">
        <f>SUM($G$2:G89)/Table3[[#Totals],[CombosSHEV]]</f>
        <v>0.4358974358974359</v>
      </c>
      <c r="F89" t="s">
        <v>93</v>
      </c>
      <c r="G89">
        <f>IF(LEN(Table3[[#This Row],[StartingHandsEV]])=2,6,IF(RIGHT(Table3[[#This Row],[StartingHandsEV]])="s",4,12))</f>
        <v>4</v>
      </c>
    </row>
    <row r="90" spans="1:7" x14ac:dyDescent="0.25">
      <c r="A90">
        <v>89</v>
      </c>
      <c r="B90">
        <f>SUM($D$2:D90)/Table3[[#Totals],[CombosU]]</f>
        <v>0.51734539969834092</v>
      </c>
      <c r="C90" t="s">
        <v>94</v>
      </c>
      <c r="D90">
        <f>IF(LEN(Table3[[#This Row],[Unimproved]])=2,6,IF(RIGHT(Table3[[#This Row],[Unimproved]])="s",4,12))</f>
        <v>12</v>
      </c>
      <c r="E90">
        <f>SUM($G$2:G90)/Table3[[#Totals],[CombosSHEV]]</f>
        <v>0.43891402714932126</v>
      </c>
      <c r="F90" t="s">
        <v>95</v>
      </c>
      <c r="G90">
        <f>IF(LEN(Table3[[#This Row],[StartingHandsEV]])=2,6,IF(RIGHT(Table3[[#This Row],[StartingHandsEV]])="s",4,12))</f>
        <v>4</v>
      </c>
    </row>
    <row r="91" spans="1:7" x14ac:dyDescent="0.25">
      <c r="A91">
        <v>90</v>
      </c>
      <c r="B91">
        <f>SUM($D$2:D91)/Table3[[#Totals],[CombosU]]</f>
        <v>0.52036199095022628</v>
      </c>
      <c r="C91" t="s">
        <v>95</v>
      </c>
      <c r="D91">
        <f>IF(LEN(Table3[[#This Row],[Unimproved]])=2,6,IF(RIGHT(Table3[[#This Row],[Unimproved]])="s",4,12))</f>
        <v>4</v>
      </c>
      <c r="E91">
        <f>SUM($G$2:G91)/Table3[[#Totals],[CombosSHEV]]</f>
        <v>0.44193061840120662</v>
      </c>
      <c r="F91" t="s">
        <v>97</v>
      </c>
      <c r="G91">
        <f>IF(LEN(Table3[[#This Row],[StartingHandsEV]])=2,6,IF(RIGHT(Table3[[#This Row],[StartingHandsEV]])="s",4,12))</f>
        <v>4</v>
      </c>
    </row>
    <row r="92" spans="1:7" x14ac:dyDescent="0.25">
      <c r="A92">
        <v>91</v>
      </c>
      <c r="B92">
        <f>SUM($D$2:D92)/Table3[[#Totals],[CombosU]]</f>
        <v>0.52941176470588236</v>
      </c>
      <c r="C92" t="s">
        <v>96</v>
      </c>
      <c r="D92">
        <f>IF(LEN(Table3[[#This Row],[Unimproved]])=2,6,IF(RIGHT(Table3[[#This Row],[Unimproved]])="s",4,12))</f>
        <v>12</v>
      </c>
      <c r="E92">
        <f>SUM($G$2:G92)/Table3[[#Totals],[CombosSHEV]]</f>
        <v>0.45098039215686275</v>
      </c>
      <c r="F92" t="s">
        <v>110</v>
      </c>
      <c r="G92">
        <f>IF(LEN(Table3[[#This Row],[StartingHandsEV]])=2,6,IF(RIGHT(Table3[[#This Row],[StartingHandsEV]])="s",4,12))</f>
        <v>12</v>
      </c>
    </row>
    <row r="93" spans="1:7" x14ac:dyDescent="0.25">
      <c r="A93">
        <v>92</v>
      </c>
      <c r="B93">
        <f>SUM($D$2:D93)/Table3[[#Totals],[CombosU]]</f>
        <v>0.53242835595776772</v>
      </c>
      <c r="C93" t="s">
        <v>97</v>
      </c>
      <c r="D93">
        <f>IF(LEN(Table3[[#This Row],[Unimproved]])=2,6,IF(RIGHT(Table3[[#This Row],[Unimproved]])="s",4,12))</f>
        <v>4</v>
      </c>
      <c r="E93">
        <f>SUM($G$2:G93)/Table3[[#Totals],[CombosSHEV]]</f>
        <v>0.45399698340874811</v>
      </c>
      <c r="F93" t="s">
        <v>109</v>
      </c>
      <c r="G93">
        <f>IF(LEN(Table3[[#This Row],[StartingHandsEV]])=2,6,IF(RIGHT(Table3[[#This Row],[StartingHandsEV]])="s",4,12))</f>
        <v>4</v>
      </c>
    </row>
    <row r="94" spans="1:7" x14ac:dyDescent="0.25">
      <c r="A94">
        <v>93</v>
      </c>
      <c r="B94">
        <f>SUM($D$2:D94)/Table3[[#Totals],[CombosU]]</f>
        <v>0.54147812971342379</v>
      </c>
      <c r="C94" t="s">
        <v>98</v>
      </c>
      <c r="D94">
        <f>IF(LEN(Table3[[#This Row],[Unimproved]])=2,6,IF(RIGHT(Table3[[#This Row],[Unimproved]])="s",4,12))</f>
        <v>12</v>
      </c>
      <c r="E94">
        <f>SUM($G$2:G94)/Table3[[#Totals],[CombosSHEV]]</f>
        <v>0.46304675716440424</v>
      </c>
      <c r="F94" t="s">
        <v>136</v>
      </c>
      <c r="G94">
        <f>IF(LEN(Table3[[#This Row],[StartingHandsEV]])=2,6,IF(RIGHT(Table3[[#This Row],[StartingHandsEV]])="s",4,12))</f>
        <v>12</v>
      </c>
    </row>
    <row r="95" spans="1:7" x14ac:dyDescent="0.25">
      <c r="A95">
        <v>94</v>
      </c>
      <c r="B95">
        <f>SUM($D$2:D95)/Table3[[#Totals],[CombosU]]</f>
        <v>0.54449472096530915</v>
      </c>
      <c r="C95" t="s">
        <v>99</v>
      </c>
      <c r="D95">
        <f>IF(LEN(Table3[[#This Row],[Unimproved]])=2,6,IF(RIGHT(Table3[[#This Row],[Unimproved]])="s",4,12))</f>
        <v>4</v>
      </c>
      <c r="E95">
        <f>SUM($G$2:G95)/Table3[[#Totals],[CombosSHEV]]</f>
        <v>0.47209653092006032</v>
      </c>
      <c r="F95" t="s">
        <v>138</v>
      </c>
      <c r="G95">
        <f>IF(LEN(Table3[[#This Row],[StartingHandsEV]])=2,6,IF(RIGHT(Table3[[#This Row],[StartingHandsEV]])="s",4,12))</f>
        <v>12</v>
      </c>
    </row>
    <row r="96" spans="1:7" x14ac:dyDescent="0.25">
      <c r="A96">
        <v>95</v>
      </c>
      <c r="B96">
        <f>SUM($D$2:D96)/Table3[[#Totals],[CombosU]]</f>
        <v>0.55354449472096534</v>
      </c>
      <c r="C96" t="s">
        <v>100</v>
      </c>
      <c r="D96">
        <f>IF(LEN(Table3[[#This Row],[Unimproved]])=2,6,IF(RIGHT(Table3[[#This Row],[Unimproved]])="s",4,12))</f>
        <v>12</v>
      </c>
      <c r="E96">
        <f>SUM($G$2:G96)/Table3[[#Totals],[CombosSHEV]]</f>
        <v>0.47511312217194568</v>
      </c>
      <c r="F96" t="s">
        <v>137</v>
      </c>
      <c r="G96">
        <f>IF(LEN(Table3[[#This Row],[StartingHandsEV]])=2,6,IF(RIGHT(Table3[[#This Row],[StartingHandsEV]])="s",4,12))</f>
        <v>4</v>
      </c>
    </row>
    <row r="97" spans="1:7" x14ac:dyDescent="0.25">
      <c r="A97">
        <v>96</v>
      </c>
      <c r="B97">
        <f>SUM($D$2:D97)/Table3[[#Totals],[CombosU]]</f>
        <v>0.5565610859728507</v>
      </c>
      <c r="C97" t="s">
        <v>101</v>
      </c>
      <c r="D97">
        <f>IF(LEN(Table3[[#This Row],[Unimproved]])=2,6,IF(RIGHT(Table3[[#This Row],[Unimproved]])="s",4,12))</f>
        <v>4</v>
      </c>
      <c r="E97">
        <f>SUM($G$2:G97)/Table3[[#Totals],[CombosSHEV]]</f>
        <v>0.48416289592760181</v>
      </c>
      <c r="F97" t="s">
        <v>146</v>
      </c>
      <c r="G97">
        <f>IF(LEN(Table3[[#This Row],[StartingHandsEV]])=2,6,IF(RIGHT(Table3[[#This Row],[StartingHandsEV]])="s",4,12))</f>
        <v>12</v>
      </c>
    </row>
    <row r="98" spans="1:7" x14ac:dyDescent="0.25">
      <c r="A98">
        <v>97</v>
      </c>
      <c r="B98">
        <f>SUM($D$2:D98)/Table3[[#Totals],[CombosU]]</f>
        <v>0.56561085972850678</v>
      </c>
      <c r="C98" t="s">
        <v>102</v>
      </c>
      <c r="D98">
        <f>IF(LEN(Table3[[#This Row],[Unimproved]])=2,6,IF(RIGHT(Table3[[#This Row],[Unimproved]])="s",4,12))</f>
        <v>12</v>
      </c>
      <c r="E98">
        <f>SUM($G$2:G98)/Table3[[#Totals],[CombosSHEV]]</f>
        <v>0.49321266968325794</v>
      </c>
      <c r="F98" t="s">
        <v>148</v>
      </c>
      <c r="G98">
        <f>IF(LEN(Table3[[#This Row],[StartingHandsEV]])=2,6,IF(RIGHT(Table3[[#This Row],[StartingHandsEV]])="s",4,12))</f>
        <v>12</v>
      </c>
    </row>
    <row r="99" spans="1:7" x14ac:dyDescent="0.25">
      <c r="A99">
        <v>98</v>
      </c>
      <c r="B99">
        <f>SUM($D$2:D99)/Table3[[#Totals],[CombosU]]</f>
        <v>0.56862745098039214</v>
      </c>
      <c r="C99" t="s">
        <v>103</v>
      </c>
      <c r="D99">
        <f>IF(LEN(Table3[[#This Row],[Unimproved]])=2,6,IF(RIGHT(Table3[[#This Row],[Unimproved]])="s",4,12))</f>
        <v>4</v>
      </c>
      <c r="E99">
        <f>SUM($G$2:G99)/Table3[[#Totals],[CombosSHEV]]</f>
        <v>0.4962292609351433</v>
      </c>
      <c r="F99" t="s">
        <v>149</v>
      </c>
      <c r="G99">
        <f>IF(LEN(Table3[[#This Row],[StartingHandsEV]])=2,6,IF(RIGHT(Table3[[#This Row],[StartingHandsEV]])="s",4,12))</f>
        <v>4</v>
      </c>
    </row>
    <row r="100" spans="1:7" x14ac:dyDescent="0.25">
      <c r="A100">
        <v>99</v>
      </c>
      <c r="B100">
        <f>SUM($D$2:D100)/Table3[[#Totals],[CombosU]]</f>
        <v>0.57767722473604821</v>
      </c>
      <c r="C100" t="s">
        <v>104</v>
      </c>
      <c r="D100">
        <f>IF(LEN(Table3[[#This Row],[Unimproved]])=2,6,IF(RIGHT(Table3[[#This Row],[Unimproved]])="s",4,12))</f>
        <v>12</v>
      </c>
      <c r="E100">
        <f>SUM($G$2:G100)/Table3[[#Totals],[CombosSHEV]]</f>
        <v>0.49924585218702866</v>
      </c>
      <c r="F100" t="s">
        <v>159</v>
      </c>
      <c r="G100">
        <f>IF(LEN(Table3[[#This Row],[StartingHandsEV]])=2,6,IF(RIGHT(Table3[[#This Row],[StartingHandsEV]])="s",4,12))</f>
        <v>4</v>
      </c>
    </row>
    <row r="101" spans="1:7" x14ac:dyDescent="0.25">
      <c r="A101">
        <v>100</v>
      </c>
      <c r="B101">
        <f>SUM($D$2:D101)/Table3[[#Totals],[CombosU]]</f>
        <v>0.58069381598793368</v>
      </c>
      <c r="C101" t="s">
        <v>105</v>
      </c>
      <c r="D101">
        <f>IF(LEN(Table3[[#This Row],[Unimproved]])=2,6,IF(RIGHT(Table3[[#This Row],[Unimproved]])="s",4,12))</f>
        <v>4</v>
      </c>
      <c r="E101">
        <f>SUM($G$2:G101)/Table3[[#Totals],[CombosSHEV]]</f>
        <v>0.50226244343891402</v>
      </c>
      <c r="F101" t="s">
        <v>165</v>
      </c>
      <c r="G101">
        <f>IF(LEN(Table3[[#This Row],[StartingHandsEV]])=2,6,IF(RIGHT(Table3[[#This Row],[StartingHandsEV]])="s",4,12))</f>
        <v>4</v>
      </c>
    </row>
    <row r="102" spans="1:7" x14ac:dyDescent="0.25">
      <c r="A102">
        <v>101</v>
      </c>
      <c r="B102">
        <f>SUM($D$2:D102)/Table3[[#Totals],[CombosU]]</f>
        <v>0.58974358974358976</v>
      </c>
      <c r="C102" t="s">
        <v>106</v>
      </c>
      <c r="D102">
        <f>IF(LEN(Table3[[#This Row],[Unimproved]])=2,6,IF(RIGHT(Table3[[#This Row],[Unimproved]])="s",4,12))</f>
        <v>12</v>
      </c>
      <c r="E102">
        <f>SUM($G$2:G102)/Table3[[#Totals],[CombosSHEV]]</f>
        <v>0.5113122171945701</v>
      </c>
      <c r="F102" t="s">
        <v>34</v>
      </c>
      <c r="G102">
        <f>IF(LEN(Table3[[#This Row],[StartingHandsEV]])=2,6,IF(RIGHT(Table3[[#This Row],[StartingHandsEV]])="s",4,12))</f>
        <v>12</v>
      </c>
    </row>
    <row r="103" spans="1:7" x14ac:dyDescent="0.25">
      <c r="A103">
        <v>102</v>
      </c>
      <c r="B103">
        <f>SUM($D$2:D103)/Table3[[#Totals],[CombosU]]</f>
        <v>0.59276018099547512</v>
      </c>
      <c r="C103" t="s">
        <v>107</v>
      </c>
      <c r="D103">
        <f>IF(LEN(Table3[[#This Row],[Unimproved]])=2,6,IF(RIGHT(Table3[[#This Row],[Unimproved]])="s",4,12))</f>
        <v>4</v>
      </c>
      <c r="E103">
        <f>SUM($G$2:G103)/Table3[[#Totals],[CombosSHEV]]</f>
        <v>0.52036199095022628</v>
      </c>
      <c r="F103" t="s">
        <v>36</v>
      </c>
      <c r="G103">
        <f>IF(LEN(Table3[[#This Row],[StartingHandsEV]])=2,6,IF(RIGHT(Table3[[#This Row],[StartingHandsEV]])="s",4,12))</f>
        <v>12</v>
      </c>
    </row>
    <row r="104" spans="1:7" x14ac:dyDescent="0.25">
      <c r="A104">
        <v>103</v>
      </c>
      <c r="B104">
        <f>SUM($D$2:D104)/Table3[[#Totals],[CombosU]]</f>
        <v>0.60180995475113119</v>
      </c>
      <c r="C104" t="s">
        <v>108</v>
      </c>
      <c r="D104">
        <f>IF(LEN(Table3[[#This Row],[Unimproved]])=2,6,IF(RIGHT(Table3[[#This Row],[Unimproved]])="s",4,12))</f>
        <v>12</v>
      </c>
      <c r="E104">
        <f>SUM($G$2:G104)/Table3[[#Totals],[CombosSHEV]]</f>
        <v>0.52941176470588236</v>
      </c>
      <c r="F104" t="s">
        <v>38</v>
      </c>
      <c r="G104">
        <f>IF(LEN(Table3[[#This Row],[StartingHandsEV]])=2,6,IF(RIGHT(Table3[[#This Row],[StartingHandsEV]])="s",4,12))</f>
        <v>12</v>
      </c>
    </row>
    <row r="105" spans="1:7" x14ac:dyDescent="0.25">
      <c r="A105">
        <v>104</v>
      </c>
      <c r="B105">
        <f>SUM($D$2:D105)/Table3[[#Totals],[CombosU]]</f>
        <v>0.60482654600301655</v>
      </c>
      <c r="C105" t="s">
        <v>109</v>
      </c>
      <c r="D105">
        <f>IF(LEN(Table3[[#This Row],[Unimproved]])=2,6,IF(RIGHT(Table3[[#This Row],[Unimproved]])="s",4,12))</f>
        <v>4</v>
      </c>
      <c r="E105">
        <f>SUM($G$2:G105)/Table3[[#Totals],[CombosSHEV]]</f>
        <v>0.53846153846153844</v>
      </c>
      <c r="F105" t="s">
        <v>56</v>
      </c>
      <c r="G105">
        <f>IF(LEN(Table3[[#This Row],[StartingHandsEV]])=2,6,IF(RIGHT(Table3[[#This Row],[StartingHandsEV]])="s",4,12))</f>
        <v>12</v>
      </c>
    </row>
    <row r="106" spans="1:7" x14ac:dyDescent="0.25">
      <c r="A106">
        <v>105</v>
      </c>
      <c r="B106">
        <f>SUM($D$2:D106)/Table3[[#Totals],[CombosU]]</f>
        <v>0.61387631975867274</v>
      </c>
      <c r="C106" t="s">
        <v>110</v>
      </c>
      <c r="D106">
        <f>IF(LEN(Table3[[#This Row],[Unimproved]])=2,6,IF(RIGHT(Table3[[#This Row],[Unimproved]])="s",4,12))</f>
        <v>12</v>
      </c>
      <c r="E106">
        <f>SUM($G$2:G106)/Table3[[#Totals],[CombosSHEV]]</f>
        <v>0.54751131221719462</v>
      </c>
      <c r="F106" t="s">
        <v>74</v>
      </c>
      <c r="G106">
        <f>IF(LEN(Table3[[#This Row],[StartingHandsEV]])=2,6,IF(RIGHT(Table3[[#This Row],[StartingHandsEV]])="s",4,12))</f>
        <v>12</v>
      </c>
    </row>
    <row r="107" spans="1:7" x14ac:dyDescent="0.25">
      <c r="A107">
        <v>106</v>
      </c>
      <c r="B107">
        <f>SUM($D$2:D107)/Table3[[#Totals],[CombosU]]</f>
        <v>0.6168929110105581</v>
      </c>
      <c r="C107" t="s">
        <v>111</v>
      </c>
      <c r="D107">
        <f>IF(LEN(Table3[[#This Row],[Unimproved]])=2,6,IF(RIGHT(Table3[[#This Row],[Unimproved]])="s",4,12))</f>
        <v>4</v>
      </c>
      <c r="E107">
        <f>SUM($G$2:G107)/Table3[[#Totals],[CombosSHEV]]</f>
        <v>0.55052790346907998</v>
      </c>
      <c r="F107" t="s">
        <v>83</v>
      </c>
      <c r="G107">
        <f>IF(LEN(Table3[[#This Row],[StartingHandsEV]])=2,6,IF(RIGHT(Table3[[#This Row],[StartingHandsEV]])="s",4,12))</f>
        <v>4</v>
      </c>
    </row>
    <row r="108" spans="1:7" x14ac:dyDescent="0.25">
      <c r="A108">
        <v>107</v>
      </c>
      <c r="B108">
        <f>SUM($D$2:D108)/Table3[[#Totals],[CombosU]]</f>
        <v>0.62594268476621417</v>
      </c>
      <c r="C108" t="s">
        <v>112</v>
      </c>
      <c r="D108">
        <f>IF(LEN(Table3[[#This Row],[Unimproved]])=2,6,IF(RIGHT(Table3[[#This Row],[Unimproved]])="s",4,12))</f>
        <v>12</v>
      </c>
      <c r="E108">
        <f>SUM($G$2:G108)/Table3[[#Totals],[CombosSHEV]]</f>
        <v>0.55957767722473606</v>
      </c>
      <c r="F108" t="s">
        <v>92</v>
      </c>
      <c r="G108">
        <f>IF(LEN(Table3[[#This Row],[StartingHandsEV]])=2,6,IF(RIGHT(Table3[[#This Row],[StartingHandsEV]])="s",4,12))</f>
        <v>12</v>
      </c>
    </row>
    <row r="109" spans="1:7" x14ac:dyDescent="0.25">
      <c r="A109">
        <v>108</v>
      </c>
      <c r="B109">
        <f>SUM($D$2:D109)/Table3[[#Totals],[CombosU]]</f>
        <v>0.62895927601809953</v>
      </c>
      <c r="C109" t="s">
        <v>113</v>
      </c>
      <c r="D109">
        <f>IF(LEN(Table3[[#This Row],[Unimproved]])=2,6,IF(RIGHT(Table3[[#This Row],[Unimproved]])="s",4,12))</f>
        <v>4</v>
      </c>
      <c r="E109">
        <f>SUM($G$2:G109)/Table3[[#Totals],[CombosSHEV]]</f>
        <v>0.56862745098039214</v>
      </c>
      <c r="F109" t="s">
        <v>94</v>
      </c>
      <c r="G109">
        <f>IF(LEN(Table3[[#This Row],[StartingHandsEV]])=2,6,IF(RIGHT(Table3[[#This Row],[StartingHandsEV]])="s",4,12))</f>
        <v>12</v>
      </c>
    </row>
    <row r="110" spans="1:7" x14ac:dyDescent="0.25">
      <c r="A110">
        <v>109</v>
      </c>
      <c r="B110">
        <f>SUM($D$2:D110)/Table3[[#Totals],[CombosU]]</f>
        <v>0.63800904977375561</v>
      </c>
      <c r="C110" t="s">
        <v>114</v>
      </c>
      <c r="D110">
        <f>IF(LEN(Table3[[#This Row],[Unimproved]])=2,6,IF(RIGHT(Table3[[#This Row],[Unimproved]])="s",4,12))</f>
        <v>12</v>
      </c>
      <c r="E110">
        <f>SUM($G$2:G110)/Table3[[#Totals],[CombosSHEV]]</f>
        <v>0.57767722473604821</v>
      </c>
      <c r="F110" t="s">
        <v>112</v>
      </c>
      <c r="G110">
        <f>IF(LEN(Table3[[#This Row],[StartingHandsEV]])=2,6,IF(RIGHT(Table3[[#This Row],[StartingHandsEV]])="s",4,12))</f>
        <v>12</v>
      </c>
    </row>
    <row r="111" spans="1:7" x14ac:dyDescent="0.25">
      <c r="A111">
        <v>110</v>
      </c>
      <c r="B111">
        <f>SUM($D$2:D111)/Table3[[#Totals],[CombosU]]</f>
        <v>0.64102564102564108</v>
      </c>
      <c r="C111" t="s">
        <v>115</v>
      </c>
      <c r="D111">
        <f>IF(LEN(Table3[[#This Row],[Unimproved]])=2,6,IF(RIGHT(Table3[[#This Row],[Unimproved]])="s",4,12))</f>
        <v>4</v>
      </c>
      <c r="E111">
        <f>SUM($G$2:G111)/Table3[[#Totals],[CombosSHEV]]</f>
        <v>0.58069381598793368</v>
      </c>
      <c r="F111" t="s">
        <v>111</v>
      </c>
      <c r="G111">
        <f>IF(LEN(Table3[[#This Row],[StartingHandsEV]])=2,6,IF(RIGHT(Table3[[#This Row],[StartingHandsEV]])="s",4,12))</f>
        <v>4</v>
      </c>
    </row>
    <row r="112" spans="1:7" x14ac:dyDescent="0.25">
      <c r="A112">
        <v>111</v>
      </c>
      <c r="B112">
        <f>SUM($D$2:D112)/Table3[[#Totals],[CombosU]]</f>
        <v>0.65007541478129716</v>
      </c>
      <c r="C112" t="s">
        <v>116</v>
      </c>
      <c r="D112">
        <f>IF(LEN(Table3[[#This Row],[Unimproved]])=2,6,IF(RIGHT(Table3[[#This Row],[Unimproved]])="s",4,12))</f>
        <v>12</v>
      </c>
      <c r="E112">
        <f>SUM($G$2:G112)/Table3[[#Totals],[CombosSHEV]]</f>
        <v>0.58974358974358976</v>
      </c>
      <c r="F112" t="s">
        <v>114</v>
      </c>
      <c r="G112">
        <f>IF(LEN(Table3[[#This Row],[StartingHandsEV]])=2,6,IF(RIGHT(Table3[[#This Row],[StartingHandsEV]])="s",4,12))</f>
        <v>12</v>
      </c>
    </row>
    <row r="113" spans="1:7" x14ac:dyDescent="0.25">
      <c r="A113">
        <v>112</v>
      </c>
      <c r="B113">
        <f>SUM($D$2:D113)/Table3[[#Totals],[CombosU]]</f>
        <v>0.65309200603318251</v>
      </c>
      <c r="C113" t="s">
        <v>117</v>
      </c>
      <c r="D113">
        <f>IF(LEN(Table3[[#This Row],[Unimproved]])=2,6,IF(RIGHT(Table3[[#This Row],[Unimproved]])="s",4,12))</f>
        <v>4</v>
      </c>
      <c r="E113">
        <f>SUM($G$2:G113)/Table3[[#Totals],[CombosSHEV]]</f>
        <v>0.59879336349924583</v>
      </c>
      <c r="F113" t="s">
        <v>116</v>
      </c>
      <c r="G113">
        <f>IF(LEN(Table3[[#This Row],[StartingHandsEV]])=2,6,IF(RIGHT(Table3[[#This Row],[StartingHandsEV]])="s",4,12))</f>
        <v>12</v>
      </c>
    </row>
    <row r="114" spans="1:7" x14ac:dyDescent="0.25">
      <c r="A114">
        <v>113</v>
      </c>
      <c r="B114">
        <f>SUM($D$2:D114)/Table3[[#Totals],[CombosU]]</f>
        <v>0.66214177978883859</v>
      </c>
      <c r="C114" t="s">
        <v>118</v>
      </c>
      <c r="D114">
        <f>IF(LEN(Table3[[#This Row],[Unimproved]])=2,6,IF(RIGHT(Table3[[#This Row],[Unimproved]])="s",4,12))</f>
        <v>12</v>
      </c>
      <c r="E114">
        <f>SUM($G$2:G114)/Table3[[#Totals],[CombosSHEV]]</f>
        <v>0.60784313725490191</v>
      </c>
      <c r="F114" t="s">
        <v>118</v>
      </c>
      <c r="G114">
        <f>IF(LEN(Table3[[#This Row],[StartingHandsEV]])=2,6,IF(RIGHT(Table3[[#This Row],[StartingHandsEV]])="s",4,12))</f>
        <v>12</v>
      </c>
    </row>
    <row r="115" spans="1:7" x14ac:dyDescent="0.25">
      <c r="A115">
        <v>114</v>
      </c>
      <c r="B115">
        <f>SUM($D$2:D115)/Table3[[#Totals],[CombosU]]</f>
        <v>0.66515837104072395</v>
      </c>
      <c r="C115" t="s">
        <v>119</v>
      </c>
      <c r="D115">
        <f>IF(LEN(Table3[[#This Row],[Unimproved]])=2,6,IF(RIGHT(Table3[[#This Row],[Unimproved]])="s",4,12))</f>
        <v>4</v>
      </c>
      <c r="E115">
        <f>SUM($G$2:G115)/Table3[[#Totals],[CombosSHEV]]</f>
        <v>0.6168929110105581</v>
      </c>
      <c r="F115" t="s">
        <v>124</v>
      </c>
      <c r="G115">
        <f>IF(LEN(Table3[[#This Row],[StartingHandsEV]])=2,6,IF(RIGHT(Table3[[#This Row],[StartingHandsEV]])="s",4,12))</f>
        <v>12</v>
      </c>
    </row>
    <row r="116" spans="1:7" x14ac:dyDescent="0.25">
      <c r="A116">
        <v>115</v>
      </c>
      <c r="B116">
        <f>SUM($D$2:D116)/Table3[[#Totals],[CombosU]]</f>
        <v>0.67420814479638014</v>
      </c>
      <c r="C116" t="s">
        <v>120</v>
      </c>
      <c r="D116">
        <f>IF(LEN(Table3[[#This Row],[Unimproved]])=2,6,IF(RIGHT(Table3[[#This Row],[Unimproved]])="s",4,12))</f>
        <v>12</v>
      </c>
      <c r="E116">
        <f>SUM($G$2:G116)/Table3[[#Totals],[CombosSHEV]]</f>
        <v>0.62594268476621417</v>
      </c>
      <c r="F116" t="s">
        <v>126</v>
      </c>
      <c r="G116">
        <f>IF(LEN(Table3[[#This Row],[StartingHandsEV]])=2,6,IF(RIGHT(Table3[[#This Row],[StartingHandsEV]])="s",4,12))</f>
        <v>12</v>
      </c>
    </row>
    <row r="117" spans="1:7" x14ac:dyDescent="0.25">
      <c r="A117">
        <v>116</v>
      </c>
      <c r="B117">
        <f>SUM($D$2:D117)/Table3[[#Totals],[CombosU]]</f>
        <v>0.6772247360482655</v>
      </c>
      <c r="C117" t="s">
        <v>121</v>
      </c>
      <c r="D117">
        <f>IF(LEN(Table3[[#This Row],[Unimproved]])=2,6,IF(RIGHT(Table3[[#This Row],[Unimproved]])="s",4,12))</f>
        <v>4</v>
      </c>
      <c r="E117">
        <f>SUM($G$2:G117)/Table3[[#Totals],[CombosSHEV]]</f>
        <v>0.62895927601809953</v>
      </c>
      <c r="F117" t="s">
        <v>125</v>
      </c>
      <c r="G117">
        <f>IF(LEN(Table3[[#This Row],[StartingHandsEV]])=2,6,IF(RIGHT(Table3[[#This Row],[StartingHandsEV]])="s",4,12))</f>
        <v>4</v>
      </c>
    </row>
    <row r="118" spans="1:7" x14ac:dyDescent="0.25">
      <c r="A118">
        <v>117</v>
      </c>
      <c r="B118">
        <f>SUM($D$2:D118)/Table3[[#Totals],[CombosU]]</f>
        <v>0.68627450980392157</v>
      </c>
      <c r="C118" t="s">
        <v>122</v>
      </c>
      <c r="D118">
        <f>IF(LEN(Table3[[#This Row],[Unimproved]])=2,6,IF(RIGHT(Table3[[#This Row],[Unimproved]])="s",4,12))</f>
        <v>12</v>
      </c>
      <c r="E118">
        <f>SUM($G$2:G118)/Table3[[#Totals],[CombosSHEV]]</f>
        <v>0.63800904977375561</v>
      </c>
      <c r="F118" t="s">
        <v>128</v>
      </c>
      <c r="G118">
        <f>IF(LEN(Table3[[#This Row],[StartingHandsEV]])=2,6,IF(RIGHT(Table3[[#This Row],[StartingHandsEV]])="s",4,12))</f>
        <v>12</v>
      </c>
    </row>
    <row r="119" spans="1:7" x14ac:dyDescent="0.25">
      <c r="A119">
        <v>118</v>
      </c>
      <c r="B119">
        <f>SUM($D$2:D119)/Table3[[#Totals],[CombosU]]</f>
        <v>0.68929110105580693</v>
      </c>
      <c r="C119" t="s">
        <v>123</v>
      </c>
      <c r="D119">
        <f>IF(LEN(Table3[[#This Row],[Unimproved]])=2,6,IF(RIGHT(Table3[[#This Row],[Unimproved]])="s",4,12))</f>
        <v>4</v>
      </c>
      <c r="E119">
        <f>SUM($G$2:G119)/Table3[[#Totals],[CombosSHEV]]</f>
        <v>0.6470588235294118</v>
      </c>
      <c r="F119" t="s">
        <v>130</v>
      </c>
      <c r="G119">
        <f>IF(LEN(Table3[[#This Row],[StartingHandsEV]])=2,6,IF(RIGHT(Table3[[#This Row],[StartingHandsEV]])="s",4,12))</f>
        <v>12</v>
      </c>
    </row>
    <row r="120" spans="1:7" x14ac:dyDescent="0.25">
      <c r="A120">
        <v>119</v>
      </c>
      <c r="B120">
        <f>SUM($D$2:D120)/Table3[[#Totals],[CombosU]]</f>
        <v>0.69834087481146301</v>
      </c>
      <c r="C120" t="s">
        <v>124</v>
      </c>
      <c r="D120">
        <f>IF(LEN(Table3[[#This Row],[Unimproved]])=2,6,IF(RIGHT(Table3[[#This Row],[Unimproved]])="s",4,12))</f>
        <v>12</v>
      </c>
      <c r="E120">
        <f>SUM($G$2:G120)/Table3[[#Totals],[CombosSHEV]]</f>
        <v>0.65610859728506787</v>
      </c>
      <c r="F120" t="s">
        <v>132</v>
      </c>
      <c r="G120">
        <f>IF(LEN(Table3[[#This Row],[StartingHandsEV]])=2,6,IF(RIGHT(Table3[[#This Row],[StartingHandsEV]])="s",4,12))</f>
        <v>12</v>
      </c>
    </row>
    <row r="121" spans="1:7" x14ac:dyDescent="0.25">
      <c r="A121">
        <v>120</v>
      </c>
      <c r="B121">
        <f>SUM($D$2:D121)/Table3[[#Totals],[CombosU]]</f>
        <v>0.70135746606334837</v>
      </c>
      <c r="C121" t="s">
        <v>125</v>
      </c>
      <c r="D121">
        <f>IF(LEN(Table3[[#This Row],[Unimproved]])=2,6,IF(RIGHT(Table3[[#This Row],[Unimproved]])="s",4,12))</f>
        <v>4</v>
      </c>
      <c r="E121">
        <f>SUM($G$2:G121)/Table3[[#Totals],[CombosSHEV]]</f>
        <v>0.66515837104072395</v>
      </c>
      <c r="F121" t="s">
        <v>134</v>
      </c>
      <c r="G121">
        <f>IF(LEN(Table3[[#This Row],[StartingHandsEV]])=2,6,IF(RIGHT(Table3[[#This Row],[StartingHandsEV]])="s",4,12))</f>
        <v>12</v>
      </c>
    </row>
    <row r="122" spans="1:7" x14ac:dyDescent="0.25">
      <c r="A122">
        <v>121</v>
      </c>
      <c r="B122">
        <f>SUM($D$2:D122)/Table3[[#Totals],[CombosU]]</f>
        <v>0.71040723981900455</v>
      </c>
      <c r="C122" t="s">
        <v>126</v>
      </c>
      <c r="D122">
        <f>IF(LEN(Table3[[#This Row],[Unimproved]])=2,6,IF(RIGHT(Table3[[#This Row],[Unimproved]])="s",4,12))</f>
        <v>12</v>
      </c>
      <c r="E122">
        <f>SUM($G$2:G122)/Table3[[#Totals],[CombosSHEV]]</f>
        <v>0.67420814479638014</v>
      </c>
      <c r="F122" t="s">
        <v>140</v>
      </c>
      <c r="G122">
        <f>IF(LEN(Table3[[#This Row],[StartingHandsEV]])=2,6,IF(RIGHT(Table3[[#This Row],[StartingHandsEV]])="s",4,12))</f>
        <v>12</v>
      </c>
    </row>
    <row r="123" spans="1:7" x14ac:dyDescent="0.25">
      <c r="A123">
        <v>122</v>
      </c>
      <c r="B123">
        <f>SUM($D$2:D123)/Table3[[#Totals],[CombosU]]</f>
        <v>0.71342383107088991</v>
      </c>
      <c r="C123" t="s">
        <v>127</v>
      </c>
      <c r="D123">
        <f>IF(LEN(Table3[[#This Row],[Unimproved]])=2,6,IF(RIGHT(Table3[[#This Row],[Unimproved]])="s",4,12))</f>
        <v>4</v>
      </c>
      <c r="E123">
        <f>SUM($G$2:G123)/Table3[[#Totals],[CombosSHEV]]</f>
        <v>0.68325791855203621</v>
      </c>
      <c r="F123" t="s">
        <v>142</v>
      </c>
      <c r="G123">
        <f>IF(LEN(Table3[[#This Row],[StartingHandsEV]])=2,6,IF(RIGHT(Table3[[#This Row],[StartingHandsEV]])="s",4,12))</f>
        <v>12</v>
      </c>
    </row>
    <row r="124" spans="1:7" x14ac:dyDescent="0.25">
      <c r="A124">
        <v>123</v>
      </c>
      <c r="B124">
        <f>SUM($D$2:D124)/Table3[[#Totals],[CombosU]]</f>
        <v>0.72247360482654599</v>
      </c>
      <c r="C124" t="s">
        <v>128</v>
      </c>
      <c r="D124">
        <f>IF(LEN(Table3[[#This Row],[Unimproved]])=2,6,IF(RIGHT(Table3[[#This Row],[Unimproved]])="s",4,12))</f>
        <v>12</v>
      </c>
      <c r="E124">
        <f>SUM($G$2:G124)/Table3[[#Totals],[CombosSHEV]]</f>
        <v>0.69230769230769229</v>
      </c>
      <c r="F124" t="s">
        <v>144</v>
      </c>
      <c r="G124">
        <f>IF(LEN(Table3[[#This Row],[StartingHandsEV]])=2,6,IF(RIGHT(Table3[[#This Row],[StartingHandsEV]])="s",4,12))</f>
        <v>12</v>
      </c>
    </row>
    <row r="125" spans="1:7" x14ac:dyDescent="0.25">
      <c r="A125">
        <v>124</v>
      </c>
      <c r="B125">
        <f>SUM($D$2:D125)/Table3[[#Totals],[CombosU]]</f>
        <v>0.72549019607843135</v>
      </c>
      <c r="C125" t="s">
        <v>129</v>
      </c>
      <c r="D125">
        <f>IF(LEN(Table3[[#This Row],[Unimproved]])=2,6,IF(RIGHT(Table3[[#This Row],[Unimproved]])="s",4,12))</f>
        <v>4</v>
      </c>
      <c r="E125">
        <f>SUM($G$2:G125)/Table3[[#Totals],[CombosSHEV]]</f>
        <v>0.70135746606334837</v>
      </c>
      <c r="F125" t="s">
        <v>150</v>
      </c>
      <c r="G125">
        <f>IF(LEN(Table3[[#This Row],[StartingHandsEV]])=2,6,IF(RIGHT(Table3[[#This Row],[StartingHandsEV]])="s",4,12))</f>
        <v>12</v>
      </c>
    </row>
    <row r="126" spans="1:7" x14ac:dyDescent="0.25">
      <c r="A126">
        <v>125</v>
      </c>
      <c r="B126">
        <f>SUM($D$2:D126)/Table3[[#Totals],[CombosU]]</f>
        <v>0.73453996983408754</v>
      </c>
      <c r="C126" t="s">
        <v>130</v>
      </c>
      <c r="D126">
        <f>IF(LEN(Table3[[#This Row],[Unimproved]])=2,6,IF(RIGHT(Table3[[#This Row],[Unimproved]])="s",4,12))</f>
        <v>12</v>
      </c>
      <c r="E126">
        <f>SUM($G$2:G126)/Table3[[#Totals],[CombosSHEV]]</f>
        <v>0.71040723981900455</v>
      </c>
      <c r="F126" t="s">
        <v>152</v>
      </c>
      <c r="G126">
        <f>IF(LEN(Table3[[#This Row],[StartingHandsEV]])=2,6,IF(RIGHT(Table3[[#This Row],[StartingHandsEV]])="s",4,12))</f>
        <v>12</v>
      </c>
    </row>
    <row r="127" spans="1:7" x14ac:dyDescent="0.25">
      <c r="A127">
        <v>126</v>
      </c>
      <c r="B127">
        <f>SUM($D$2:D127)/Table3[[#Totals],[CombosU]]</f>
        <v>0.73755656108597289</v>
      </c>
      <c r="C127" t="s">
        <v>131</v>
      </c>
      <c r="D127">
        <f>IF(LEN(Table3[[#This Row],[Unimproved]])=2,6,IF(RIGHT(Table3[[#This Row],[Unimproved]])="s",4,12))</f>
        <v>4</v>
      </c>
      <c r="E127">
        <f>SUM($G$2:G127)/Table3[[#Totals],[CombosSHEV]]</f>
        <v>0.71945701357466063</v>
      </c>
      <c r="F127" t="s">
        <v>154</v>
      </c>
      <c r="G127">
        <f>IF(LEN(Table3[[#This Row],[StartingHandsEV]])=2,6,IF(RIGHT(Table3[[#This Row],[StartingHandsEV]])="s",4,12))</f>
        <v>12</v>
      </c>
    </row>
    <row r="128" spans="1:7" x14ac:dyDescent="0.25">
      <c r="A128">
        <v>127</v>
      </c>
      <c r="B128">
        <f>SUM($D$2:D128)/Table3[[#Totals],[CombosU]]</f>
        <v>0.74660633484162897</v>
      </c>
      <c r="C128" t="s">
        <v>132</v>
      </c>
      <c r="D128">
        <f>IF(LEN(Table3[[#This Row],[Unimproved]])=2,6,IF(RIGHT(Table3[[#This Row],[Unimproved]])="s",4,12))</f>
        <v>12</v>
      </c>
      <c r="E128">
        <f>SUM($G$2:G128)/Table3[[#Totals],[CombosSHEV]]</f>
        <v>0.72850678733031671</v>
      </c>
      <c r="F128" t="s">
        <v>156</v>
      </c>
      <c r="G128">
        <f>IF(LEN(Table3[[#This Row],[StartingHandsEV]])=2,6,IF(RIGHT(Table3[[#This Row],[StartingHandsEV]])="s",4,12))</f>
        <v>12</v>
      </c>
    </row>
    <row r="129" spans="1:7" x14ac:dyDescent="0.25">
      <c r="A129">
        <v>128</v>
      </c>
      <c r="B129">
        <f>SUM($D$2:D129)/Table3[[#Totals],[CombosU]]</f>
        <v>0.74962292609351433</v>
      </c>
      <c r="C129" t="s">
        <v>133</v>
      </c>
      <c r="D129">
        <f>IF(LEN(Table3[[#This Row],[Unimproved]])=2,6,IF(RIGHT(Table3[[#This Row],[Unimproved]])="s",4,12))</f>
        <v>4</v>
      </c>
      <c r="E129">
        <f>SUM($G$2:G129)/Table3[[#Totals],[CombosSHEV]]</f>
        <v>0.73755656108597289</v>
      </c>
      <c r="F129" t="s">
        <v>158</v>
      </c>
      <c r="G129">
        <f>IF(LEN(Table3[[#This Row],[StartingHandsEV]])=2,6,IF(RIGHT(Table3[[#This Row],[StartingHandsEV]])="s",4,12))</f>
        <v>12</v>
      </c>
    </row>
    <row r="130" spans="1:7" x14ac:dyDescent="0.25">
      <c r="A130">
        <v>129</v>
      </c>
      <c r="B130">
        <f>SUM($D$2:D130)/Table3[[#Totals],[CombosU]]</f>
        <v>0.75867269984917041</v>
      </c>
      <c r="C130" t="s">
        <v>134</v>
      </c>
      <c r="D130">
        <f>IF(LEN(Table3[[#This Row],[Unimproved]])=2,6,IF(RIGHT(Table3[[#This Row],[Unimproved]])="s",4,12))</f>
        <v>12</v>
      </c>
      <c r="E130">
        <f>SUM($G$2:G130)/Table3[[#Totals],[CombosSHEV]]</f>
        <v>0.74660633484162897</v>
      </c>
      <c r="F130" t="s">
        <v>160</v>
      </c>
      <c r="G130">
        <f>IF(LEN(Table3[[#This Row],[StartingHandsEV]])=2,6,IF(RIGHT(Table3[[#This Row],[StartingHandsEV]])="s",4,12))</f>
        <v>12</v>
      </c>
    </row>
    <row r="131" spans="1:7" x14ac:dyDescent="0.25">
      <c r="A131">
        <v>130</v>
      </c>
      <c r="B131">
        <f>SUM($D$2:D131)/Table3[[#Totals],[CombosU]]</f>
        <v>0.76168929110105577</v>
      </c>
      <c r="C131" t="s">
        <v>135</v>
      </c>
      <c r="D131">
        <f>IF(LEN(Table3[[#This Row],[Unimproved]])=2,6,IF(RIGHT(Table3[[#This Row],[Unimproved]])="s",4,12))</f>
        <v>4</v>
      </c>
      <c r="E131">
        <f>SUM($G$2:G131)/Table3[[#Totals],[CombosSHEV]]</f>
        <v>0.75565610859728505</v>
      </c>
      <c r="F131" t="s">
        <v>162</v>
      </c>
      <c r="G131">
        <f>IF(LEN(Table3[[#This Row],[StartingHandsEV]])=2,6,IF(RIGHT(Table3[[#This Row],[StartingHandsEV]])="s",4,12))</f>
        <v>12</v>
      </c>
    </row>
    <row r="132" spans="1:7" x14ac:dyDescent="0.25">
      <c r="A132">
        <v>131</v>
      </c>
      <c r="B132">
        <f>SUM($D$2:D132)/Table3[[#Totals],[CombosU]]</f>
        <v>0.77073906485671195</v>
      </c>
      <c r="C132" t="s">
        <v>136</v>
      </c>
      <c r="D132">
        <f>IF(LEN(Table3[[#This Row],[Unimproved]])=2,6,IF(RIGHT(Table3[[#This Row],[Unimproved]])="s",4,12))</f>
        <v>12</v>
      </c>
      <c r="E132">
        <f>SUM($G$2:G132)/Table3[[#Totals],[CombosSHEV]]</f>
        <v>0.76470588235294112</v>
      </c>
      <c r="F132" t="s">
        <v>166</v>
      </c>
      <c r="G132">
        <f>IF(LEN(Table3[[#This Row],[StartingHandsEV]])=2,6,IF(RIGHT(Table3[[#This Row],[StartingHandsEV]])="s",4,12))</f>
        <v>12</v>
      </c>
    </row>
    <row r="133" spans="1:7" x14ac:dyDescent="0.25">
      <c r="A133">
        <v>132</v>
      </c>
      <c r="B133">
        <f>SUM($D$2:D133)/Table3[[#Totals],[CombosU]]</f>
        <v>0.77375565610859731</v>
      </c>
      <c r="C133" t="s">
        <v>137</v>
      </c>
      <c r="D133">
        <f>IF(LEN(Table3[[#This Row],[Unimproved]])=2,6,IF(RIGHT(Table3[[#This Row],[Unimproved]])="s",4,12))</f>
        <v>4</v>
      </c>
      <c r="E133">
        <f>SUM($G$2:G133)/Table3[[#Totals],[CombosSHEV]]</f>
        <v>0.77375565610859731</v>
      </c>
      <c r="F133" t="s">
        <v>168</v>
      </c>
      <c r="G133">
        <f>IF(LEN(Table3[[#This Row],[StartingHandsEV]])=2,6,IF(RIGHT(Table3[[#This Row],[StartingHandsEV]])="s",4,12))</f>
        <v>12</v>
      </c>
    </row>
    <row r="134" spans="1:7" x14ac:dyDescent="0.25">
      <c r="A134">
        <v>133</v>
      </c>
      <c r="B134">
        <f>SUM($D$2:D134)/Table3[[#Totals],[CombosU]]</f>
        <v>0.78280542986425339</v>
      </c>
      <c r="C134" t="s">
        <v>138</v>
      </c>
      <c r="D134">
        <f>IF(LEN(Table3[[#This Row],[Unimproved]])=2,6,IF(RIGHT(Table3[[#This Row],[Unimproved]])="s",4,12))</f>
        <v>12</v>
      </c>
      <c r="E134">
        <f>SUM($G$2:G134)/Table3[[#Totals],[CombosSHEV]]</f>
        <v>0.78280542986425339</v>
      </c>
      <c r="F134" t="s">
        <v>172</v>
      </c>
      <c r="G134">
        <f>IF(LEN(Table3[[#This Row],[StartingHandsEV]])=2,6,IF(RIGHT(Table3[[#This Row],[StartingHandsEV]])="s",4,12))</f>
        <v>12</v>
      </c>
    </row>
    <row r="135" spans="1:7" x14ac:dyDescent="0.25">
      <c r="A135">
        <v>134</v>
      </c>
      <c r="B135">
        <f>SUM($D$2:D135)/Table3[[#Totals],[CombosU]]</f>
        <v>0.78582202111613875</v>
      </c>
      <c r="C135" t="s">
        <v>139</v>
      </c>
      <c r="D135">
        <f>IF(LEN(Table3[[#This Row],[Unimproved]])=2,6,IF(RIGHT(Table3[[#This Row],[Unimproved]])="s",4,12))</f>
        <v>4</v>
      </c>
      <c r="E135">
        <f>SUM($G$2:G135)/Table3[[#Totals],[CombosSHEV]]</f>
        <v>0.79185520361990946</v>
      </c>
      <c r="F135" t="s">
        <v>40</v>
      </c>
      <c r="G135">
        <f>IF(LEN(Table3[[#This Row],[StartingHandsEV]])=2,6,IF(RIGHT(Table3[[#This Row],[StartingHandsEV]])="s",4,12))</f>
        <v>12</v>
      </c>
    </row>
    <row r="136" spans="1:7" x14ac:dyDescent="0.25">
      <c r="A136">
        <v>135</v>
      </c>
      <c r="B136">
        <f>SUM($D$2:D136)/Table3[[#Totals],[CombosU]]</f>
        <v>0.79487179487179482</v>
      </c>
      <c r="C136" t="s">
        <v>140</v>
      </c>
      <c r="D136">
        <f>IF(LEN(Table3[[#This Row],[Unimproved]])=2,6,IF(RIGHT(Table3[[#This Row],[Unimproved]])="s",4,12))</f>
        <v>12</v>
      </c>
      <c r="E136">
        <f>SUM($G$2:G136)/Table3[[#Totals],[CombosSHEV]]</f>
        <v>0.80090497737556565</v>
      </c>
      <c r="F136" t="s">
        <v>58</v>
      </c>
      <c r="G136">
        <f>IF(LEN(Table3[[#This Row],[StartingHandsEV]])=2,6,IF(RIGHT(Table3[[#This Row],[StartingHandsEV]])="s",4,12))</f>
        <v>12</v>
      </c>
    </row>
    <row r="137" spans="1:7" x14ac:dyDescent="0.25">
      <c r="A137">
        <v>136</v>
      </c>
      <c r="B137">
        <f>SUM($D$2:D137)/Table3[[#Totals],[CombosU]]</f>
        <v>0.79788838612368029</v>
      </c>
      <c r="C137" t="s">
        <v>141</v>
      </c>
      <c r="D137">
        <f>IF(LEN(Table3[[#This Row],[Unimproved]])=2,6,IF(RIGHT(Table3[[#This Row],[Unimproved]])="s",4,12))</f>
        <v>4</v>
      </c>
      <c r="E137">
        <f>SUM($G$2:G137)/Table3[[#Totals],[CombosSHEV]]</f>
        <v>0.80995475113122173</v>
      </c>
      <c r="F137" t="s">
        <v>60</v>
      </c>
      <c r="G137">
        <f>IF(LEN(Table3[[#This Row],[StartingHandsEV]])=2,6,IF(RIGHT(Table3[[#This Row],[StartingHandsEV]])="s",4,12))</f>
        <v>12</v>
      </c>
    </row>
    <row r="138" spans="1:7" x14ac:dyDescent="0.25">
      <c r="A138">
        <v>137</v>
      </c>
      <c r="B138">
        <f>SUM($D$2:D138)/Table3[[#Totals],[CombosU]]</f>
        <v>0.80693815987933637</v>
      </c>
      <c r="C138" t="s">
        <v>142</v>
      </c>
      <c r="D138">
        <f>IF(LEN(Table3[[#This Row],[Unimproved]])=2,6,IF(RIGHT(Table3[[#This Row],[Unimproved]])="s",4,12))</f>
        <v>12</v>
      </c>
      <c r="E138">
        <f>SUM($G$2:G138)/Table3[[#Totals],[CombosSHEV]]</f>
        <v>0.8190045248868778</v>
      </c>
      <c r="F138" t="s">
        <v>76</v>
      </c>
      <c r="G138">
        <f>IF(LEN(Table3[[#This Row],[StartingHandsEV]])=2,6,IF(RIGHT(Table3[[#This Row],[StartingHandsEV]])="s",4,12))</f>
        <v>12</v>
      </c>
    </row>
    <row r="139" spans="1:7" x14ac:dyDescent="0.25">
      <c r="A139">
        <v>138</v>
      </c>
      <c r="B139">
        <f>SUM($D$2:D139)/Table3[[#Totals],[CombosU]]</f>
        <v>0.80995475113122173</v>
      </c>
      <c r="C139" t="s">
        <v>143</v>
      </c>
      <c r="D139">
        <f>IF(LEN(Table3[[#This Row],[Unimproved]])=2,6,IF(RIGHT(Table3[[#This Row],[Unimproved]])="s",4,12))</f>
        <v>4</v>
      </c>
      <c r="E139">
        <f>SUM($G$2:G139)/Table3[[#Totals],[CombosSHEV]]</f>
        <v>0.82805429864253388</v>
      </c>
      <c r="F139" t="s">
        <v>78</v>
      </c>
      <c r="G139">
        <f>IF(LEN(Table3[[#This Row],[StartingHandsEV]])=2,6,IF(RIGHT(Table3[[#This Row],[StartingHandsEV]])="s",4,12))</f>
        <v>12</v>
      </c>
    </row>
    <row r="140" spans="1:7" x14ac:dyDescent="0.25">
      <c r="A140">
        <v>139</v>
      </c>
      <c r="B140">
        <f>SUM($D$2:D140)/Table3[[#Totals],[CombosU]]</f>
        <v>0.8190045248868778</v>
      </c>
      <c r="C140" t="s">
        <v>144</v>
      </c>
      <c r="D140">
        <f>IF(LEN(Table3[[#This Row],[Unimproved]])=2,6,IF(RIGHT(Table3[[#This Row],[Unimproved]])="s",4,12))</f>
        <v>12</v>
      </c>
      <c r="E140">
        <f>SUM($G$2:G140)/Table3[[#Totals],[CombosSHEV]]</f>
        <v>0.83710407239819007</v>
      </c>
      <c r="F140" t="s">
        <v>80</v>
      </c>
      <c r="G140">
        <f>IF(LEN(Table3[[#This Row],[StartingHandsEV]])=2,6,IF(RIGHT(Table3[[#This Row],[StartingHandsEV]])="s",4,12))</f>
        <v>12</v>
      </c>
    </row>
    <row r="141" spans="1:7" x14ac:dyDescent="0.25">
      <c r="A141">
        <v>140</v>
      </c>
      <c r="B141">
        <f>SUM($D$2:D141)/Table3[[#Totals],[CombosU]]</f>
        <v>0.82202111613876316</v>
      </c>
      <c r="C141" t="s">
        <v>145</v>
      </c>
      <c r="D141">
        <f>IF(LEN(Table3[[#This Row],[Unimproved]])=2,6,IF(RIGHT(Table3[[#This Row],[Unimproved]])="s",4,12))</f>
        <v>4</v>
      </c>
      <c r="E141">
        <f>SUM($G$2:G141)/Table3[[#Totals],[CombosSHEV]]</f>
        <v>0.84615384615384615</v>
      </c>
      <c r="F141" t="s">
        <v>82</v>
      </c>
      <c r="G141">
        <f>IF(LEN(Table3[[#This Row],[StartingHandsEV]])=2,6,IF(RIGHT(Table3[[#This Row],[StartingHandsEV]])="s",4,12))</f>
        <v>12</v>
      </c>
    </row>
    <row r="142" spans="1:7" x14ac:dyDescent="0.25">
      <c r="A142">
        <v>141</v>
      </c>
      <c r="B142">
        <f>SUM($D$2:D142)/Table3[[#Totals],[CombosU]]</f>
        <v>0.83107088989441935</v>
      </c>
      <c r="C142" t="s">
        <v>146</v>
      </c>
      <c r="D142">
        <f>IF(LEN(Table3[[#This Row],[Unimproved]])=2,6,IF(RIGHT(Table3[[#This Row],[Unimproved]])="s",4,12))</f>
        <v>12</v>
      </c>
      <c r="E142">
        <f>SUM($G$2:G142)/Table3[[#Totals],[CombosSHEV]]</f>
        <v>0.85520361990950222</v>
      </c>
      <c r="F142" t="s">
        <v>84</v>
      </c>
      <c r="G142">
        <f>IF(LEN(Table3[[#This Row],[StartingHandsEV]])=2,6,IF(RIGHT(Table3[[#This Row],[StartingHandsEV]])="s",4,12))</f>
        <v>12</v>
      </c>
    </row>
    <row r="143" spans="1:7" x14ac:dyDescent="0.25">
      <c r="A143">
        <v>142</v>
      </c>
      <c r="B143">
        <f>SUM($D$2:D143)/Table3[[#Totals],[CombosU]]</f>
        <v>0.83408748114630471</v>
      </c>
      <c r="C143" t="s">
        <v>147</v>
      </c>
      <c r="D143">
        <f>IF(LEN(Table3[[#This Row],[Unimproved]])=2,6,IF(RIGHT(Table3[[#This Row],[Unimproved]])="s",4,12))</f>
        <v>4</v>
      </c>
      <c r="E143">
        <f>SUM($G$2:G143)/Table3[[#Totals],[CombosSHEV]]</f>
        <v>0.86425339366515841</v>
      </c>
      <c r="F143" t="s">
        <v>96</v>
      </c>
      <c r="G143">
        <f>IF(LEN(Table3[[#This Row],[StartingHandsEV]])=2,6,IF(RIGHT(Table3[[#This Row],[StartingHandsEV]])="s",4,12))</f>
        <v>12</v>
      </c>
    </row>
    <row r="144" spans="1:7" x14ac:dyDescent="0.25">
      <c r="A144">
        <v>143</v>
      </c>
      <c r="B144">
        <f>SUM($D$2:D144)/Table3[[#Totals],[CombosU]]</f>
        <v>0.84313725490196079</v>
      </c>
      <c r="C144" t="s">
        <v>148</v>
      </c>
      <c r="D144">
        <f>IF(LEN(Table3[[#This Row],[Unimproved]])=2,6,IF(RIGHT(Table3[[#This Row],[Unimproved]])="s",4,12))</f>
        <v>12</v>
      </c>
      <c r="E144">
        <f>SUM($G$2:G144)/Table3[[#Totals],[CombosSHEV]]</f>
        <v>0.87330316742081449</v>
      </c>
      <c r="F144" t="s">
        <v>98</v>
      </c>
      <c r="G144">
        <f>IF(LEN(Table3[[#This Row],[StartingHandsEV]])=2,6,IF(RIGHT(Table3[[#This Row],[StartingHandsEV]])="s",4,12))</f>
        <v>12</v>
      </c>
    </row>
    <row r="145" spans="1:7" x14ac:dyDescent="0.25">
      <c r="A145">
        <v>144</v>
      </c>
      <c r="B145">
        <f>SUM($D$2:D145)/Table3[[#Totals],[CombosU]]</f>
        <v>0.84615384615384615</v>
      </c>
      <c r="C145" t="s">
        <v>149</v>
      </c>
      <c r="D145">
        <f>IF(LEN(Table3[[#This Row],[Unimproved]])=2,6,IF(RIGHT(Table3[[#This Row],[Unimproved]])="s",4,12))</f>
        <v>4</v>
      </c>
      <c r="E145">
        <f>SUM($G$2:G145)/Table3[[#Totals],[CombosSHEV]]</f>
        <v>0.88235294117647056</v>
      </c>
      <c r="F145" t="s">
        <v>100</v>
      </c>
      <c r="G145">
        <f>IF(LEN(Table3[[#This Row],[StartingHandsEV]])=2,6,IF(RIGHT(Table3[[#This Row],[StartingHandsEV]])="s",4,12))</f>
        <v>12</v>
      </c>
    </row>
    <row r="146" spans="1:7" x14ac:dyDescent="0.25">
      <c r="A146">
        <v>145</v>
      </c>
      <c r="B146">
        <f>SUM($D$2:D146)/Table3[[#Totals],[CombosU]]</f>
        <v>0.85520361990950222</v>
      </c>
      <c r="C146" t="s">
        <v>150</v>
      </c>
      <c r="D146">
        <f>IF(LEN(Table3[[#This Row],[Unimproved]])=2,6,IF(RIGHT(Table3[[#This Row],[Unimproved]])="s",4,12))</f>
        <v>12</v>
      </c>
      <c r="E146">
        <f>SUM($G$2:G146)/Table3[[#Totals],[CombosSHEV]]</f>
        <v>0.88536953242835592</v>
      </c>
      <c r="F146" t="s">
        <v>99</v>
      </c>
      <c r="G146">
        <f>IF(LEN(Table3[[#This Row],[StartingHandsEV]])=2,6,IF(RIGHT(Table3[[#This Row],[StartingHandsEV]])="s",4,12))</f>
        <v>4</v>
      </c>
    </row>
    <row r="147" spans="1:7" x14ac:dyDescent="0.25">
      <c r="A147">
        <v>146</v>
      </c>
      <c r="B147">
        <f>SUM($D$2:D147)/Table3[[#Totals],[CombosU]]</f>
        <v>0.85822021116138758</v>
      </c>
      <c r="C147" t="s">
        <v>151</v>
      </c>
      <c r="D147">
        <f>IF(LEN(Table3[[#This Row],[Unimproved]])=2,6,IF(RIGHT(Table3[[#This Row],[Unimproved]])="s",4,12))</f>
        <v>4</v>
      </c>
      <c r="E147">
        <f>SUM($G$2:G147)/Table3[[#Totals],[CombosSHEV]]</f>
        <v>0.89441930618401211</v>
      </c>
      <c r="F147" t="s">
        <v>102</v>
      </c>
      <c r="G147">
        <f>IF(LEN(Table3[[#This Row],[StartingHandsEV]])=2,6,IF(RIGHT(Table3[[#This Row],[StartingHandsEV]])="s",4,12))</f>
        <v>12</v>
      </c>
    </row>
    <row r="148" spans="1:7" x14ac:dyDescent="0.25">
      <c r="A148">
        <v>147</v>
      </c>
      <c r="B148">
        <f>SUM($D$2:D148)/Table3[[#Totals],[CombosU]]</f>
        <v>0.86726998491704377</v>
      </c>
      <c r="C148" t="s">
        <v>152</v>
      </c>
      <c r="D148">
        <f>IF(LEN(Table3[[#This Row],[Unimproved]])=2,6,IF(RIGHT(Table3[[#This Row],[Unimproved]])="s",4,12))</f>
        <v>12</v>
      </c>
      <c r="E148">
        <f>SUM($G$2:G148)/Table3[[#Totals],[CombosSHEV]]</f>
        <v>0.89743589743589747</v>
      </c>
      <c r="F148" t="s">
        <v>113</v>
      </c>
      <c r="G148">
        <f>IF(LEN(Table3[[#This Row],[StartingHandsEV]])=2,6,IF(RIGHT(Table3[[#This Row],[StartingHandsEV]])="s",4,12))</f>
        <v>4</v>
      </c>
    </row>
    <row r="149" spans="1:7" x14ac:dyDescent="0.25">
      <c r="A149">
        <v>148</v>
      </c>
      <c r="B149">
        <f>SUM($D$2:D149)/Table3[[#Totals],[CombosU]]</f>
        <v>0.87028657616892913</v>
      </c>
      <c r="C149" t="s">
        <v>153</v>
      </c>
      <c r="D149">
        <f>IF(LEN(Table3[[#This Row],[Unimproved]])=2,6,IF(RIGHT(Table3[[#This Row],[Unimproved]])="s",4,12))</f>
        <v>4</v>
      </c>
      <c r="E149">
        <f>SUM($G$2:G149)/Table3[[#Totals],[CombosSHEV]]</f>
        <v>0.90045248868778283</v>
      </c>
      <c r="F149" t="s">
        <v>115</v>
      </c>
      <c r="G149">
        <f>IF(LEN(Table3[[#This Row],[StartingHandsEV]])=2,6,IF(RIGHT(Table3[[#This Row],[StartingHandsEV]])="s",4,12))</f>
        <v>4</v>
      </c>
    </row>
    <row r="150" spans="1:7" x14ac:dyDescent="0.25">
      <c r="A150">
        <v>149</v>
      </c>
      <c r="B150">
        <f>SUM($D$2:D150)/Table3[[#Totals],[CombosU]]</f>
        <v>0.8793363499245852</v>
      </c>
      <c r="C150" t="s">
        <v>154</v>
      </c>
      <c r="D150">
        <f>IF(LEN(Table3[[#This Row],[Unimproved]])=2,6,IF(RIGHT(Table3[[#This Row],[Unimproved]])="s",4,12))</f>
        <v>12</v>
      </c>
      <c r="E150">
        <f>SUM($G$2:G150)/Table3[[#Totals],[CombosSHEV]]</f>
        <v>0.90346907993966818</v>
      </c>
      <c r="F150" t="s">
        <v>139</v>
      </c>
      <c r="G150">
        <f>IF(LEN(Table3[[#This Row],[StartingHandsEV]])=2,6,IF(RIGHT(Table3[[#This Row],[StartingHandsEV]])="s",4,12))</f>
        <v>4</v>
      </c>
    </row>
    <row r="151" spans="1:7" x14ac:dyDescent="0.25">
      <c r="A151">
        <v>150</v>
      </c>
      <c r="B151">
        <f>SUM($D$2:D151)/Table3[[#Totals],[CombosU]]</f>
        <v>0.88235294117647056</v>
      </c>
      <c r="C151" t="s">
        <v>155</v>
      </c>
      <c r="D151">
        <f>IF(LEN(Table3[[#This Row],[Unimproved]])=2,6,IF(RIGHT(Table3[[#This Row],[Unimproved]])="s",4,12))</f>
        <v>4</v>
      </c>
      <c r="E151">
        <f>SUM($G$2:G151)/Table3[[#Totals],[CombosSHEV]]</f>
        <v>0.91251885369532426</v>
      </c>
      <c r="F151" t="s">
        <v>164</v>
      </c>
      <c r="G151">
        <f>IF(LEN(Table3[[#This Row],[StartingHandsEV]])=2,6,IF(RIGHT(Table3[[#This Row],[StartingHandsEV]])="s",4,12))</f>
        <v>12</v>
      </c>
    </row>
    <row r="152" spans="1:7" x14ac:dyDescent="0.25">
      <c r="A152">
        <v>151</v>
      </c>
      <c r="B152">
        <f>SUM($D$2:D152)/Table3[[#Totals],[CombosU]]</f>
        <v>0.89140271493212675</v>
      </c>
      <c r="C152" t="s">
        <v>156</v>
      </c>
      <c r="D152">
        <f>IF(LEN(Table3[[#This Row],[Unimproved]])=2,6,IF(RIGHT(Table3[[#This Row],[Unimproved]])="s",4,12))</f>
        <v>12</v>
      </c>
      <c r="E152">
        <f>SUM($G$2:G152)/Table3[[#Totals],[CombosSHEV]]</f>
        <v>0.92156862745098034</v>
      </c>
      <c r="F152" t="s">
        <v>170</v>
      </c>
      <c r="G152">
        <f>IF(LEN(Table3[[#This Row],[StartingHandsEV]])=2,6,IF(RIGHT(Table3[[#This Row],[StartingHandsEV]])="s",4,12))</f>
        <v>12</v>
      </c>
    </row>
    <row r="153" spans="1:7" x14ac:dyDescent="0.25">
      <c r="A153">
        <v>152</v>
      </c>
      <c r="B153">
        <f>SUM($D$2:D153)/Table3[[#Totals],[CombosU]]</f>
        <v>0.89441930618401211</v>
      </c>
      <c r="C153" t="s">
        <v>157</v>
      </c>
      <c r="D153">
        <f>IF(LEN(Table3[[#This Row],[Unimproved]])=2,6,IF(RIGHT(Table3[[#This Row],[Unimproved]])="s",4,12))</f>
        <v>4</v>
      </c>
      <c r="E153">
        <f>SUM($G$2:G153)/Table3[[#Totals],[CombosSHEV]]</f>
        <v>0.92458521870286581</v>
      </c>
      <c r="F153" t="s">
        <v>169</v>
      </c>
      <c r="G153">
        <f>IF(LEN(Table3[[#This Row],[StartingHandsEV]])=2,6,IF(RIGHT(Table3[[#This Row],[StartingHandsEV]])="s",4,12))</f>
        <v>4</v>
      </c>
    </row>
    <row r="154" spans="1:7" x14ac:dyDescent="0.25">
      <c r="A154">
        <v>153</v>
      </c>
      <c r="B154">
        <f>SUM($D$2:D154)/Table3[[#Totals],[CombosU]]</f>
        <v>0.90346907993966818</v>
      </c>
      <c r="C154" t="s">
        <v>158</v>
      </c>
      <c r="D154">
        <f>IF(LEN(Table3[[#This Row],[Unimproved]])=2,6,IF(RIGHT(Table3[[#This Row],[Unimproved]])="s",4,12))</f>
        <v>12</v>
      </c>
      <c r="E154">
        <f>SUM($G$2:G154)/Table3[[#Totals],[CombosSHEV]]</f>
        <v>0.93363499245852188</v>
      </c>
      <c r="F154" t="s">
        <v>62</v>
      </c>
      <c r="G154">
        <f>IF(LEN(Table3[[#This Row],[StartingHandsEV]])=2,6,IF(RIGHT(Table3[[#This Row],[StartingHandsEV]])="s",4,12))</f>
        <v>12</v>
      </c>
    </row>
    <row r="155" spans="1:7" x14ac:dyDescent="0.25">
      <c r="A155">
        <v>154</v>
      </c>
      <c r="B155">
        <f>SUM($D$2:D155)/Table3[[#Totals],[CombosU]]</f>
        <v>0.90648567119155354</v>
      </c>
      <c r="C155" t="s">
        <v>159</v>
      </c>
      <c r="D155">
        <f>IF(LEN(Table3[[#This Row],[Unimproved]])=2,6,IF(RIGHT(Table3[[#This Row],[Unimproved]])="s",4,12))</f>
        <v>4</v>
      </c>
      <c r="E155">
        <f>SUM($G$2:G155)/Table3[[#Totals],[CombosSHEV]]</f>
        <v>0.94268476621417796</v>
      </c>
      <c r="F155" t="s">
        <v>64</v>
      </c>
      <c r="G155">
        <f>IF(LEN(Table3[[#This Row],[StartingHandsEV]])=2,6,IF(RIGHT(Table3[[#This Row],[StartingHandsEV]])="s",4,12))</f>
        <v>12</v>
      </c>
    </row>
    <row r="156" spans="1:7" x14ac:dyDescent="0.25">
      <c r="A156">
        <v>155</v>
      </c>
      <c r="B156">
        <f>SUM($D$2:D156)/Table3[[#Totals],[CombosU]]</f>
        <v>0.91553544494720962</v>
      </c>
      <c r="C156" t="s">
        <v>160</v>
      </c>
      <c r="D156">
        <f>IF(LEN(Table3[[#This Row],[Unimproved]])=2,6,IF(RIGHT(Table3[[#This Row],[Unimproved]])="s",4,12))</f>
        <v>12</v>
      </c>
      <c r="E156">
        <f>SUM($G$2:G156)/Table3[[#Totals],[CombosSHEV]]</f>
        <v>0.94570135746606332</v>
      </c>
      <c r="F156" t="s">
        <v>101</v>
      </c>
      <c r="G156">
        <f>IF(LEN(Table3[[#This Row],[StartingHandsEV]])=2,6,IF(RIGHT(Table3[[#This Row],[StartingHandsEV]])="s",4,12))</f>
        <v>4</v>
      </c>
    </row>
    <row r="157" spans="1:7" x14ac:dyDescent="0.25">
      <c r="A157">
        <v>156</v>
      </c>
      <c r="B157">
        <f>SUM($D$2:D157)/Table3[[#Totals],[CombosU]]</f>
        <v>0.91855203619909498</v>
      </c>
      <c r="C157" t="s">
        <v>161</v>
      </c>
      <c r="D157">
        <f>IF(LEN(Table3[[#This Row],[Unimproved]])=2,6,IF(RIGHT(Table3[[#This Row],[Unimproved]])="s",4,12))</f>
        <v>4</v>
      </c>
      <c r="E157">
        <f>SUM($G$2:G157)/Table3[[#Totals],[CombosSHEV]]</f>
        <v>0.94871794871794868</v>
      </c>
      <c r="F157" t="s">
        <v>117</v>
      </c>
      <c r="G157">
        <f>IF(LEN(Table3[[#This Row],[StartingHandsEV]])=2,6,IF(RIGHT(Table3[[#This Row],[StartingHandsEV]])="s",4,12))</f>
        <v>4</v>
      </c>
    </row>
    <row r="158" spans="1:7" x14ac:dyDescent="0.25">
      <c r="A158">
        <v>157</v>
      </c>
      <c r="B158">
        <f>SUM($D$2:D158)/Table3[[#Totals],[CombosU]]</f>
        <v>0.92760180995475117</v>
      </c>
      <c r="C158" t="s">
        <v>162</v>
      </c>
      <c r="D158">
        <f>IF(LEN(Table3[[#This Row],[Unimproved]])=2,6,IF(RIGHT(Table3[[#This Row],[Unimproved]])="s",4,12))</f>
        <v>12</v>
      </c>
      <c r="E158">
        <f>SUM($G$2:G158)/Table3[[#Totals],[CombosSHEV]]</f>
        <v>0.95173453996983404</v>
      </c>
      <c r="F158" t="s">
        <v>129</v>
      </c>
      <c r="G158">
        <f>IF(LEN(Table3[[#This Row],[StartingHandsEV]])=2,6,IF(RIGHT(Table3[[#This Row],[StartingHandsEV]])="s",4,12))</f>
        <v>4</v>
      </c>
    </row>
    <row r="159" spans="1:7" x14ac:dyDescent="0.25">
      <c r="A159">
        <v>158</v>
      </c>
      <c r="B159">
        <f>SUM($D$2:D159)/Table3[[#Totals],[CombosU]]</f>
        <v>0.93061840120663653</v>
      </c>
      <c r="C159" t="s">
        <v>163</v>
      </c>
      <c r="D159">
        <f>IF(LEN(Table3[[#This Row],[Unimproved]])=2,6,IF(RIGHT(Table3[[#This Row],[Unimproved]])="s",4,12))</f>
        <v>4</v>
      </c>
      <c r="E159">
        <f>SUM($G$2:G159)/Table3[[#Totals],[CombosSHEV]]</f>
        <v>0.95475113122171951</v>
      </c>
      <c r="F159" t="s">
        <v>131</v>
      </c>
      <c r="G159">
        <f>IF(LEN(Table3[[#This Row],[StartingHandsEV]])=2,6,IF(RIGHT(Table3[[#This Row],[StartingHandsEV]])="s",4,12))</f>
        <v>4</v>
      </c>
    </row>
    <row r="160" spans="1:7" x14ac:dyDescent="0.25">
      <c r="A160">
        <v>159</v>
      </c>
      <c r="B160">
        <f>SUM($D$2:D160)/Table3[[#Totals],[CombosU]]</f>
        <v>0.9396681749622926</v>
      </c>
      <c r="C160" t="s">
        <v>164</v>
      </c>
      <c r="D160">
        <f>IF(LEN(Table3[[#This Row],[Unimproved]])=2,6,IF(RIGHT(Table3[[#This Row],[Unimproved]])="s",4,12))</f>
        <v>12</v>
      </c>
      <c r="E160">
        <f>SUM($G$2:G160)/Table3[[#Totals],[CombosSHEV]]</f>
        <v>0.95776772247360487</v>
      </c>
      <c r="F160" t="s">
        <v>143</v>
      </c>
      <c r="G160">
        <f>IF(LEN(Table3[[#This Row],[StartingHandsEV]])=2,6,IF(RIGHT(Table3[[#This Row],[StartingHandsEV]])="s",4,12))</f>
        <v>4</v>
      </c>
    </row>
    <row r="161" spans="1:7" x14ac:dyDescent="0.25">
      <c r="A161">
        <v>160</v>
      </c>
      <c r="B161">
        <f>SUM($D$2:D161)/Table3[[#Totals],[CombosU]]</f>
        <v>0.94268476621417796</v>
      </c>
      <c r="C161" t="s">
        <v>165</v>
      </c>
      <c r="D161">
        <f>IF(LEN(Table3[[#This Row],[Unimproved]])=2,6,IF(RIGHT(Table3[[#This Row],[Unimproved]])="s",4,12))</f>
        <v>4</v>
      </c>
      <c r="E161">
        <f>SUM($G$2:G161)/Table3[[#Totals],[CombosSHEV]]</f>
        <v>0.96078431372549022</v>
      </c>
      <c r="F161" t="s">
        <v>151</v>
      </c>
      <c r="G161">
        <f>IF(LEN(Table3[[#This Row],[StartingHandsEV]])=2,6,IF(RIGHT(Table3[[#This Row],[StartingHandsEV]])="s",4,12))</f>
        <v>4</v>
      </c>
    </row>
    <row r="162" spans="1:7" x14ac:dyDescent="0.25">
      <c r="A162">
        <v>161</v>
      </c>
      <c r="B162">
        <f>SUM($D$2:D162)/Table3[[#Totals],[CombosU]]</f>
        <v>0.95173453996983404</v>
      </c>
      <c r="C162" t="s">
        <v>166</v>
      </c>
      <c r="D162">
        <f>IF(LEN(Table3[[#This Row],[Unimproved]])=2,6,IF(RIGHT(Table3[[#This Row],[Unimproved]])="s",4,12))</f>
        <v>12</v>
      </c>
      <c r="E162">
        <f>SUM($G$2:G162)/Table3[[#Totals],[CombosSHEV]]</f>
        <v>0.96380090497737558</v>
      </c>
      <c r="F162" t="s">
        <v>161</v>
      </c>
      <c r="G162">
        <f>IF(LEN(Table3[[#This Row],[StartingHandsEV]])=2,6,IF(RIGHT(Table3[[#This Row],[StartingHandsEV]])="s",4,12))</f>
        <v>4</v>
      </c>
    </row>
    <row r="163" spans="1:7" x14ac:dyDescent="0.25">
      <c r="A163">
        <v>162</v>
      </c>
      <c r="B163">
        <f>SUM($D$2:D163)/Table3[[#Totals],[CombosU]]</f>
        <v>0.95475113122171951</v>
      </c>
      <c r="C163" t="s">
        <v>167</v>
      </c>
      <c r="D163">
        <f>IF(LEN(Table3[[#This Row],[Unimproved]])=2,6,IF(RIGHT(Table3[[#This Row],[Unimproved]])="s",4,12))</f>
        <v>4</v>
      </c>
      <c r="E163">
        <f>SUM($G$2:G163)/Table3[[#Totals],[CombosSHEV]]</f>
        <v>0.96681749622926094</v>
      </c>
      <c r="F163" t="s">
        <v>167</v>
      </c>
      <c r="G163">
        <f>IF(LEN(Table3[[#This Row],[StartingHandsEV]])=2,6,IF(RIGHT(Table3[[#This Row],[StartingHandsEV]])="s",4,12))</f>
        <v>4</v>
      </c>
    </row>
    <row r="164" spans="1:7" x14ac:dyDescent="0.25">
      <c r="A164">
        <v>163</v>
      </c>
      <c r="B164">
        <f>SUM($D$2:D164)/Table3[[#Totals],[CombosU]]</f>
        <v>0.96380090497737558</v>
      </c>
      <c r="C164" t="s">
        <v>168</v>
      </c>
      <c r="D164">
        <f>IF(LEN(Table3[[#This Row],[Unimproved]])=2,6,IF(RIGHT(Table3[[#This Row],[Unimproved]])="s",4,12))</f>
        <v>12</v>
      </c>
      <c r="E164">
        <f>SUM($G$2:G164)/Table3[[#Totals],[CombosSHEV]]</f>
        <v>0.9698340874811463</v>
      </c>
      <c r="F164" t="s">
        <v>171</v>
      </c>
      <c r="G164">
        <f>IF(LEN(Table3[[#This Row],[StartingHandsEV]])=2,6,IF(RIGHT(Table3[[#This Row],[StartingHandsEV]])="s",4,12))</f>
        <v>4</v>
      </c>
    </row>
    <row r="165" spans="1:7" x14ac:dyDescent="0.25">
      <c r="A165">
        <v>164</v>
      </c>
      <c r="B165">
        <f>SUM($D$2:D165)/Table3[[#Totals],[CombosU]]</f>
        <v>0.96681749622926094</v>
      </c>
      <c r="C165" t="s">
        <v>169</v>
      </c>
      <c r="D165">
        <f>IF(LEN(Table3[[#This Row],[Unimproved]])=2,6,IF(RIGHT(Table3[[#This Row],[Unimproved]])="s",4,12))</f>
        <v>4</v>
      </c>
      <c r="E165">
        <f>SUM($G$2:G165)/Table3[[#Totals],[CombosSHEV]]</f>
        <v>0.97888386123680238</v>
      </c>
      <c r="F165" t="s">
        <v>174</v>
      </c>
      <c r="G165">
        <f>IF(LEN(Table3[[#This Row],[StartingHandsEV]])=2,6,IF(RIGHT(Table3[[#This Row],[StartingHandsEV]])="s",4,12))</f>
        <v>12</v>
      </c>
    </row>
    <row r="166" spans="1:7" x14ac:dyDescent="0.25">
      <c r="A166">
        <v>165</v>
      </c>
      <c r="B166">
        <f>SUM($D$2:D166)/Table3[[#Totals],[CombosU]]</f>
        <v>0.97586726998491702</v>
      </c>
      <c r="C166" t="s">
        <v>170</v>
      </c>
      <c r="D166">
        <f>IF(LEN(Table3[[#This Row],[Unimproved]])=2,6,IF(RIGHT(Table3[[#This Row],[Unimproved]])="s",4,12))</f>
        <v>12</v>
      </c>
      <c r="E166">
        <f>SUM($G$2:G166)/Table3[[#Totals],[CombosSHEV]]</f>
        <v>0.98793363499245856</v>
      </c>
      <c r="F166" t="s">
        <v>42</v>
      </c>
      <c r="G166">
        <f>IF(LEN(Table3[[#This Row],[StartingHandsEV]])=2,6,IF(RIGHT(Table3[[#This Row],[StartingHandsEV]])="s",4,12))</f>
        <v>12</v>
      </c>
    </row>
    <row r="167" spans="1:7" x14ac:dyDescent="0.25">
      <c r="A167">
        <v>166</v>
      </c>
      <c r="B167">
        <f>SUM($D$2:D167)/Table3[[#Totals],[CombosU]]</f>
        <v>0.97888386123680238</v>
      </c>
      <c r="C167" t="s">
        <v>171</v>
      </c>
      <c r="D167">
        <f>IF(LEN(Table3[[#This Row],[Unimproved]])=2,6,IF(RIGHT(Table3[[#This Row],[Unimproved]])="s",4,12))</f>
        <v>4</v>
      </c>
      <c r="E167">
        <f>SUM($G$2:G167)/Table3[[#Totals],[CombosSHEV]]</f>
        <v>0.99095022624434392</v>
      </c>
      <c r="F167" t="s">
        <v>127</v>
      </c>
      <c r="G167">
        <f>IF(LEN(Table3[[#This Row],[StartingHandsEV]])=2,6,IF(RIGHT(Table3[[#This Row],[StartingHandsEV]])="s",4,12))</f>
        <v>4</v>
      </c>
    </row>
    <row r="168" spans="1:7" x14ac:dyDescent="0.25">
      <c r="A168">
        <v>167</v>
      </c>
      <c r="B168">
        <f>SUM($D$2:D168)/Table3[[#Totals],[CombosU]]</f>
        <v>0.98793363499245856</v>
      </c>
      <c r="C168" t="s">
        <v>172</v>
      </c>
      <c r="D168">
        <f>IF(LEN(Table3[[#This Row],[Unimproved]])=2,6,IF(RIGHT(Table3[[#This Row],[Unimproved]])="s",4,12))</f>
        <v>12</v>
      </c>
      <c r="E168">
        <f>SUM($G$2:G168)/Table3[[#Totals],[CombosSHEV]]</f>
        <v>0.99396681749622928</v>
      </c>
      <c r="F168" t="s">
        <v>141</v>
      </c>
      <c r="G168">
        <f>IF(LEN(Table3[[#This Row],[StartingHandsEV]])=2,6,IF(RIGHT(Table3[[#This Row],[StartingHandsEV]])="s",4,12))</f>
        <v>4</v>
      </c>
    </row>
    <row r="169" spans="1:7" x14ac:dyDescent="0.25">
      <c r="A169">
        <v>168</v>
      </c>
      <c r="B169">
        <f>SUM($D$2:D169)/Table3[[#Totals],[CombosU]]</f>
        <v>0.99095022624434392</v>
      </c>
      <c r="C169" t="s">
        <v>173</v>
      </c>
      <c r="D169">
        <f>IF(LEN(Table3[[#This Row],[Unimproved]])=2,6,IF(RIGHT(Table3[[#This Row],[Unimproved]])="s",4,12))</f>
        <v>4</v>
      </c>
      <c r="E169">
        <f>SUM($G$2:G169)/Table3[[#Totals],[CombosSHEV]]</f>
        <v>0.99698340874811464</v>
      </c>
      <c r="F169" t="s">
        <v>153</v>
      </c>
      <c r="G169">
        <f>IF(LEN(Table3[[#This Row],[StartingHandsEV]])=2,6,IF(RIGHT(Table3[[#This Row],[StartingHandsEV]])="s",4,12))</f>
        <v>4</v>
      </c>
    </row>
    <row r="170" spans="1:7" x14ac:dyDescent="0.25">
      <c r="A170">
        <v>169</v>
      </c>
      <c r="B170">
        <f>SUM($D$2:D170)/Table3[[#Totals],[CombosU]]</f>
        <v>1</v>
      </c>
      <c r="C170" t="s">
        <v>174</v>
      </c>
      <c r="D170">
        <f>IF(LEN(Table3[[#This Row],[Unimproved]])=2,6,IF(RIGHT(Table3[[#This Row],[Unimproved]])="s",4,12))</f>
        <v>12</v>
      </c>
      <c r="E170">
        <f>SUM($G$2:G170)/Table3[[#Totals],[CombosSHEV]]</f>
        <v>1</v>
      </c>
      <c r="F170" t="s">
        <v>173</v>
      </c>
      <c r="G170">
        <f>IF(LEN(Table3[[#This Row],[StartingHandsEV]])=2,6,IF(RIGHT(Table3[[#This Row],[StartingHandsEV]])="s",4,12))</f>
        <v>4</v>
      </c>
    </row>
    <row r="171" spans="1:7" x14ac:dyDescent="0.25">
      <c r="D171">
        <f>SUBTOTAL(109,Table3[CombosU])</f>
        <v>1326</v>
      </c>
      <c r="G171">
        <f>SUBTOTAL(109,Table3[CombosSHEV])</f>
        <v>1326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sqref="A1:C1"/>
    </sheetView>
  </sheetViews>
  <sheetFormatPr defaultRowHeight="15" x14ac:dyDescent="0.25"/>
  <cols>
    <col min="2" max="2" width="10.42578125" customWidth="1"/>
    <col min="3" max="3" width="11.7109375" bestFit="1" customWidth="1"/>
  </cols>
  <sheetData>
    <row r="1" spans="1:3" x14ac:dyDescent="0.25">
      <c r="A1" t="s">
        <v>12</v>
      </c>
      <c r="B1" t="s">
        <v>178</v>
      </c>
      <c r="C1" t="s">
        <v>184</v>
      </c>
    </row>
    <row r="2" spans="1:3" x14ac:dyDescent="0.25">
      <c r="A2">
        <v>1</v>
      </c>
      <c r="B2" t="s">
        <v>179</v>
      </c>
      <c r="C2" t="s">
        <v>198</v>
      </c>
    </row>
    <row r="3" spans="1:3" x14ac:dyDescent="0.25">
      <c r="A3">
        <v>2</v>
      </c>
      <c r="B3" t="s">
        <v>180</v>
      </c>
      <c r="C3" t="s">
        <v>199</v>
      </c>
    </row>
    <row r="4" spans="1:3" x14ac:dyDescent="0.25">
      <c r="A4">
        <v>3</v>
      </c>
      <c r="B4" t="s">
        <v>185</v>
      </c>
      <c r="C4" t="s">
        <v>181</v>
      </c>
    </row>
    <row r="5" spans="1:3" x14ac:dyDescent="0.25">
      <c r="A5">
        <v>4</v>
      </c>
      <c r="B5" t="s">
        <v>186</v>
      </c>
      <c r="C5" t="s">
        <v>182</v>
      </c>
    </row>
    <row r="6" spans="1:3" x14ac:dyDescent="0.25">
      <c r="A6">
        <v>5</v>
      </c>
      <c r="B6" t="s">
        <v>187</v>
      </c>
      <c r="C6" t="s">
        <v>183</v>
      </c>
    </row>
    <row r="7" spans="1:3" x14ac:dyDescent="0.25">
      <c r="A7">
        <v>6</v>
      </c>
      <c r="B7" t="s">
        <v>188</v>
      </c>
      <c r="C7" t="s">
        <v>193</v>
      </c>
    </row>
    <row r="8" spans="1:3" x14ac:dyDescent="0.25">
      <c r="A8">
        <v>7</v>
      </c>
      <c r="B8" t="s">
        <v>189</v>
      </c>
      <c r="C8" t="s">
        <v>194</v>
      </c>
    </row>
    <row r="9" spans="1:3" x14ac:dyDescent="0.25">
      <c r="A9">
        <v>8</v>
      </c>
      <c r="B9" t="s">
        <v>190</v>
      </c>
      <c r="C9" t="s">
        <v>195</v>
      </c>
    </row>
    <row r="10" spans="1:3" x14ac:dyDescent="0.25">
      <c r="A10">
        <v>9</v>
      </c>
      <c r="B10" t="s">
        <v>191</v>
      </c>
      <c r="C10" t="s">
        <v>196</v>
      </c>
    </row>
    <row r="11" spans="1:3" x14ac:dyDescent="0.25">
      <c r="A11">
        <v>10</v>
      </c>
      <c r="B11" t="s">
        <v>192</v>
      </c>
      <c r="C11" t="s">
        <v>197</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3"/>
  <sheetViews>
    <sheetView workbookViewId="0">
      <selection activeCell="A2" sqref="A2"/>
    </sheetView>
  </sheetViews>
  <sheetFormatPr defaultRowHeight="15" x14ac:dyDescent="0.25"/>
  <cols>
    <col min="3" max="3" width="11" bestFit="1" customWidth="1"/>
    <col min="7" max="7" width="17" bestFit="1" customWidth="1"/>
    <col min="8" max="8" width="15.140625" bestFit="1" customWidth="1"/>
  </cols>
  <sheetData>
    <row r="1" spans="1:8" x14ac:dyDescent="0.25">
      <c r="A1" t="s">
        <v>364</v>
      </c>
    </row>
    <row r="3" spans="1:8" x14ac:dyDescent="0.25">
      <c r="A3" s="3" t="s">
        <v>346</v>
      </c>
      <c r="B3" s="3" t="s">
        <v>11</v>
      </c>
      <c r="C3" s="3" t="s">
        <v>244</v>
      </c>
      <c r="D3" s="3" t="s">
        <v>347</v>
      </c>
      <c r="E3" s="3" t="s">
        <v>178</v>
      </c>
      <c r="F3" s="3"/>
      <c r="G3" s="3" t="s">
        <v>350</v>
      </c>
      <c r="H3" s="3" t="s">
        <v>349</v>
      </c>
    </row>
    <row r="4" spans="1:8" x14ac:dyDescent="0.25">
      <c r="A4">
        <f ca="1">INT(RAND()*52)+1</f>
        <v>13</v>
      </c>
      <c r="B4" t="str">
        <f ca="1">VLOOKUP(A4,Card,2)</f>
        <v>Js</v>
      </c>
      <c r="C4" t="str">
        <f ca="1">INDEX(A4:B5,MATCH(MIN(A4:A5),A4:A5,0),2)&amp;INDEX(A4:B5,MATCH(MAX(A4:A5),A4:A5,0),2)</f>
        <v>QcJs</v>
      </c>
      <c r="D4">
        <f ca="1">INT(RAND()*'Info &amp; Settings'!$B$3)+1</f>
        <v>2</v>
      </c>
      <c r="E4" t="str">
        <f t="shared" ref="E4:E67" ca="1" si="0">IF(D4&lt;3,VLOOKUP(3,Postion,2),VLOOKUP(D4,Postion,2))</f>
        <v>B</v>
      </c>
      <c r="G4" t="s">
        <v>245</v>
      </c>
      <c r="H4" t="s">
        <v>187</v>
      </c>
    </row>
    <row r="5" spans="1:8" x14ac:dyDescent="0.25">
      <c r="A5">
        <f ca="1">INT(RAND()*52)+1</f>
        <v>12</v>
      </c>
      <c r="B5" t="str">
        <f t="shared" ref="B5:B68" ca="1" si="1">IF(A5&lt;&gt;A4,VLOOKUP(A5,Card,2),VLOOKUP(A6,Card,2))</f>
        <v>Qc</v>
      </c>
      <c r="C5" t="str">
        <f t="shared" ref="C5:C68" ca="1" si="2">INDEX(A5:B6,MATCH(MIN(A5:A6),A5:A6,0),2)&amp;INDEX(A5:B6,MATCH(MAX(A5:A6),A5:A6,0),2)</f>
        <v>AcQc</v>
      </c>
      <c r="D5">
        <f ca="1">INT(RAND()*'Info &amp; Settings'!$B$3)+1</f>
        <v>3</v>
      </c>
      <c r="E5" t="str">
        <f t="shared" ca="1" si="0"/>
        <v>B</v>
      </c>
      <c r="G5" t="s">
        <v>246</v>
      </c>
      <c r="H5" t="s">
        <v>186</v>
      </c>
    </row>
    <row r="6" spans="1:8" x14ac:dyDescent="0.25">
      <c r="A6">
        <f t="shared" ref="A6:A69" ca="1" si="3">INT(RAND()*52)+1</f>
        <v>4</v>
      </c>
      <c r="B6" t="str">
        <f t="shared" ca="1" si="1"/>
        <v>Ac</v>
      </c>
      <c r="C6" t="str">
        <f t="shared" ca="1" si="2"/>
        <v>Ac3s</v>
      </c>
      <c r="D6">
        <f ca="1">INT(RAND()*'Info &amp; Settings'!$B$3)+1</f>
        <v>2</v>
      </c>
      <c r="E6" t="str">
        <f t="shared" ca="1" si="0"/>
        <v>B</v>
      </c>
      <c r="G6" t="s">
        <v>247</v>
      </c>
      <c r="H6" t="s">
        <v>187</v>
      </c>
    </row>
    <row r="7" spans="1:8" x14ac:dyDescent="0.25">
      <c r="A7">
        <f t="shared" ca="1" si="3"/>
        <v>45</v>
      </c>
      <c r="B7" t="str">
        <f t="shared" ca="1" si="1"/>
        <v>3s</v>
      </c>
      <c r="C7" t="str">
        <f t="shared" ca="1" si="2"/>
        <v>3s2d</v>
      </c>
      <c r="D7">
        <f ca="1">INT(RAND()*'Info &amp; Settings'!$B$3)+1</f>
        <v>5</v>
      </c>
      <c r="E7" t="str">
        <f t="shared" ca="1" si="0"/>
        <v>HJ</v>
      </c>
      <c r="G7" t="s">
        <v>248</v>
      </c>
      <c r="H7" t="s">
        <v>185</v>
      </c>
    </row>
    <row r="8" spans="1:8" x14ac:dyDescent="0.25">
      <c r="A8">
        <f t="shared" ca="1" si="3"/>
        <v>51</v>
      </c>
      <c r="B8" t="str">
        <f t="shared" ca="1" si="1"/>
        <v>2d</v>
      </c>
      <c r="C8" t="str">
        <f t="shared" ca="1" si="2"/>
        <v>Jd2d</v>
      </c>
      <c r="D8">
        <f ca="1">INT(RAND()*'Info &amp; Settings'!$B$3)+1</f>
        <v>2</v>
      </c>
      <c r="E8" t="str">
        <f t="shared" ca="1" si="0"/>
        <v>B</v>
      </c>
      <c r="G8" t="s">
        <v>249</v>
      </c>
      <c r="H8" t="s">
        <v>187</v>
      </c>
    </row>
    <row r="9" spans="1:8" x14ac:dyDescent="0.25">
      <c r="A9">
        <f t="shared" ca="1" si="3"/>
        <v>15</v>
      </c>
      <c r="B9" t="str">
        <f t="shared" ca="1" si="1"/>
        <v>Jd</v>
      </c>
      <c r="C9" t="str">
        <f t="shared" ca="1" si="2"/>
        <v>Jd4s</v>
      </c>
      <c r="D9">
        <f ca="1">INT(RAND()*'Info &amp; Settings'!$B$3)+1</f>
        <v>3</v>
      </c>
      <c r="E9" t="str">
        <f t="shared" ca="1" si="0"/>
        <v>B</v>
      </c>
      <c r="G9" t="s">
        <v>250</v>
      </c>
      <c r="H9" t="s">
        <v>188</v>
      </c>
    </row>
    <row r="10" spans="1:8" x14ac:dyDescent="0.25">
      <c r="A10">
        <f t="shared" ca="1" si="3"/>
        <v>41</v>
      </c>
      <c r="B10" t="str">
        <f t="shared" ca="1" si="1"/>
        <v>4s</v>
      </c>
      <c r="C10" t="str">
        <f t="shared" ca="1" si="2"/>
        <v>4s2c</v>
      </c>
      <c r="D10">
        <f ca="1">INT(RAND()*'Info &amp; Settings'!$B$3)+1</f>
        <v>1</v>
      </c>
      <c r="E10" t="str">
        <f t="shared" ca="1" si="0"/>
        <v>B</v>
      </c>
      <c r="G10" t="s">
        <v>251</v>
      </c>
      <c r="H10" t="s">
        <v>188</v>
      </c>
    </row>
    <row r="11" spans="1:8" x14ac:dyDescent="0.25">
      <c r="A11">
        <f t="shared" ca="1" si="3"/>
        <v>52</v>
      </c>
      <c r="B11" t="str">
        <f t="shared" ca="1" si="1"/>
        <v>2c</v>
      </c>
      <c r="C11" t="str">
        <f t="shared" ca="1" si="2"/>
        <v>Td2c</v>
      </c>
      <c r="D11">
        <f ca="1">INT(RAND()*'Info &amp; Settings'!$B$3)+1</f>
        <v>6</v>
      </c>
      <c r="E11" t="str">
        <f t="shared" ca="1" si="0"/>
        <v>LJ</v>
      </c>
      <c r="G11" t="s">
        <v>252</v>
      </c>
      <c r="H11" t="s">
        <v>187</v>
      </c>
    </row>
    <row r="12" spans="1:8" x14ac:dyDescent="0.25">
      <c r="A12">
        <f t="shared" ca="1" si="3"/>
        <v>19</v>
      </c>
      <c r="B12" t="str">
        <f t="shared" ca="1" si="1"/>
        <v>Td</v>
      </c>
      <c r="C12" t="str">
        <f t="shared" ca="1" si="2"/>
        <v>JcTd</v>
      </c>
      <c r="D12">
        <f ca="1">INT(RAND()*'Info &amp; Settings'!$B$3)+1</f>
        <v>3</v>
      </c>
      <c r="E12" t="str">
        <f t="shared" ca="1" si="0"/>
        <v>B</v>
      </c>
      <c r="G12" t="s">
        <v>253</v>
      </c>
      <c r="H12" t="s">
        <v>186</v>
      </c>
    </row>
    <row r="13" spans="1:8" x14ac:dyDescent="0.25">
      <c r="A13">
        <f t="shared" ca="1" si="3"/>
        <v>16</v>
      </c>
      <c r="B13" t="str">
        <f t="shared" ca="1" si="1"/>
        <v>Jc</v>
      </c>
      <c r="C13" t="str">
        <f t="shared" ca="1" si="2"/>
        <v>Jc4s</v>
      </c>
      <c r="D13">
        <f ca="1">INT(RAND()*'Info &amp; Settings'!$B$3)+1</f>
        <v>6</v>
      </c>
      <c r="E13" t="str">
        <f t="shared" ca="1" si="0"/>
        <v>LJ</v>
      </c>
      <c r="G13" t="s">
        <v>254</v>
      </c>
      <c r="H13" t="s">
        <v>188</v>
      </c>
    </row>
    <row r="14" spans="1:8" x14ac:dyDescent="0.25">
      <c r="A14">
        <f t="shared" ca="1" si="3"/>
        <v>41</v>
      </c>
      <c r="B14" t="str">
        <f t="shared" ca="1" si="1"/>
        <v>4s</v>
      </c>
      <c r="C14" t="str">
        <f t="shared" ca="1" si="2"/>
        <v>Jd4s</v>
      </c>
      <c r="D14">
        <f ca="1">INT(RAND()*'Info &amp; Settings'!$B$3)+1</f>
        <v>1</v>
      </c>
      <c r="E14" t="str">
        <f t="shared" ca="1" si="0"/>
        <v>B</v>
      </c>
      <c r="G14" t="s">
        <v>255</v>
      </c>
      <c r="H14" t="s">
        <v>185</v>
      </c>
    </row>
    <row r="15" spans="1:8" x14ac:dyDescent="0.25">
      <c r="A15">
        <f t="shared" ca="1" si="3"/>
        <v>15</v>
      </c>
      <c r="B15" t="str">
        <f t="shared" ca="1" si="1"/>
        <v>Jd</v>
      </c>
      <c r="C15" t="str">
        <f t="shared" ca="1" si="2"/>
        <v>Jd7d</v>
      </c>
      <c r="D15">
        <f ca="1">INT(RAND()*'Info &amp; Settings'!$B$3)+1</f>
        <v>5</v>
      </c>
      <c r="E15" t="str">
        <f t="shared" ca="1" si="0"/>
        <v>HJ</v>
      </c>
      <c r="G15" t="s">
        <v>256</v>
      </c>
      <c r="H15" t="s">
        <v>185</v>
      </c>
    </row>
    <row r="16" spans="1:8" x14ac:dyDescent="0.25">
      <c r="A16">
        <f t="shared" ca="1" si="3"/>
        <v>31</v>
      </c>
      <c r="B16" t="str">
        <f t="shared" ca="1" si="1"/>
        <v>7d</v>
      </c>
      <c r="C16" t="str">
        <f t="shared" ca="1" si="2"/>
        <v>Qs7d</v>
      </c>
      <c r="D16">
        <f ca="1">INT(RAND()*'Info &amp; Settings'!$B$3)+1</f>
        <v>2</v>
      </c>
      <c r="E16" t="str">
        <f t="shared" ca="1" si="0"/>
        <v>B</v>
      </c>
      <c r="G16" t="s">
        <v>257</v>
      </c>
      <c r="H16" t="s">
        <v>185</v>
      </c>
    </row>
    <row r="17" spans="1:8" x14ac:dyDescent="0.25">
      <c r="A17">
        <f t="shared" ca="1" si="3"/>
        <v>9</v>
      </c>
      <c r="B17" t="str">
        <f t="shared" ca="1" si="1"/>
        <v>Qs</v>
      </c>
      <c r="C17" t="str">
        <f t="shared" ca="1" si="2"/>
        <v>QsQh</v>
      </c>
      <c r="D17">
        <f ca="1">INT(RAND()*'Info &amp; Settings'!$B$3)+1</f>
        <v>3</v>
      </c>
      <c r="E17" t="str">
        <f t="shared" ca="1" si="0"/>
        <v>B</v>
      </c>
      <c r="G17" t="s">
        <v>258</v>
      </c>
      <c r="H17" t="s">
        <v>186</v>
      </c>
    </row>
    <row r="18" spans="1:8" x14ac:dyDescent="0.25">
      <c r="A18">
        <f t="shared" ca="1" si="3"/>
        <v>10</v>
      </c>
      <c r="B18" t="str">
        <f t="shared" ca="1" si="1"/>
        <v>Qh</v>
      </c>
      <c r="C18" t="str">
        <f t="shared" ca="1" si="2"/>
        <v>QhTs</v>
      </c>
      <c r="D18">
        <f ca="1">INT(RAND()*'Info &amp; Settings'!$B$3)+1</f>
        <v>3</v>
      </c>
      <c r="E18" t="str">
        <f t="shared" ca="1" si="0"/>
        <v>B</v>
      </c>
      <c r="G18" t="s">
        <v>259</v>
      </c>
      <c r="H18" t="s">
        <v>185</v>
      </c>
    </row>
    <row r="19" spans="1:8" x14ac:dyDescent="0.25">
      <c r="A19">
        <f t="shared" ca="1" si="3"/>
        <v>17</v>
      </c>
      <c r="B19" t="str">
        <f t="shared" ca="1" si="1"/>
        <v>Ts</v>
      </c>
      <c r="C19" t="str">
        <f t="shared" ca="1" si="2"/>
        <v>KsTs</v>
      </c>
      <c r="D19">
        <f ca="1">INT(RAND()*'Info &amp; Settings'!$B$3)+1</f>
        <v>2</v>
      </c>
      <c r="E19" t="str">
        <f t="shared" ca="1" si="0"/>
        <v>B</v>
      </c>
      <c r="G19" t="s">
        <v>260</v>
      </c>
      <c r="H19" t="s">
        <v>185</v>
      </c>
    </row>
    <row r="20" spans="1:8" x14ac:dyDescent="0.25">
      <c r="A20">
        <f t="shared" ca="1" si="3"/>
        <v>5</v>
      </c>
      <c r="B20" t="str">
        <f t="shared" ca="1" si="1"/>
        <v>Ks</v>
      </c>
      <c r="C20" t="str">
        <f t="shared" ca="1" si="2"/>
        <v>AcKs</v>
      </c>
      <c r="D20">
        <f ca="1">INT(RAND()*'Info &amp; Settings'!$B$3)+1</f>
        <v>2</v>
      </c>
      <c r="E20" t="str">
        <f t="shared" ca="1" si="0"/>
        <v>B</v>
      </c>
      <c r="G20" t="s">
        <v>261</v>
      </c>
      <c r="H20" t="s">
        <v>185</v>
      </c>
    </row>
    <row r="21" spans="1:8" x14ac:dyDescent="0.25">
      <c r="A21">
        <f t="shared" ca="1" si="3"/>
        <v>4</v>
      </c>
      <c r="B21" t="str">
        <f t="shared" ca="1" si="1"/>
        <v>Ac</v>
      </c>
      <c r="C21" t="str">
        <f t="shared" ca="1" si="2"/>
        <v>AcTs</v>
      </c>
      <c r="D21">
        <f ca="1">INT(RAND()*'Info &amp; Settings'!$B$3)+1</f>
        <v>6</v>
      </c>
      <c r="E21" t="str">
        <f t="shared" ca="1" si="0"/>
        <v>LJ</v>
      </c>
      <c r="G21" t="s">
        <v>262</v>
      </c>
      <c r="H21" t="s">
        <v>185</v>
      </c>
    </row>
    <row r="22" spans="1:8" x14ac:dyDescent="0.25">
      <c r="A22">
        <f t="shared" ca="1" si="3"/>
        <v>17</v>
      </c>
      <c r="B22" t="str">
        <f t="shared" ca="1" si="1"/>
        <v>Ts</v>
      </c>
      <c r="C22" t="str">
        <f t="shared" ca="1" si="2"/>
        <v>Ts6c</v>
      </c>
      <c r="D22">
        <f ca="1">INT(RAND()*'Info &amp; Settings'!$B$3)+1</f>
        <v>5</v>
      </c>
      <c r="E22" t="str">
        <f t="shared" ca="1" si="0"/>
        <v>HJ</v>
      </c>
      <c r="G22" t="s">
        <v>263</v>
      </c>
      <c r="H22" t="s">
        <v>188</v>
      </c>
    </row>
    <row r="23" spans="1:8" x14ac:dyDescent="0.25">
      <c r="A23">
        <f t="shared" ca="1" si="3"/>
        <v>36</v>
      </c>
      <c r="B23" t="str">
        <f t="shared" ca="1" si="1"/>
        <v>6c</v>
      </c>
      <c r="C23" t="str">
        <f t="shared" ca="1" si="2"/>
        <v>Kh6c</v>
      </c>
      <c r="D23">
        <f ca="1">INT(RAND()*'Info &amp; Settings'!$B$3)+1</f>
        <v>6</v>
      </c>
      <c r="E23" t="str">
        <f t="shared" ca="1" si="0"/>
        <v>LJ</v>
      </c>
      <c r="G23" t="s">
        <v>264</v>
      </c>
      <c r="H23" t="s">
        <v>186</v>
      </c>
    </row>
    <row r="24" spans="1:8" x14ac:dyDescent="0.25">
      <c r="A24">
        <f t="shared" ca="1" si="3"/>
        <v>6</v>
      </c>
      <c r="B24" t="str">
        <f t="shared" ca="1" si="1"/>
        <v>Kh</v>
      </c>
      <c r="C24" t="str">
        <f t="shared" ca="1" si="2"/>
        <v>KhKc</v>
      </c>
      <c r="D24">
        <f ca="1">INT(RAND()*'Info &amp; Settings'!$B$3)+1</f>
        <v>1</v>
      </c>
      <c r="E24" t="str">
        <f t="shared" ca="1" si="0"/>
        <v>B</v>
      </c>
      <c r="G24" t="s">
        <v>265</v>
      </c>
      <c r="H24" t="s">
        <v>185</v>
      </c>
    </row>
    <row r="25" spans="1:8" x14ac:dyDescent="0.25">
      <c r="A25">
        <f t="shared" ca="1" si="3"/>
        <v>8</v>
      </c>
      <c r="B25" t="str">
        <f t="shared" ca="1" si="1"/>
        <v>Kc</v>
      </c>
      <c r="C25" t="str">
        <f t="shared" ca="1" si="2"/>
        <v>Kc2s</v>
      </c>
      <c r="D25">
        <f ca="1">INT(RAND()*'Info &amp; Settings'!$B$3)+1</f>
        <v>6</v>
      </c>
      <c r="E25" t="str">
        <f t="shared" ca="1" si="0"/>
        <v>LJ</v>
      </c>
      <c r="G25" t="s">
        <v>266</v>
      </c>
      <c r="H25" t="s">
        <v>185</v>
      </c>
    </row>
    <row r="26" spans="1:8" x14ac:dyDescent="0.25">
      <c r="A26">
        <f t="shared" ca="1" si="3"/>
        <v>49</v>
      </c>
      <c r="B26" t="str">
        <f t="shared" ca="1" si="1"/>
        <v>2s</v>
      </c>
      <c r="C26" t="str">
        <f t="shared" ca="1" si="2"/>
        <v>8h2s</v>
      </c>
      <c r="D26">
        <f ca="1">INT(RAND()*'Info &amp; Settings'!$B$3)+1</f>
        <v>2</v>
      </c>
      <c r="E26" t="str">
        <f t="shared" ca="1" si="0"/>
        <v>B</v>
      </c>
      <c r="G26" t="s">
        <v>267</v>
      </c>
      <c r="H26" t="s">
        <v>186</v>
      </c>
    </row>
    <row r="27" spans="1:8" x14ac:dyDescent="0.25">
      <c r="A27">
        <f t="shared" ca="1" si="3"/>
        <v>26</v>
      </c>
      <c r="B27" t="str">
        <f t="shared" ca="1" si="1"/>
        <v>8h</v>
      </c>
      <c r="C27" t="str">
        <f t="shared" ca="1" si="2"/>
        <v>As8h</v>
      </c>
      <c r="D27">
        <f ca="1">INT(RAND()*'Info &amp; Settings'!$B$3)+1</f>
        <v>6</v>
      </c>
      <c r="E27" t="str">
        <f t="shared" ca="1" si="0"/>
        <v>LJ</v>
      </c>
      <c r="G27" t="s">
        <v>268</v>
      </c>
      <c r="H27" t="s">
        <v>188</v>
      </c>
    </row>
    <row r="28" spans="1:8" x14ac:dyDescent="0.25">
      <c r="A28">
        <f t="shared" ca="1" si="3"/>
        <v>1</v>
      </c>
      <c r="B28" t="str">
        <f t="shared" ca="1" si="1"/>
        <v>As</v>
      </c>
      <c r="C28" t="str">
        <f t="shared" ca="1" si="2"/>
        <v>AsQc</v>
      </c>
      <c r="D28">
        <f ca="1">INT(RAND()*'Info &amp; Settings'!$B$3)+1</f>
        <v>2</v>
      </c>
      <c r="E28" t="str">
        <f t="shared" ca="1" si="0"/>
        <v>B</v>
      </c>
      <c r="G28" t="s">
        <v>269</v>
      </c>
      <c r="H28" t="s">
        <v>187</v>
      </c>
    </row>
    <row r="29" spans="1:8" x14ac:dyDescent="0.25">
      <c r="A29">
        <f t="shared" ca="1" si="3"/>
        <v>12</v>
      </c>
      <c r="B29" t="str">
        <f t="shared" ca="1" si="1"/>
        <v>Qc</v>
      </c>
      <c r="C29" t="str">
        <f t="shared" ca="1" si="2"/>
        <v>Qc3s</v>
      </c>
      <c r="D29">
        <f ca="1">INT(RAND()*'Info &amp; Settings'!$B$3)+1</f>
        <v>4</v>
      </c>
      <c r="E29" t="str">
        <f t="shared" ca="1" si="0"/>
        <v>CO</v>
      </c>
      <c r="G29" t="s">
        <v>270</v>
      </c>
      <c r="H29" t="s">
        <v>185</v>
      </c>
    </row>
    <row r="30" spans="1:8" x14ac:dyDescent="0.25">
      <c r="A30">
        <f t="shared" ca="1" si="3"/>
        <v>45</v>
      </c>
      <c r="B30" t="str">
        <f t="shared" ca="1" si="1"/>
        <v>3s</v>
      </c>
      <c r="C30" t="str">
        <f t="shared" ca="1" si="2"/>
        <v>4s3s</v>
      </c>
      <c r="D30">
        <f ca="1">INT(RAND()*'Info &amp; Settings'!$B$3)+1</f>
        <v>5</v>
      </c>
      <c r="E30" t="str">
        <f t="shared" ca="1" si="0"/>
        <v>HJ</v>
      </c>
      <c r="G30" t="s">
        <v>271</v>
      </c>
      <c r="H30" t="s">
        <v>185</v>
      </c>
    </row>
    <row r="31" spans="1:8" x14ac:dyDescent="0.25">
      <c r="A31">
        <f t="shared" ca="1" si="3"/>
        <v>41</v>
      </c>
      <c r="B31" t="str">
        <f t="shared" ca="1" si="1"/>
        <v>4s</v>
      </c>
      <c r="C31" t="str">
        <f t="shared" ca="1" si="2"/>
        <v>6h4s</v>
      </c>
      <c r="D31">
        <f ca="1">INT(RAND()*'Info &amp; Settings'!$B$3)+1</f>
        <v>5</v>
      </c>
      <c r="E31" t="str">
        <f t="shared" ca="1" si="0"/>
        <v>HJ</v>
      </c>
      <c r="G31" t="s">
        <v>272</v>
      </c>
      <c r="H31" t="s">
        <v>185</v>
      </c>
    </row>
    <row r="32" spans="1:8" x14ac:dyDescent="0.25">
      <c r="A32">
        <f t="shared" ca="1" si="3"/>
        <v>34</v>
      </c>
      <c r="B32" t="str">
        <f t="shared" ca="1" si="1"/>
        <v>6h</v>
      </c>
      <c r="C32" t="str">
        <f t="shared" ca="1" si="2"/>
        <v>8s6h</v>
      </c>
      <c r="D32">
        <f ca="1">INT(RAND()*'Info &amp; Settings'!$B$3)+1</f>
        <v>1</v>
      </c>
      <c r="E32" t="str">
        <f t="shared" ca="1" si="0"/>
        <v>B</v>
      </c>
      <c r="G32" t="s">
        <v>273</v>
      </c>
      <c r="H32" t="s">
        <v>185</v>
      </c>
    </row>
    <row r="33" spans="1:8" x14ac:dyDescent="0.25">
      <c r="A33">
        <f t="shared" ca="1" si="3"/>
        <v>25</v>
      </c>
      <c r="B33" t="str">
        <f t="shared" ca="1" si="1"/>
        <v>8s</v>
      </c>
      <c r="C33" t="str">
        <f t="shared" ca="1" si="2"/>
        <v>Ks8s</v>
      </c>
      <c r="D33">
        <f ca="1">INT(RAND()*'Info &amp; Settings'!$B$3)+1</f>
        <v>6</v>
      </c>
      <c r="E33" t="str">
        <f t="shared" ca="1" si="0"/>
        <v>LJ</v>
      </c>
      <c r="G33" t="s">
        <v>274</v>
      </c>
      <c r="H33" t="s">
        <v>185</v>
      </c>
    </row>
    <row r="34" spans="1:8" x14ac:dyDescent="0.25">
      <c r="A34">
        <f t="shared" ca="1" si="3"/>
        <v>5</v>
      </c>
      <c r="B34" t="str">
        <f t="shared" ca="1" si="1"/>
        <v>Ks</v>
      </c>
      <c r="C34" t="str">
        <f t="shared" ca="1" si="2"/>
        <v>Ks9c</v>
      </c>
      <c r="D34">
        <f ca="1">INT(RAND()*'Info &amp; Settings'!$B$3)+1</f>
        <v>2</v>
      </c>
      <c r="E34" t="str">
        <f t="shared" ca="1" si="0"/>
        <v>B</v>
      </c>
      <c r="G34" t="s">
        <v>275</v>
      </c>
      <c r="H34" t="s">
        <v>185</v>
      </c>
    </row>
    <row r="35" spans="1:8" x14ac:dyDescent="0.25">
      <c r="A35">
        <f t="shared" ca="1" si="3"/>
        <v>24</v>
      </c>
      <c r="B35" t="str">
        <f t="shared" ca="1" si="1"/>
        <v>9c</v>
      </c>
      <c r="C35" t="str">
        <f t="shared" ca="1" si="2"/>
        <v>Qc9c</v>
      </c>
      <c r="D35">
        <f ca="1">INT(RAND()*'Info &amp; Settings'!$B$3)+1</f>
        <v>1</v>
      </c>
      <c r="E35" t="str">
        <f t="shared" ca="1" si="0"/>
        <v>B</v>
      </c>
      <c r="G35" t="s">
        <v>276</v>
      </c>
      <c r="H35" t="s">
        <v>185</v>
      </c>
    </row>
    <row r="36" spans="1:8" x14ac:dyDescent="0.25">
      <c r="A36">
        <f t="shared" ca="1" si="3"/>
        <v>12</v>
      </c>
      <c r="B36" t="str">
        <f t="shared" ca="1" si="1"/>
        <v>Qc</v>
      </c>
      <c r="C36" t="str">
        <f t="shared" ca="1" si="2"/>
        <v>KcQc</v>
      </c>
      <c r="D36">
        <f ca="1">INT(RAND()*'Info &amp; Settings'!$B$3)+1</f>
        <v>3</v>
      </c>
      <c r="E36" t="str">
        <f t="shared" ca="1" si="0"/>
        <v>B</v>
      </c>
      <c r="G36" t="s">
        <v>277</v>
      </c>
      <c r="H36" t="s">
        <v>187</v>
      </c>
    </row>
    <row r="37" spans="1:8" x14ac:dyDescent="0.25">
      <c r="A37">
        <f t="shared" ca="1" si="3"/>
        <v>8</v>
      </c>
      <c r="B37" t="str">
        <f t="shared" ca="1" si="1"/>
        <v>Kc</v>
      </c>
      <c r="C37" t="str">
        <f t="shared" ca="1" si="2"/>
        <v>Kc5s</v>
      </c>
      <c r="D37">
        <f ca="1">INT(RAND()*'Info &amp; Settings'!$B$3)+1</f>
        <v>5</v>
      </c>
      <c r="E37" t="str">
        <f t="shared" ca="1" si="0"/>
        <v>HJ</v>
      </c>
      <c r="G37" t="s">
        <v>278</v>
      </c>
      <c r="H37" t="s">
        <v>185</v>
      </c>
    </row>
    <row r="38" spans="1:8" x14ac:dyDescent="0.25">
      <c r="A38">
        <f t="shared" ca="1" si="3"/>
        <v>37</v>
      </c>
      <c r="B38" t="str">
        <f t="shared" ca="1" si="1"/>
        <v>5s</v>
      </c>
      <c r="C38" t="str">
        <f t="shared" ca="1" si="2"/>
        <v>6d5s</v>
      </c>
      <c r="D38">
        <f ca="1">INT(RAND()*'Info &amp; Settings'!$B$3)+1</f>
        <v>1</v>
      </c>
      <c r="E38" t="str">
        <f t="shared" ca="1" si="0"/>
        <v>B</v>
      </c>
      <c r="G38" t="s">
        <v>279</v>
      </c>
      <c r="H38" t="s">
        <v>186</v>
      </c>
    </row>
    <row r="39" spans="1:8" x14ac:dyDescent="0.25">
      <c r="A39">
        <f t="shared" ca="1" si="3"/>
        <v>35</v>
      </c>
      <c r="B39" t="str">
        <f t="shared" ca="1" si="1"/>
        <v>6d</v>
      </c>
      <c r="C39" t="str">
        <f t="shared" ca="1" si="2"/>
        <v>Th6d</v>
      </c>
      <c r="D39">
        <f ca="1">INT(RAND()*'Info &amp; Settings'!$B$3)+1</f>
        <v>1</v>
      </c>
      <c r="E39" t="str">
        <f t="shared" ca="1" si="0"/>
        <v>B</v>
      </c>
      <c r="G39" t="s">
        <v>280</v>
      </c>
      <c r="H39" t="s">
        <v>186</v>
      </c>
    </row>
    <row r="40" spans="1:8" x14ac:dyDescent="0.25">
      <c r="A40">
        <f t="shared" ca="1" si="3"/>
        <v>18</v>
      </c>
      <c r="B40" t="str">
        <f t="shared" ca="1" si="1"/>
        <v>Th</v>
      </c>
      <c r="C40" t="str">
        <f t="shared" ca="1" si="2"/>
        <v>ThTc</v>
      </c>
      <c r="D40">
        <f ca="1">INT(RAND()*'Info &amp; Settings'!$B$3)+1</f>
        <v>2</v>
      </c>
      <c r="E40" t="str">
        <f t="shared" ca="1" si="0"/>
        <v>B</v>
      </c>
      <c r="G40" t="s">
        <v>281</v>
      </c>
      <c r="H40" t="s">
        <v>185</v>
      </c>
    </row>
    <row r="41" spans="1:8" x14ac:dyDescent="0.25">
      <c r="A41">
        <f t="shared" ca="1" si="3"/>
        <v>20</v>
      </c>
      <c r="B41" t="str">
        <f t="shared" ca="1" si="1"/>
        <v>Tc</v>
      </c>
      <c r="C41" t="str">
        <f t="shared" ca="1" si="2"/>
        <v>Tc2s</v>
      </c>
      <c r="D41">
        <f ca="1">INT(RAND()*'Info &amp; Settings'!$B$3)+1</f>
        <v>3</v>
      </c>
      <c r="E41" t="str">
        <f t="shared" ca="1" si="0"/>
        <v>B</v>
      </c>
      <c r="G41" t="s">
        <v>282</v>
      </c>
      <c r="H41" t="s">
        <v>185</v>
      </c>
    </row>
    <row r="42" spans="1:8" x14ac:dyDescent="0.25">
      <c r="A42">
        <f t="shared" ca="1" si="3"/>
        <v>49</v>
      </c>
      <c r="B42" t="str">
        <f t="shared" ca="1" si="1"/>
        <v>2s</v>
      </c>
      <c r="C42" t="str">
        <f t="shared" ca="1" si="2"/>
        <v>4h2s</v>
      </c>
      <c r="D42">
        <f ca="1">INT(RAND()*'Info &amp; Settings'!$B$3)+1</f>
        <v>6</v>
      </c>
      <c r="E42" t="str">
        <f t="shared" ca="1" si="0"/>
        <v>LJ</v>
      </c>
      <c r="G42" t="s">
        <v>283</v>
      </c>
      <c r="H42" t="s">
        <v>188</v>
      </c>
    </row>
    <row r="43" spans="1:8" x14ac:dyDescent="0.25">
      <c r="A43">
        <f t="shared" ca="1" si="3"/>
        <v>42</v>
      </c>
      <c r="B43" t="str">
        <f t="shared" ca="1" si="1"/>
        <v>4h</v>
      </c>
      <c r="C43" t="str">
        <f t="shared" ca="1" si="2"/>
        <v>Qc4h</v>
      </c>
      <c r="D43">
        <f ca="1">INT(RAND()*'Info &amp; Settings'!$B$3)+1</f>
        <v>1</v>
      </c>
      <c r="E43" t="str">
        <f t="shared" ca="1" si="0"/>
        <v>B</v>
      </c>
      <c r="G43" t="s">
        <v>284</v>
      </c>
      <c r="H43" t="s">
        <v>185</v>
      </c>
    </row>
    <row r="44" spans="1:8" x14ac:dyDescent="0.25">
      <c r="A44">
        <f t="shared" ca="1" si="3"/>
        <v>12</v>
      </c>
      <c r="B44" t="str">
        <f t="shared" ca="1" si="1"/>
        <v>Qc</v>
      </c>
      <c r="C44" t="str">
        <f t="shared" ca="1" si="2"/>
        <v>Qc4d</v>
      </c>
      <c r="D44">
        <f ca="1">INT(RAND()*'Info &amp; Settings'!$B$3)+1</f>
        <v>1</v>
      </c>
      <c r="E44" t="str">
        <f t="shared" ca="1" si="0"/>
        <v>B</v>
      </c>
      <c r="G44" t="s">
        <v>285</v>
      </c>
      <c r="H44" t="s">
        <v>185</v>
      </c>
    </row>
    <row r="45" spans="1:8" x14ac:dyDescent="0.25">
      <c r="A45">
        <f t="shared" ca="1" si="3"/>
        <v>43</v>
      </c>
      <c r="B45" t="str">
        <f t="shared" ca="1" si="1"/>
        <v>4d</v>
      </c>
      <c r="C45" t="str">
        <f t="shared" ca="1" si="2"/>
        <v>Qc4d</v>
      </c>
      <c r="D45">
        <f ca="1">INT(RAND()*'Info &amp; Settings'!$B$3)+1</f>
        <v>3</v>
      </c>
      <c r="E45" t="str">
        <f t="shared" ca="1" si="0"/>
        <v>B</v>
      </c>
      <c r="G45" t="s">
        <v>286</v>
      </c>
      <c r="H45" t="s">
        <v>185</v>
      </c>
    </row>
    <row r="46" spans="1:8" x14ac:dyDescent="0.25">
      <c r="A46">
        <f t="shared" ca="1" si="3"/>
        <v>12</v>
      </c>
      <c r="B46" t="str">
        <f t="shared" ca="1" si="1"/>
        <v>Qc</v>
      </c>
      <c r="C46" t="str">
        <f t="shared" ca="1" si="2"/>
        <v>Qc6s</v>
      </c>
      <c r="D46">
        <f ca="1">INT(RAND()*'Info &amp; Settings'!$B$3)+1</f>
        <v>2</v>
      </c>
      <c r="E46" t="str">
        <f t="shared" ca="1" si="0"/>
        <v>B</v>
      </c>
      <c r="G46" t="s">
        <v>287</v>
      </c>
      <c r="H46" t="s">
        <v>187</v>
      </c>
    </row>
    <row r="47" spans="1:8" x14ac:dyDescent="0.25">
      <c r="A47">
        <f t="shared" ca="1" si="3"/>
        <v>33</v>
      </c>
      <c r="B47" t="str">
        <f t="shared" ca="1" si="1"/>
        <v>6s</v>
      </c>
      <c r="C47" t="str">
        <f t="shared" ca="1" si="2"/>
        <v>6s5h</v>
      </c>
      <c r="D47">
        <f ca="1">INT(RAND()*'Info &amp; Settings'!$B$3)+1</f>
        <v>3</v>
      </c>
      <c r="E47" t="str">
        <f t="shared" ca="1" si="0"/>
        <v>B</v>
      </c>
      <c r="G47" t="s">
        <v>288</v>
      </c>
      <c r="H47" t="s">
        <v>187</v>
      </c>
    </row>
    <row r="48" spans="1:8" x14ac:dyDescent="0.25">
      <c r="A48">
        <f t="shared" ca="1" si="3"/>
        <v>38</v>
      </c>
      <c r="B48" t="str">
        <f t="shared" ca="1" si="1"/>
        <v>5h</v>
      </c>
      <c r="C48" t="str">
        <f t="shared" ca="1" si="2"/>
        <v>8d5h</v>
      </c>
      <c r="D48">
        <f ca="1">INT(RAND()*'Info &amp; Settings'!$B$3)+1</f>
        <v>4</v>
      </c>
      <c r="E48" t="str">
        <f t="shared" ca="1" si="0"/>
        <v>CO</v>
      </c>
      <c r="G48" t="s">
        <v>289</v>
      </c>
      <c r="H48" t="s">
        <v>185</v>
      </c>
    </row>
    <row r="49" spans="1:8" x14ac:dyDescent="0.25">
      <c r="A49">
        <f t="shared" ca="1" si="3"/>
        <v>27</v>
      </c>
      <c r="B49" t="str">
        <f t="shared" ca="1" si="1"/>
        <v>8d</v>
      </c>
      <c r="C49" t="str">
        <f t="shared" ca="1" si="2"/>
        <v>8h8d</v>
      </c>
      <c r="D49">
        <f ca="1">INT(RAND()*'Info &amp; Settings'!$B$3)+1</f>
        <v>5</v>
      </c>
      <c r="E49" t="str">
        <f t="shared" ca="1" si="0"/>
        <v>HJ</v>
      </c>
      <c r="G49" t="s">
        <v>290</v>
      </c>
      <c r="H49" t="s">
        <v>185</v>
      </c>
    </row>
    <row r="50" spans="1:8" x14ac:dyDescent="0.25">
      <c r="A50">
        <f t="shared" ca="1" si="3"/>
        <v>26</v>
      </c>
      <c r="B50" t="str">
        <f t="shared" ca="1" si="1"/>
        <v>8h</v>
      </c>
      <c r="C50" t="str">
        <f t="shared" ca="1" si="2"/>
        <v>Qs8h</v>
      </c>
      <c r="D50">
        <f ca="1">INT(RAND()*'Info &amp; Settings'!$B$3)+1</f>
        <v>3</v>
      </c>
      <c r="E50" t="str">
        <f t="shared" ca="1" si="0"/>
        <v>B</v>
      </c>
      <c r="G50" t="s">
        <v>291</v>
      </c>
      <c r="H50" t="s">
        <v>187</v>
      </c>
    </row>
    <row r="51" spans="1:8" x14ac:dyDescent="0.25">
      <c r="A51">
        <f t="shared" ca="1" si="3"/>
        <v>9</v>
      </c>
      <c r="B51" t="str">
        <f t="shared" ca="1" si="1"/>
        <v>Qs</v>
      </c>
      <c r="C51" t="str">
        <f t="shared" ca="1" si="2"/>
        <v>Qs6d</v>
      </c>
      <c r="D51">
        <f ca="1">INT(RAND()*'Info &amp; Settings'!$B$3)+1</f>
        <v>4</v>
      </c>
      <c r="E51" t="str">
        <f t="shared" ca="1" si="0"/>
        <v>CO</v>
      </c>
      <c r="G51" t="s">
        <v>292</v>
      </c>
      <c r="H51" t="s">
        <v>187</v>
      </c>
    </row>
    <row r="52" spans="1:8" x14ac:dyDescent="0.25">
      <c r="A52">
        <f t="shared" ca="1" si="3"/>
        <v>35</v>
      </c>
      <c r="B52" t="str">
        <f t="shared" ca="1" si="1"/>
        <v>6d</v>
      </c>
      <c r="C52" t="str">
        <f t="shared" ca="1" si="2"/>
        <v>6d4s</v>
      </c>
      <c r="D52">
        <f ca="1">INT(RAND()*'Info &amp; Settings'!$B$3)+1</f>
        <v>2</v>
      </c>
      <c r="E52" t="str">
        <f t="shared" ca="1" si="0"/>
        <v>B</v>
      </c>
      <c r="G52" t="s">
        <v>293</v>
      </c>
      <c r="H52" t="s">
        <v>185</v>
      </c>
    </row>
    <row r="53" spans="1:8" x14ac:dyDescent="0.25">
      <c r="A53">
        <f t="shared" ca="1" si="3"/>
        <v>41</v>
      </c>
      <c r="B53" t="str">
        <f t="shared" ca="1" si="1"/>
        <v>4s</v>
      </c>
      <c r="C53" t="str">
        <f t="shared" ca="1" si="2"/>
        <v>4s4s</v>
      </c>
      <c r="D53">
        <f ca="1">INT(RAND()*'Info &amp; Settings'!$B$3)+1</f>
        <v>5</v>
      </c>
      <c r="E53" t="str">
        <f t="shared" ca="1" si="0"/>
        <v>HJ</v>
      </c>
      <c r="G53" t="s">
        <v>294</v>
      </c>
      <c r="H53" t="s">
        <v>185</v>
      </c>
    </row>
  </sheetData>
  <pageMargins left="0.7" right="0.7" top="0.75" bottom="0.75" header="0.3" footer="0.3"/>
  <pageSetup orientation="portrait" r:id="rId1"/>
  <ignoredErrors>
    <ignoredError sqref="B4" formula="1"/>
  </ignoredError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01"/>
  <sheetViews>
    <sheetView workbookViewId="0">
      <selection activeCell="M4" sqref="M4"/>
    </sheetView>
  </sheetViews>
  <sheetFormatPr defaultRowHeight="15" x14ac:dyDescent="0.25"/>
  <cols>
    <col min="1" max="1" width="14.85546875" bestFit="1" customWidth="1"/>
    <col min="2" max="2" width="12" bestFit="1" customWidth="1"/>
    <col min="3" max="3" width="14.85546875" customWidth="1"/>
    <col min="4" max="4" width="16.7109375" bestFit="1" customWidth="1"/>
    <col min="5" max="5" width="10.42578125" customWidth="1"/>
    <col min="6" max="6" width="13.140625" customWidth="1"/>
    <col min="7" max="7" width="10.7109375" customWidth="1"/>
    <col min="8" max="8" width="16.42578125" bestFit="1" customWidth="1"/>
    <col min="9" max="9" width="11.5703125" customWidth="1"/>
    <col min="10" max="10" width="13.140625" bestFit="1" customWidth="1"/>
    <col min="11" max="11" width="20.7109375" bestFit="1" customWidth="1"/>
  </cols>
  <sheetData>
    <row r="1" spans="1:13" x14ac:dyDescent="0.25">
      <c r="A1" s="3" t="s">
        <v>361</v>
      </c>
      <c r="B1" s="3" t="s">
        <v>343</v>
      </c>
      <c r="C1" s="3" t="s">
        <v>342</v>
      </c>
      <c r="D1" s="3" t="s">
        <v>345</v>
      </c>
      <c r="E1" s="3" t="s">
        <v>178</v>
      </c>
      <c r="F1" s="3" t="s">
        <v>244</v>
      </c>
      <c r="G1" s="3" t="s">
        <v>344</v>
      </c>
      <c r="H1" s="3" t="s">
        <v>355</v>
      </c>
      <c r="I1" s="3" t="s">
        <v>208</v>
      </c>
      <c r="J1" s="3" t="s">
        <v>353</v>
      </c>
      <c r="K1" s="3" t="s">
        <v>354</v>
      </c>
      <c r="M1" t="s">
        <v>358</v>
      </c>
    </row>
    <row r="2" spans="1:13" x14ac:dyDescent="0.25">
      <c r="A2" s="7">
        <f ca="1">NOW()</f>
        <v>42862.564959027775</v>
      </c>
      <c r="B2" t="s">
        <v>13</v>
      </c>
      <c r="C2">
        <v>6</v>
      </c>
      <c r="D2">
        <v>5</v>
      </c>
      <c r="E2" t="s">
        <v>187</v>
      </c>
      <c r="F2" t="s">
        <v>245</v>
      </c>
      <c r="G2" t="s">
        <v>351</v>
      </c>
      <c r="H2" t="str">
        <f>IF(MATCH(J2,Table3[Unimproved],0)&lt;MATCH(K2,Table3[Unimproved],0),"open","fold")</f>
        <v>fold</v>
      </c>
      <c r="I2" t="str">
        <f>IF(OR(AND(Table4[[#This Row],[Decision]]="f",Table4[[#This Row],[Desired_Action]]="fold"),AND(Table4[[#This Row],[Decision]]="o",Table4[[#This Row],[Desired_Action]]="open")),"Correct","Incorrect")</f>
        <v>Correct</v>
      </c>
      <c r="J2" t="str">
        <f t="shared" ref="J2:J65" si="0">IF(MID(F2,1,1)=MID(F2,3,1),MID(F2,1,1)&amp;MID(F2,3,1),IF(MID(F2,2,1)=MID(F2,4,1),MID(F2,1,1)&amp;MID(F2,3,1)&amp;"s",MID(F2,1,1)&amp;MID(F2,3,1)&amp;"o"))</f>
        <v>T3o</v>
      </c>
      <c r="K2" t="str">
        <f>VLOOKUP(IF(D2&lt;3,1/3,1/D2),Table3[[%DeckU]:[Unimproved]],2)</f>
        <v>A2s</v>
      </c>
      <c r="M2" t="s">
        <v>356</v>
      </c>
    </row>
    <row r="3" spans="1:13" x14ac:dyDescent="0.25">
      <c r="A3" s="7">
        <f t="shared" ref="A3:A51" ca="1" si="1">NOW()</f>
        <v>42862.564959027775</v>
      </c>
      <c r="B3" t="s">
        <v>13</v>
      </c>
      <c r="C3">
        <v>6</v>
      </c>
      <c r="D3">
        <v>4</v>
      </c>
      <c r="E3" t="s">
        <v>186</v>
      </c>
      <c r="F3" t="s">
        <v>246</v>
      </c>
      <c r="G3" t="s">
        <v>351</v>
      </c>
      <c r="H3" t="str">
        <f>IF(MATCH(J3,Table3[Unimproved],0)&lt;MATCH(K3,Table3[Unimproved],0),"open","fold")</f>
        <v>fold</v>
      </c>
      <c r="I3" t="str">
        <f>IF(OR(AND(Table4[[#This Row],[Decision]]="f",Table4[[#This Row],[Desired_Action]]="fold"),AND(Table4[[#This Row],[Decision]]="o",Table4[[#This Row],[Desired_Action]]="open")),"Correct","Incorrect")</f>
        <v>Correct</v>
      </c>
      <c r="J3" t="str">
        <f t="shared" si="0"/>
        <v>K3o</v>
      </c>
      <c r="K3" t="str">
        <f>VLOOKUP(IF(D3&lt;3,1/3,1/D3),Table3[[%DeckU]:[Unimproved]],2)</f>
        <v>K9s</v>
      </c>
      <c r="M3" t="s">
        <v>359</v>
      </c>
    </row>
    <row r="4" spans="1:13" x14ac:dyDescent="0.25">
      <c r="A4" s="7">
        <f t="shared" ca="1" si="1"/>
        <v>42862.564959027775</v>
      </c>
      <c r="B4" t="s">
        <v>13</v>
      </c>
      <c r="C4">
        <v>6</v>
      </c>
      <c r="D4">
        <v>5</v>
      </c>
      <c r="E4" t="s">
        <v>187</v>
      </c>
      <c r="F4" t="s">
        <v>247</v>
      </c>
      <c r="G4" t="s">
        <v>352</v>
      </c>
      <c r="H4" t="str">
        <f>IF(MATCH(J4,Table3[Unimproved],0)&lt;MATCH(K4,Table3[Unimproved],0),"open","fold")</f>
        <v>open</v>
      </c>
      <c r="I4" t="str">
        <f>IF(OR(AND(Table4[[#This Row],[Decision]]="f",Table4[[#This Row],[Desired_Action]]="fold"),AND(Table4[[#This Row],[Decision]]="o",Table4[[#This Row],[Desired_Action]]="open")),"Correct","Incorrect")</f>
        <v>Correct</v>
      </c>
      <c r="J4" t="str">
        <f t="shared" si="0"/>
        <v>KK</v>
      </c>
      <c r="K4" t="str">
        <f>VLOOKUP(IF(D4&lt;3,1/3,1/D4),Table3[[%DeckU]:[Unimproved]],2)</f>
        <v>A2s</v>
      </c>
    </row>
    <row r="5" spans="1:13" x14ac:dyDescent="0.25">
      <c r="A5" s="7">
        <f t="shared" ca="1" si="1"/>
        <v>42862.564959027775</v>
      </c>
      <c r="B5" t="s">
        <v>13</v>
      </c>
      <c r="C5">
        <v>6</v>
      </c>
      <c r="D5">
        <v>3</v>
      </c>
      <c r="E5" t="s">
        <v>185</v>
      </c>
      <c r="F5" t="s">
        <v>248</v>
      </c>
      <c r="G5" t="s">
        <v>351</v>
      </c>
      <c r="H5" t="str">
        <f>IF(MATCH(J5,Table3[Unimproved],0)&lt;MATCH(K5,Table3[Unimproved],0),"open","fold")</f>
        <v>open</v>
      </c>
      <c r="I5" t="str">
        <f>IF(OR(AND(Table4[[#This Row],[Decision]]="f",Table4[[#This Row],[Desired_Action]]="fold"),AND(Table4[[#This Row],[Decision]]="o",Table4[[#This Row],[Desired_Action]]="open")),"Correct","Incorrect")</f>
        <v>Incorrect</v>
      </c>
      <c r="J5" t="str">
        <f t="shared" si="0"/>
        <v>K5o</v>
      </c>
      <c r="K5" t="str">
        <f>VLOOKUP(IF(D5&lt;3,1/3,1/D5),Table3[[%DeckU]:[Unimproved]],2)</f>
        <v>K2s</v>
      </c>
    </row>
    <row r="6" spans="1:13" x14ac:dyDescent="0.25">
      <c r="A6" s="7">
        <f t="shared" ca="1" si="1"/>
        <v>42862.564959027775</v>
      </c>
      <c r="B6" t="s">
        <v>13</v>
      </c>
      <c r="C6">
        <v>6</v>
      </c>
      <c r="D6">
        <v>5</v>
      </c>
      <c r="E6" t="s">
        <v>187</v>
      </c>
      <c r="F6" t="s">
        <v>249</v>
      </c>
      <c r="G6" t="s">
        <v>351</v>
      </c>
      <c r="H6" t="str">
        <f>IF(MATCH(J6,Table3[Unimproved],0)&lt;MATCH(K6,Table3[Unimproved],0),"open","fold")</f>
        <v>fold</v>
      </c>
      <c r="I6" t="str">
        <f>IF(OR(AND(Table4[[#This Row],[Decision]]="f",Table4[[#This Row],[Desired_Action]]="fold"),AND(Table4[[#This Row],[Decision]]="o",Table4[[#This Row],[Desired_Action]]="open")),"Correct","Incorrect")</f>
        <v>Correct</v>
      </c>
      <c r="J6" t="str">
        <f t="shared" si="0"/>
        <v>85s</v>
      </c>
      <c r="K6" t="str">
        <f>VLOOKUP(IF(D6&lt;3,1/3,1/D6),Table3[[%DeckU]:[Unimproved]],2)</f>
        <v>A2s</v>
      </c>
    </row>
    <row r="7" spans="1:13" x14ac:dyDescent="0.25">
      <c r="A7" s="7">
        <f t="shared" ca="1" si="1"/>
        <v>42862.564959027775</v>
      </c>
      <c r="B7" t="s">
        <v>13</v>
      </c>
      <c r="C7">
        <v>6</v>
      </c>
      <c r="D7">
        <v>6</v>
      </c>
      <c r="E7" t="s">
        <v>188</v>
      </c>
      <c r="F7" t="s">
        <v>250</v>
      </c>
      <c r="G7" t="s">
        <v>351</v>
      </c>
      <c r="H7" t="str">
        <f>IF(MATCH(J7,Table3[Unimproved],0)&lt;MATCH(K7,Table3[Unimproved],0),"open","fold")</f>
        <v>fold</v>
      </c>
      <c r="I7" t="str">
        <f>IF(OR(AND(Table4[[#This Row],[Decision]]="f",Table4[[#This Row],[Desired_Action]]="fold"),AND(Table4[[#This Row],[Decision]]="o",Table4[[#This Row],[Desired_Action]]="open")),"Correct","Incorrect")</f>
        <v>Correct</v>
      </c>
      <c r="J7" t="str">
        <f t="shared" si="0"/>
        <v>86s</v>
      </c>
      <c r="K7" t="str">
        <f>VLOOKUP(IF(D7&lt;3,1/3,1/D7),Table3[[%DeckU]:[Unimproved]],2)</f>
        <v>A5s</v>
      </c>
    </row>
    <row r="8" spans="1:13" x14ac:dyDescent="0.25">
      <c r="A8" s="7">
        <f t="shared" ca="1" si="1"/>
        <v>42862.564959027775</v>
      </c>
      <c r="B8" t="s">
        <v>13</v>
      </c>
      <c r="C8">
        <v>6</v>
      </c>
      <c r="D8">
        <v>6</v>
      </c>
      <c r="E8" t="s">
        <v>188</v>
      </c>
      <c r="F8" t="s">
        <v>251</v>
      </c>
      <c r="G8" t="s">
        <v>351</v>
      </c>
      <c r="H8" t="str">
        <f>IF(MATCH(J8,Table3[Unimproved],0)&lt;MATCH(K8,Table3[Unimproved],0),"open","fold")</f>
        <v>fold</v>
      </c>
      <c r="I8" t="str">
        <f>IF(OR(AND(Table4[[#This Row],[Decision]]="f",Table4[[#This Row],[Desired_Action]]="fold"),AND(Table4[[#This Row],[Decision]]="o",Table4[[#This Row],[Desired_Action]]="open")),"Correct","Incorrect")</f>
        <v>Correct</v>
      </c>
      <c r="J8" t="str">
        <f t="shared" si="0"/>
        <v>65o</v>
      </c>
      <c r="K8" t="str">
        <f>VLOOKUP(IF(D8&lt;3,1/3,1/D8),Table3[[%DeckU]:[Unimproved]],2)</f>
        <v>A5s</v>
      </c>
    </row>
    <row r="9" spans="1:13" x14ac:dyDescent="0.25">
      <c r="A9" s="7">
        <f t="shared" ca="1" si="1"/>
        <v>42862.564959027775</v>
      </c>
      <c r="B9" t="s">
        <v>13</v>
      </c>
      <c r="C9">
        <v>6</v>
      </c>
      <c r="D9">
        <v>5</v>
      </c>
      <c r="E9" t="s">
        <v>187</v>
      </c>
      <c r="F9" t="s">
        <v>252</v>
      </c>
      <c r="G9" t="s">
        <v>351</v>
      </c>
      <c r="H9" t="str">
        <f>IF(MATCH(J9,Table3[Unimproved],0)&lt;MATCH(K9,Table3[Unimproved],0),"open","fold")</f>
        <v>fold</v>
      </c>
      <c r="I9" t="str">
        <f>IF(OR(AND(Table4[[#This Row],[Decision]]="f",Table4[[#This Row],[Desired_Action]]="fold"),AND(Table4[[#This Row],[Decision]]="o",Table4[[#This Row],[Desired_Action]]="open")),"Correct","Incorrect")</f>
        <v>Correct</v>
      </c>
      <c r="J9" t="str">
        <f t="shared" si="0"/>
        <v>75o</v>
      </c>
      <c r="K9" t="str">
        <f>VLOOKUP(IF(D9&lt;3,1/3,1/D9),Table3[[%DeckU]:[Unimproved]],2)</f>
        <v>A2s</v>
      </c>
    </row>
    <row r="10" spans="1:13" x14ac:dyDescent="0.25">
      <c r="A10" s="7">
        <f t="shared" ca="1" si="1"/>
        <v>42862.564959027775</v>
      </c>
      <c r="B10" t="s">
        <v>13</v>
      </c>
      <c r="C10">
        <v>6</v>
      </c>
      <c r="D10">
        <v>4</v>
      </c>
      <c r="E10" t="s">
        <v>186</v>
      </c>
      <c r="F10" t="s">
        <v>253</v>
      </c>
      <c r="G10" t="s">
        <v>351</v>
      </c>
      <c r="H10" t="str">
        <f>IF(MATCH(J10,Table3[Unimproved],0)&lt;MATCH(K10,Table3[Unimproved],0),"open","fold")</f>
        <v>fold</v>
      </c>
      <c r="I10" t="str">
        <f>IF(OR(AND(Table4[[#This Row],[Decision]]="f",Table4[[#This Row],[Desired_Action]]="fold"),AND(Table4[[#This Row],[Decision]]="o",Table4[[#This Row],[Desired_Action]]="open")),"Correct","Incorrect")</f>
        <v>Correct</v>
      </c>
      <c r="J10" t="str">
        <f t="shared" si="0"/>
        <v>K7o</v>
      </c>
      <c r="K10" t="str">
        <f>VLOOKUP(IF(D10&lt;3,1/3,1/D10),Table3[[%DeckU]:[Unimproved]],2)</f>
        <v>K9s</v>
      </c>
    </row>
    <row r="11" spans="1:13" x14ac:dyDescent="0.25">
      <c r="A11" s="7">
        <f t="shared" ca="1" si="1"/>
        <v>42862.564959027775</v>
      </c>
      <c r="B11" t="s">
        <v>13</v>
      </c>
      <c r="C11">
        <v>6</v>
      </c>
      <c r="D11">
        <v>6</v>
      </c>
      <c r="E11" t="s">
        <v>188</v>
      </c>
      <c r="F11" t="s">
        <v>254</v>
      </c>
      <c r="G11" t="s">
        <v>352</v>
      </c>
      <c r="H11" t="str">
        <f>IF(MATCH(J11,Table3[Unimproved],0)&lt;MATCH(K11,Table3[Unimproved],0),"open","fold")</f>
        <v>fold</v>
      </c>
      <c r="I11" t="str">
        <f>IF(OR(AND(Table4[[#This Row],[Decision]]="f",Table4[[#This Row],[Desired_Action]]="fold"),AND(Table4[[#This Row],[Decision]]="o",Table4[[#This Row],[Desired_Action]]="open")),"Correct","Incorrect")</f>
        <v>Incorrect</v>
      </c>
      <c r="J11" t="str">
        <f t="shared" si="0"/>
        <v>KQo</v>
      </c>
      <c r="K11" t="str">
        <f>VLOOKUP(IF(D11&lt;3,1/3,1/D11),Table3[[%DeckU]:[Unimproved]],2)</f>
        <v>A5s</v>
      </c>
    </row>
    <row r="12" spans="1:13" x14ac:dyDescent="0.25">
      <c r="A12" s="7">
        <f t="shared" ca="1" si="1"/>
        <v>42862.564959027775</v>
      </c>
      <c r="B12" t="s">
        <v>13</v>
      </c>
      <c r="C12">
        <v>6</v>
      </c>
      <c r="D12">
        <v>3</v>
      </c>
      <c r="E12" t="s">
        <v>185</v>
      </c>
      <c r="F12" t="s">
        <v>255</v>
      </c>
      <c r="G12" t="s">
        <v>352</v>
      </c>
      <c r="H12" t="str">
        <f>IF(MATCH(J12,Table3[Unimproved],0)&lt;MATCH(K12,Table3[Unimproved],0),"open","fold")</f>
        <v>fold</v>
      </c>
      <c r="I12" t="str">
        <f>IF(OR(AND(Table4[[#This Row],[Decision]]="f",Table4[[#This Row],[Desired_Action]]="fold"),AND(Table4[[#This Row],[Decision]]="o",Table4[[#This Row],[Desired_Action]]="open")),"Correct","Incorrect")</f>
        <v>Incorrect</v>
      </c>
      <c r="J12" t="str">
        <f t="shared" si="0"/>
        <v>Q8o</v>
      </c>
      <c r="K12" t="str">
        <f>VLOOKUP(IF(D12&lt;3,1/3,1/D12),Table3[[%DeckU]:[Unimproved]],2)</f>
        <v>K2s</v>
      </c>
    </row>
    <row r="13" spans="1:13" x14ac:dyDescent="0.25">
      <c r="A13" s="7">
        <f t="shared" ca="1" si="1"/>
        <v>42862.564959027775</v>
      </c>
      <c r="B13" t="s">
        <v>13</v>
      </c>
      <c r="C13">
        <v>6</v>
      </c>
      <c r="D13">
        <v>3</v>
      </c>
      <c r="E13" t="s">
        <v>185</v>
      </c>
      <c r="F13" t="s">
        <v>256</v>
      </c>
      <c r="G13" t="s">
        <v>351</v>
      </c>
      <c r="H13" t="str">
        <f>IF(MATCH(J13,Table3[Unimproved],0)&lt;MATCH(K13,Table3[Unimproved],0),"open","fold")</f>
        <v>fold</v>
      </c>
      <c r="I13" t="str">
        <f>IF(OR(AND(Table4[[#This Row],[Decision]]="f",Table4[[#This Row],[Desired_Action]]="fold"),AND(Table4[[#This Row],[Decision]]="o",Table4[[#This Row],[Desired_Action]]="open")),"Correct","Incorrect")</f>
        <v>Correct</v>
      </c>
      <c r="J13" t="str">
        <f t="shared" si="0"/>
        <v>83o</v>
      </c>
      <c r="K13" t="str">
        <f>VLOOKUP(IF(D13&lt;3,1/3,1/D13),Table3[[%DeckU]:[Unimproved]],2)</f>
        <v>K2s</v>
      </c>
    </row>
    <row r="14" spans="1:13" x14ac:dyDescent="0.25">
      <c r="A14" s="7">
        <f t="shared" ca="1" si="1"/>
        <v>42862.564959027775</v>
      </c>
      <c r="B14" t="s">
        <v>13</v>
      </c>
      <c r="C14">
        <v>6</v>
      </c>
      <c r="D14">
        <v>3</v>
      </c>
      <c r="E14" t="s">
        <v>185</v>
      </c>
      <c r="F14" t="s">
        <v>257</v>
      </c>
      <c r="G14" t="s">
        <v>352</v>
      </c>
      <c r="H14" t="str">
        <f>IF(MATCH(J14,Table3[Unimproved],0)&lt;MATCH(K14,Table3[Unimproved],0),"open","fold")</f>
        <v>fold</v>
      </c>
      <c r="I14" t="str">
        <f>IF(OR(AND(Table4[[#This Row],[Decision]]="f",Table4[[#This Row],[Desired_Action]]="fold"),AND(Table4[[#This Row],[Decision]]="o",Table4[[#This Row],[Desired_Action]]="open")),"Correct","Incorrect")</f>
        <v>Incorrect</v>
      </c>
      <c r="J14" t="str">
        <f t="shared" si="0"/>
        <v>Q3s</v>
      </c>
      <c r="K14" t="str">
        <f>VLOOKUP(IF(D14&lt;3,1/3,1/D14),Table3[[%DeckU]:[Unimproved]],2)</f>
        <v>K2s</v>
      </c>
    </row>
    <row r="15" spans="1:13" x14ac:dyDescent="0.25">
      <c r="A15" s="7">
        <f t="shared" ca="1" si="1"/>
        <v>42862.564959027775</v>
      </c>
      <c r="B15" t="s">
        <v>13</v>
      </c>
      <c r="C15">
        <v>6</v>
      </c>
      <c r="D15">
        <v>4</v>
      </c>
      <c r="E15" t="s">
        <v>186</v>
      </c>
      <c r="F15" t="s">
        <v>258</v>
      </c>
      <c r="G15" t="s">
        <v>351</v>
      </c>
      <c r="H15" t="str">
        <f>IF(MATCH(J15,Table3[Unimproved],0)&lt;MATCH(K15,Table3[Unimproved],0),"open","fold")</f>
        <v>fold</v>
      </c>
      <c r="I15" t="str">
        <f>IF(OR(AND(Table4[[#This Row],[Decision]]="f",Table4[[#This Row],[Desired_Action]]="fold"),AND(Table4[[#This Row],[Decision]]="o",Table4[[#This Row],[Desired_Action]]="open")),"Correct","Incorrect")</f>
        <v>Correct</v>
      </c>
      <c r="J15" t="str">
        <f t="shared" si="0"/>
        <v>Q9o</v>
      </c>
      <c r="K15" t="str">
        <f>VLOOKUP(IF(D15&lt;3,1/3,1/D15),Table3[[%DeckU]:[Unimproved]],2)</f>
        <v>K9s</v>
      </c>
    </row>
    <row r="16" spans="1:13" x14ac:dyDescent="0.25">
      <c r="A16" s="7">
        <f t="shared" ca="1" si="1"/>
        <v>42862.564959027775</v>
      </c>
      <c r="B16" t="s">
        <v>13</v>
      </c>
      <c r="C16">
        <v>6</v>
      </c>
      <c r="D16">
        <v>3</v>
      </c>
      <c r="E16" t="s">
        <v>185</v>
      </c>
      <c r="F16" t="s">
        <v>259</v>
      </c>
      <c r="G16" t="s">
        <v>351</v>
      </c>
      <c r="H16" t="str">
        <f>IF(MATCH(J16,Table3[Unimproved],0)&lt;MATCH(K16,Table3[Unimproved],0),"open","fold")</f>
        <v>fold</v>
      </c>
      <c r="I16" t="str">
        <f>IF(OR(AND(Table4[[#This Row],[Decision]]="f",Table4[[#This Row],[Desired_Action]]="fold"),AND(Table4[[#This Row],[Decision]]="o",Table4[[#This Row],[Desired_Action]]="open")),"Correct","Incorrect")</f>
        <v>Correct</v>
      </c>
      <c r="J16" t="str">
        <f t="shared" si="0"/>
        <v>94s</v>
      </c>
      <c r="K16" t="str">
        <f>VLOOKUP(IF(D16&lt;3,1/3,1/D16),Table3[[%DeckU]:[Unimproved]],2)</f>
        <v>K2s</v>
      </c>
    </row>
    <row r="17" spans="1:11" x14ac:dyDescent="0.25">
      <c r="A17" s="7">
        <f t="shared" ca="1" si="1"/>
        <v>42862.564959027775</v>
      </c>
      <c r="B17" t="s">
        <v>13</v>
      </c>
      <c r="C17">
        <v>6</v>
      </c>
      <c r="D17">
        <v>3</v>
      </c>
      <c r="E17" t="s">
        <v>185</v>
      </c>
      <c r="F17" t="s">
        <v>260</v>
      </c>
      <c r="G17" t="s">
        <v>352</v>
      </c>
      <c r="H17" t="str">
        <f>IF(MATCH(J17,Table3[Unimproved],0)&lt;MATCH(K17,Table3[Unimproved],0),"open","fold")</f>
        <v>fold</v>
      </c>
      <c r="I17" t="str">
        <f>IF(OR(AND(Table4[[#This Row],[Decision]]="f",Table4[[#This Row],[Desired_Action]]="fold"),AND(Table4[[#This Row],[Decision]]="o",Table4[[#This Row],[Desired_Action]]="open")),"Correct","Incorrect")</f>
        <v>Incorrect</v>
      </c>
      <c r="J17" t="str">
        <f t="shared" si="0"/>
        <v>J4o</v>
      </c>
      <c r="K17" t="str">
        <f>VLOOKUP(IF(D17&lt;3,1/3,1/D17),Table3[[%DeckU]:[Unimproved]],2)</f>
        <v>K2s</v>
      </c>
    </row>
    <row r="18" spans="1:11" x14ac:dyDescent="0.25">
      <c r="A18" s="7">
        <f t="shared" ca="1" si="1"/>
        <v>42862.564959027775</v>
      </c>
      <c r="B18" t="s">
        <v>13</v>
      </c>
      <c r="C18">
        <v>6</v>
      </c>
      <c r="D18">
        <v>3</v>
      </c>
      <c r="E18" t="s">
        <v>185</v>
      </c>
      <c r="F18" t="s">
        <v>261</v>
      </c>
      <c r="G18" t="s">
        <v>352</v>
      </c>
      <c r="H18" t="str">
        <f>IF(MATCH(J18,Table3[Unimproved],0)&lt;MATCH(K18,Table3[Unimproved],0),"open","fold")</f>
        <v>fold</v>
      </c>
      <c r="I18" t="str">
        <f>IF(OR(AND(Table4[[#This Row],[Decision]]="f",Table4[[#This Row],[Desired_Action]]="fold"),AND(Table4[[#This Row],[Decision]]="o",Table4[[#This Row],[Desired_Action]]="open")),"Correct","Incorrect")</f>
        <v>Incorrect</v>
      </c>
      <c r="J18" t="str">
        <f t="shared" si="0"/>
        <v>JTo</v>
      </c>
      <c r="K18" t="str">
        <f>VLOOKUP(IF(D18&lt;3,1/3,1/D18),Table3[[%DeckU]:[Unimproved]],2)</f>
        <v>K2s</v>
      </c>
    </row>
    <row r="19" spans="1:11" x14ac:dyDescent="0.25">
      <c r="A19" s="7">
        <f t="shared" ca="1" si="1"/>
        <v>42862.564959027775</v>
      </c>
      <c r="B19" t="s">
        <v>13</v>
      </c>
      <c r="C19">
        <v>6</v>
      </c>
      <c r="D19">
        <v>3</v>
      </c>
      <c r="E19" t="s">
        <v>185</v>
      </c>
      <c r="F19" t="s">
        <v>262</v>
      </c>
      <c r="G19" t="s">
        <v>352</v>
      </c>
      <c r="H19" t="str">
        <f>IF(MATCH(J19,Table3[Unimproved],0)&lt;MATCH(K19,Table3[Unimproved],0),"open","fold")</f>
        <v>open</v>
      </c>
      <c r="I19" t="str">
        <f>IF(OR(AND(Table4[[#This Row],[Decision]]="f",Table4[[#This Row],[Desired_Action]]="fold"),AND(Table4[[#This Row],[Decision]]="o",Table4[[#This Row],[Desired_Action]]="open")),"Correct","Incorrect")</f>
        <v>Correct</v>
      </c>
      <c r="J19" t="str">
        <f t="shared" si="0"/>
        <v>ATo</v>
      </c>
      <c r="K19" t="str">
        <f>VLOOKUP(IF(D19&lt;3,1/3,1/D19),Table3[[%DeckU]:[Unimproved]],2)</f>
        <v>K2s</v>
      </c>
    </row>
    <row r="20" spans="1:11" x14ac:dyDescent="0.25">
      <c r="A20" s="7">
        <f t="shared" ca="1" si="1"/>
        <v>42862.564959027775</v>
      </c>
      <c r="B20" t="s">
        <v>13</v>
      </c>
      <c r="C20">
        <v>6</v>
      </c>
      <c r="D20">
        <v>6</v>
      </c>
      <c r="E20" t="s">
        <v>188</v>
      </c>
      <c r="F20" t="s">
        <v>263</v>
      </c>
      <c r="G20" t="s">
        <v>352</v>
      </c>
      <c r="H20" t="str">
        <f>IF(MATCH(J20,Table3[Unimproved],0)&lt;MATCH(K20,Table3[Unimproved],0),"open","fold")</f>
        <v>open</v>
      </c>
      <c r="I20" t="str">
        <f>IF(OR(AND(Table4[[#This Row],[Decision]]="f",Table4[[#This Row],[Desired_Action]]="fold"),AND(Table4[[#This Row],[Decision]]="o",Table4[[#This Row],[Desired_Action]]="open")),"Correct","Incorrect")</f>
        <v>Correct</v>
      </c>
      <c r="J20" t="str">
        <f t="shared" si="0"/>
        <v>AQo</v>
      </c>
      <c r="K20" t="str">
        <f>VLOOKUP(IF(D20&lt;3,1/3,1/D20),Table3[[%DeckU]:[Unimproved]],2)</f>
        <v>A5s</v>
      </c>
    </row>
    <row r="21" spans="1:11" x14ac:dyDescent="0.25">
      <c r="A21" s="7">
        <f t="shared" ca="1" si="1"/>
        <v>42862.564959027775</v>
      </c>
      <c r="B21" t="s">
        <v>13</v>
      </c>
      <c r="C21">
        <v>6</v>
      </c>
      <c r="D21">
        <v>4</v>
      </c>
      <c r="E21" t="s">
        <v>186</v>
      </c>
      <c r="F21" t="s">
        <v>264</v>
      </c>
      <c r="G21" t="s">
        <v>352</v>
      </c>
      <c r="H21" t="str">
        <f>IF(MATCH(J21,Table3[Unimproved],0)&lt;MATCH(K21,Table3[Unimproved],0),"open","fold")</f>
        <v>open</v>
      </c>
      <c r="I21" t="str">
        <f>IF(OR(AND(Table4[[#This Row],[Decision]]="f",Table4[[#This Row],[Desired_Action]]="fold"),AND(Table4[[#This Row],[Decision]]="o",Table4[[#This Row],[Desired_Action]]="open")),"Correct","Incorrect")</f>
        <v>Correct</v>
      </c>
      <c r="J21" t="str">
        <f t="shared" si="0"/>
        <v>QQ</v>
      </c>
      <c r="K21" t="str">
        <f>VLOOKUP(IF(D21&lt;3,1/3,1/D21),Table3[[%DeckU]:[Unimproved]],2)</f>
        <v>K9s</v>
      </c>
    </row>
    <row r="22" spans="1:11" x14ac:dyDescent="0.25">
      <c r="A22" s="7">
        <f t="shared" ca="1" si="1"/>
        <v>42862.564959027775</v>
      </c>
      <c r="B22" t="s">
        <v>13</v>
      </c>
      <c r="C22">
        <v>6</v>
      </c>
      <c r="D22">
        <v>3</v>
      </c>
      <c r="E22" t="s">
        <v>185</v>
      </c>
      <c r="F22" t="s">
        <v>265</v>
      </c>
      <c r="G22" t="s">
        <v>352</v>
      </c>
      <c r="H22" t="str">
        <f>IF(MATCH(J22,Table3[Unimproved],0)&lt;MATCH(K22,Table3[Unimproved],0),"open","fold")</f>
        <v>open</v>
      </c>
      <c r="I22" t="str">
        <f>IF(OR(AND(Table4[[#This Row],[Decision]]="f",Table4[[#This Row],[Desired_Action]]="fold"),AND(Table4[[#This Row],[Decision]]="o",Table4[[#This Row],[Desired_Action]]="open")),"Correct","Incorrect")</f>
        <v>Correct</v>
      </c>
      <c r="J22" t="str">
        <f t="shared" si="0"/>
        <v>KK</v>
      </c>
      <c r="K22" t="str">
        <f>VLOOKUP(IF(D22&lt;3,1/3,1/D22),Table3[[%DeckU]:[Unimproved]],2)</f>
        <v>K2s</v>
      </c>
    </row>
    <row r="23" spans="1:11" x14ac:dyDescent="0.25">
      <c r="A23" s="7">
        <f t="shared" ca="1" si="1"/>
        <v>42862.564959027775</v>
      </c>
      <c r="B23" t="s">
        <v>13</v>
      </c>
      <c r="C23">
        <v>6</v>
      </c>
      <c r="D23">
        <v>3</v>
      </c>
      <c r="E23" t="s">
        <v>185</v>
      </c>
      <c r="F23" t="s">
        <v>266</v>
      </c>
      <c r="G23" t="s">
        <v>352</v>
      </c>
      <c r="H23" t="str">
        <f>IF(MATCH(J23,Table3[Unimproved],0)&lt;MATCH(K23,Table3[Unimproved],0),"open","fold")</f>
        <v>open</v>
      </c>
      <c r="I23" t="str">
        <f>IF(OR(AND(Table4[[#This Row],[Decision]]="f",Table4[[#This Row],[Desired_Action]]="fold"),AND(Table4[[#This Row],[Decision]]="o",Table4[[#This Row],[Desired_Action]]="open")),"Correct","Incorrect")</f>
        <v>Correct</v>
      </c>
      <c r="J23" t="str">
        <f t="shared" si="0"/>
        <v>K7o</v>
      </c>
      <c r="K23" t="str">
        <f>VLOOKUP(IF(D23&lt;3,1/3,1/D23),Table3[[%DeckU]:[Unimproved]],2)</f>
        <v>K2s</v>
      </c>
    </row>
    <row r="24" spans="1:11" x14ac:dyDescent="0.25">
      <c r="A24" s="7">
        <f t="shared" ca="1" si="1"/>
        <v>42862.564959027775</v>
      </c>
      <c r="B24" t="s">
        <v>13</v>
      </c>
      <c r="C24">
        <v>6</v>
      </c>
      <c r="D24">
        <v>4</v>
      </c>
      <c r="E24" t="s">
        <v>186</v>
      </c>
      <c r="F24" t="s">
        <v>267</v>
      </c>
      <c r="G24" t="s">
        <v>351</v>
      </c>
      <c r="H24" t="str">
        <f>IF(MATCH(J24,Table3[Unimproved],0)&lt;MATCH(K24,Table3[Unimproved],0),"open","fold")</f>
        <v>fold</v>
      </c>
      <c r="I24" t="str">
        <f>IF(OR(AND(Table4[[#This Row],[Decision]]="f",Table4[[#This Row],[Desired_Action]]="fold"),AND(Table4[[#This Row],[Decision]]="o",Table4[[#This Row],[Desired_Action]]="open")),"Correct","Incorrect")</f>
        <v>Correct</v>
      </c>
      <c r="J24" t="str">
        <f t="shared" si="0"/>
        <v>Q7o</v>
      </c>
      <c r="K24" t="str">
        <f>VLOOKUP(IF(D24&lt;3,1/3,1/D24),Table3[[%DeckU]:[Unimproved]],2)</f>
        <v>K9s</v>
      </c>
    </row>
    <row r="25" spans="1:11" x14ac:dyDescent="0.25">
      <c r="A25" s="7">
        <f t="shared" ca="1" si="1"/>
        <v>42862.564959027775</v>
      </c>
      <c r="B25" t="s">
        <v>13</v>
      </c>
      <c r="C25">
        <v>6</v>
      </c>
      <c r="D25">
        <v>6</v>
      </c>
      <c r="E25" t="s">
        <v>188</v>
      </c>
      <c r="F25" t="s">
        <v>268</v>
      </c>
      <c r="G25" t="s">
        <v>351</v>
      </c>
      <c r="H25" t="str">
        <f>IF(MATCH(J25,Table3[Unimproved],0)&lt;MATCH(K25,Table3[Unimproved],0),"open","fold")</f>
        <v>fold</v>
      </c>
      <c r="I25" t="str">
        <f>IF(OR(AND(Table4[[#This Row],[Decision]]="f",Table4[[#This Row],[Desired_Action]]="fold"),AND(Table4[[#This Row],[Decision]]="o",Table4[[#This Row],[Desired_Action]]="open")),"Correct","Incorrect")</f>
        <v>Correct</v>
      </c>
      <c r="J25" t="str">
        <f t="shared" si="0"/>
        <v>Q4o</v>
      </c>
      <c r="K25" t="str">
        <f>VLOOKUP(IF(D25&lt;3,1/3,1/D25),Table3[[%DeckU]:[Unimproved]],2)</f>
        <v>A5s</v>
      </c>
    </row>
    <row r="26" spans="1:11" x14ac:dyDescent="0.25">
      <c r="A26" s="7">
        <f t="shared" ca="1" si="1"/>
        <v>42862.564959027775</v>
      </c>
      <c r="B26" t="s">
        <v>13</v>
      </c>
      <c r="C26">
        <v>6</v>
      </c>
      <c r="D26">
        <v>5</v>
      </c>
      <c r="E26" t="s">
        <v>187</v>
      </c>
      <c r="F26" t="s">
        <v>269</v>
      </c>
      <c r="G26" t="s">
        <v>351</v>
      </c>
      <c r="H26" t="str">
        <f>IF(MATCH(J26,Table3[Unimproved],0)&lt;MATCH(K26,Table3[Unimproved],0),"open","fold")</f>
        <v>fold</v>
      </c>
      <c r="I26" t="str">
        <f>IF(OR(AND(Table4[[#This Row],[Decision]]="f",Table4[[#This Row],[Desired_Action]]="fold"),AND(Table4[[#This Row],[Decision]]="o",Table4[[#This Row],[Desired_Action]]="open")),"Correct","Incorrect")</f>
        <v>Correct</v>
      </c>
      <c r="J26" t="str">
        <f t="shared" si="0"/>
        <v>94o</v>
      </c>
      <c r="K26" t="str">
        <f>VLOOKUP(IF(D26&lt;3,1/3,1/D26),Table3[[%DeckU]:[Unimproved]],2)</f>
        <v>A2s</v>
      </c>
    </row>
    <row r="27" spans="1:11" x14ac:dyDescent="0.25">
      <c r="A27" s="7">
        <f t="shared" ca="1" si="1"/>
        <v>42862.564959027775</v>
      </c>
      <c r="B27" t="s">
        <v>13</v>
      </c>
      <c r="C27">
        <v>6</v>
      </c>
      <c r="D27">
        <v>3</v>
      </c>
      <c r="E27" t="s">
        <v>185</v>
      </c>
      <c r="F27" t="s">
        <v>270</v>
      </c>
      <c r="G27" t="s">
        <v>352</v>
      </c>
      <c r="H27" t="str">
        <f>IF(MATCH(J27,Table3[Unimproved],0)&lt;MATCH(K27,Table3[Unimproved],0),"open","fold")</f>
        <v>fold</v>
      </c>
      <c r="I27" t="str">
        <f>IF(OR(AND(Table4[[#This Row],[Decision]]="f",Table4[[#This Row],[Desired_Action]]="fold"),AND(Table4[[#This Row],[Decision]]="o",Table4[[#This Row],[Desired_Action]]="open")),"Correct","Incorrect")</f>
        <v>Incorrect</v>
      </c>
      <c r="J27" t="str">
        <f t="shared" si="0"/>
        <v>J9s</v>
      </c>
      <c r="K27" t="str">
        <f>VLOOKUP(IF(D27&lt;3,1/3,1/D27),Table3[[%DeckU]:[Unimproved]],2)</f>
        <v>K2s</v>
      </c>
    </row>
    <row r="28" spans="1:11" x14ac:dyDescent="0.25">
      <c r="A28" s="7">
        <f t="shared" ca="1" si="1"/>
        <v>42862.564959027775</v>
      </c>
      <c r="B28" t="s">
        <v>13</v>
      </c>
      <c r="C28">
        <v>6</v>
      </c>
      <c r="D28">
        <v>3</v>
      </c>
      <c r="E28" t="s">
        <v>185</v>
      </c>
      <c r="F28" t="s">
        <v>271</v>
      </c>
      <c r="G28" t="s">
        <v>351</v>
      </c>
      <c r="H28" t="str">
        <f>IF(MATCH(J28,Table3[Unimproved],0)&lt;MATCH(K28,Table3[Unimproved],0),"open","fold")</f>
        <v>fold</v>
      </c>
      <c r="I28" t="str">
        <f>IF(OR(AND(Table4[[#This Row],[Decision]]="f",Table4[[#This Row],[Desired_Action]]="fold"),AND(Table4[[#This Row],[Decision]]="o",Table4[[#This Row],[Desired_Action]]="open")),"Correct","Incorrect")</f>
        <v>Correct</v>
      </c>
      <c r="J28" t="str">
        <f t="shared" si="0"/>
        <v>J2s</v>
      </c>
      <c r="K28" t="str">
        <f>VLOOKUP(IF(D28&lt;3,1/3,1/D28),Table3[[%DeckU]:[Unimproved]],2)</f>
        <v>K2s</v>
      </c>
    </row>
    <row r="29" spans="1:11" x14ac:dyDescent="0.25">
      <c r="A29" s="7">
        <f t="shared" ca="1" si="1"/>
        <v>42862.564959027775</v>
      </c>
      <c r="B29" t="s">
        <v>13</v>
      </c>
      <c r="C29">
        <v>6</v>
      </c>
      <c r="D29">
        <v>3</v>
      </c>
      <c r="E29" t="s">
        <v>185</v>
      </c>
      <c r="F29" t="s">
        <v>272</v>
      </c>
      <c r="G29" t="s">
        <v>351</v>
      </c>
      <c r="H29" t="str">
        <f>IF(MATCH(J29,Table3[Unimproved],0)&lt;MATCH(K29,Table3[Unimproved],0),"open","fold")</f>
        <v>fold</v>
      </c>
      <c r="I29" t="str">
        <f>IF(OR(AND(Table4[[#This Row],[Decision]]="f",Table4[[#This Row],[Desired_Action]]="fold"),AND(Table4[[#This Row],[Decision]]="o",Table4[[#This Row],[Desired_Action]]="open")),"Correct","Incorrect")</f>
        <v>Correct</v>
      </c>
      <c r="J29" t="str">
        <f t="shared" si="0"/>
        <v>62o</v>
      </c>
      <c r="K29" t="str">
        <f>VLOOKUP(IF(D29&lt;3,1/3,1/D29),Table3[[%DeckU]:[Unimproved]],2)</f>
        <v>K2s</v>
      </c>
    </row>
    <row r="30" spans="1:11" x14ac:dyDescent="0.25">
      <c r="A30" s="7">
        <f t="shared" ca="1" si="1"/>
        <v>42862.564959027775</v>
      </c>
      <c r="B30" t="s">
        <v>13</v>
      </c>
      <c r="C30">
        <v>6</v>
      </c>
      <c r="D30">
        <v>3</v>
      </c>
      <c r="E30" t="s">
        <v>185</v>
      </c>
      <c r="F30" t="s">
        <v>273</v>
      </c>
      <c r="G30" t="s">
        <v>351</v>
      </c>
      <c r="H30" t="str">
        <f>IF(MATCH(J30,Table3[Unimproved],0)&lt;MATCH(K30,Table3[Unimproved],0),"open","fold")</f>
        <v>fold</v>
      </c>
      <c r="I30" t="str">
        <f>IF(OR(AND(Table4[[#This Row],[Decision]]="f",Table4[[#This Row],[Desired_Action]]="fold"),AND(Table4[[#This Row],[Decision]]="o",Table4[[#This Row],[Desired_Action]]="open")),"Correct","Incorrect")</f>
        <v>Correct</v>
      </c>
      <c r="J30" t="str">
        <f t="shared" si="0"/>
        <v>63o</v>
      </c>
      <c r="K30" t="str">
        <f>VLOOKUP(IF(D30&lt;3,1/3,1/D30),Table3[[%DeckU]:[Unimproved]],2)</f>
        <v>K2s</v>
      </c>
    </row>
    <row r="31" spans="1:11" x14ac:dyDescent="0.25">
      <c r="A31" s="7">
        <f t="shared" ca="1" si="1"/>
        <v>42862.564959027775</v>
      </c>
      <c r="B31" t="s">
        <v>13</v>
      </c>
      <c r="C31">
        <v>6</v>
      </c>
      <c r="D31">
        <v>3</v>
      </c>
      <c r="E31" t="s">
        <v>185</v>
      </c>
      <c r="F31" t="s">
        <v>274</v>
      </c>
      <c r="G31" t="s">
        <v>351</v>
      </c>
      <c r="H31" t="str">
        <f>IF(MATCH(J31,Table3[Unimproved],0)&lt;MATCH(K31,Table3[Unimproved],0),"open","fold")</f>
        <v>fold</v>
      </c>
      <c r="I31" t="str">
        <f>IF(OR(AND(Table4[[#This Row],[Decision]]="f",Table4[[#This Row],[Desired_Action]]="fold"),AND(Table4[[#This Row],[Decision]]="o",Table4[[#This Row],[Desired_Action]]="open")),"Correct","Incorrect")</f>
        <v>Correct</v>
      </c>
      <c r="J31" t="str">
        <f t="shared" si="0"/>
        <v>63s</v>
      </c>
      <c r="K31" t="str">
        <f>VLOOKUP(IF(D31&lt;3,1/3,1/D31),Table3[[%DeckU]:[Unimproved]],2)</f>
        <v>K2s</v>
      </c>
    </row>
    <row r="32" spans="1:11" x14ac:dyDescent="0.25">
      <c r="A32" s="7">
        <f t="shared" ca="1" si="1"/>
        <v>42862.564959027775</v>
      </c>
      <c r="B32" t="s">
        <v>13</v>
      </c>
      <c r="C32">
        <v>6</v>
      </c>
      <c r="D32">
        <v>3</v>
      </c>
      <c r="E32" t="s">
        <v>185</v>
      </c>
      <c r="F32" t="s">
        <v>275</v>
      </c>
      <c r="G32" t="s">
        <v>352</v>
      </c>
      <c r="H32" t="str">
        <f>IF(MATCH(J32,Table3[Unimproved],0)&lt;MATCH(K32,Table3[Unimproved],0),"open","fold")</f>
        <v>fold</v>
      </c>
      <c r="I32" t="str">
        <f>IF(OR(AND(Table4[[#This Row],[Decision]]="f",Table4[[#This Row],[Desired_Action]]="fold"),AND(Table4[[#This Row],[Decision]]="o",Table4[[#This Row],[Desired_Action]]="open")),"Correct","Incorrect")</f>
        <v>Incorrect</v>
      </c>
      <c r="J32" t="str">
        <f t="shared" si="0"/>
        <v>64o</v>
      </c>
      <c r="K32" t="str">
        <f>VLOOKUP(IF(D32&lt;3,1/3,1/D32),Table3[[%DeckU]:[Unimproved]],2)</f>
        <v>K2s</v>
      </c>
    </row>
    <row r="33" spans="1:11" x14ac:dyDescent="0.25">
      <c r="A33" s="7">
        <f t="shared" ca="1" si="1"/>
        <v>42862.564959027775</v>
      </c>
      <c r="B33" t="s">
        <v>13</v>
      </c>
      <c r="C33">
        <v>6</v>
      </c>
      <c r="D33">
        <v>3</v>
      </c>
      <c r="E33" t="s">
        <v>185</v>
      </c>
      <c r="F33" t="s">
        <v>276</v>
      </c>
      <c r="G33" t="s">
        <v>352</v>
      </c>
      <c r="H33" t="str">
        <f>IF(MATCH(J33,Table3[Unimproved],0)&lt;MATCH(K33,Table3[Unimproved],0),"open","fold")</f>
        <v>fold</v>
      </c>
      <c r="I33" t="str">
        <f>IF(OR(AND(Table4[[#This Row],[Decision]]="f",Table4[[#This Row],[Desired_Action]]="fold"),AND(Table4[[#This Row],[Decision]]="o",Table4[[#This Row],[Desired_Action]]="open")),"Correct","Incorrect")</f>
        <v>Incorrect</v>
      </c>
      <c r="J33" t="str">
        <f t="shared" si="0"/>
        <v>Q4s</v>
      </c>
      <c r="K33" t="str">
        <f>VLOOKUP(IF(D33&lt;3,1/3,1/D33),Table3[[%DeckU]:[Unimproved]],2)</f>
        <v>K2s</v>
      </c>
    </row>
    <row r="34" spans="1:11" x14ac:dyDescent="0.25">
      <c r="A34" s="7">
        <f t="shared" ca="1" si="1"/>
        <v>42862.564959027775</v>
      </c>
      <c r="B34" t="s">
        <v>13</v>
      </c>
      <c r="C34">
        <v>6</v>
      </c>
      <c r="D34">
        <v>5</v>
      </c>
      <c r="E34" t="s">
        <v>187</v>
      </c>
      <c r="F34" t="s">
        <v>277</v>
      </c>
      <c r="G34" t="s">
        <v>352</v>
      </c>
      <c r="H34" t="str">
        <f>IF(MATCH(J34,Table3[Unimproved],0)&lt;MATCH(K34,Table3[Unimproved],0),"open","fold")</f>
        <v>fold</v>
      </c>
      <c r="I34" t="str">
        <f>IF(OR(AND(Table4[[#This Row],[Decision]]="f",Table4[[#This Row],[Desired_Action]]="fold"),AND(Table4[[#This Row],[Decision]]="o",Table4[[#This Row],[Desired_Action]]="open")),"Correct","Incorrect")</f>
        <v>Incorrect</v>
      </c>
      <c r="J34" t="str">
        <f t="shared" si="0"/>
        <v>KQs</v>
      </c>
      <c r="K34" t="str">
        <f>VLOOKUP(IF(D34&lt;3,1/3,1/D34),Table3[[%DeckU]:[Unimproved]],2)</f>
        <v>A2s</v>
      </c>
    </row>
    <row r="35" spans="1:11" x14ac:dyDescent="0.25">
      <c r="A35" s="7">
        <f t="shared" ca="1" si="1"/>
        <v>42862.564959027775</v>
      </c>
      <c r="B35" t="s">
        <v>13</v>
      </c>
      <c r="C35">
        <v>6</v>
      </c>
      <c r="D35">
        <v>3</v>
      </c>
      <c r="E35" t="s">
        <v>185</v>
      </c>
      <c r="F35" t="s">
        <v>278</v>
      </c>
      <c r="G35" t="s">
        <v>352</v>
      </c>
      <c r="H35" t="str">
        <f>IF(MATCH(J35,Table3[Unimproved],0)&lt;MATCH(K35,Table3[Unimproved],0),"open","fold")</f>
        <v>open</v>
      </c>
      <c r="I35" t="str">
        <f>IF(OR(AND(Table4[[#This Row],[Decision]]="f",Table4[[#This Row],[Desired_Action]]="fold"),AND(Table4[[#This Row],[Decision]]="o",Table4[[#This Row],[Desired_Action]]="open")),"Correct","Incorrect")</f>
        <v>Correct</v>
      </c>
      <c r="J35" t="str">
        <f t="shared" si="0"/>
        <v>KTo</v>
      </c>
      <c r="K35" t="str">
        <f>VLOOKUP(IF(D35&lt;3,1/3,1/D35),Table3[[%DeckU]:[Unimproved]],2)</f>
        <v>K2s</v>
      </c>
    </row>
    <row r="36" spans="1:11" x14ac:dyDescent="0.25">
      <c r="A36" s="7">
        <f t="shared" ca="1" si="1"/>
        <v>42862.564959027775</v>
      </c>
      <c r="B36" t="s">
        <v>13</v>
      </c>
      <c r="C36">
        <v>6</v>
      </c>
      <c r="D36">
        <v>4</v>
      </c>
      <c r="E36" t="s">
        <v>186</v>
      </c>
      <c r="F36" t="s">
        <v>279</v>
      </c>
      <c r="G36" t="s">
        <v>352</v>
      </c>
      <c r="H36" t="str">
        <f>IF(MATCH(J36,Table3[Unimproved],0)&lt;MATCH(K36,Table3[Unimproved],0),"open","fold")</f>
        <v>open</v>
      </c>
      <c r="I36" t="str">
        <f>IF(OR(AND(Table4[[#This Row],[Decision]]="f",Table4[[#This Row],[Desired_Action]]="fold"),AND(Table4[[#This Row],[Decision]]="o",Table4[[#This Row],[Desired_Action]]="open")),"Correct","Incorrect")</f>
        <v>Correct</v>
      </c>
      <c r="J36" t="str">
        <f t="shared" si="0"/>
        <v>ATs</v>
      </c>
      <c r="K36" t="str">
        <f>VLOOKUP(IF(D36&lt;3,1/3,1/D36),Table3[[%DeckU]:[Unimproved]],2)</f>
        <v>K9s</v>
      </c>
    </row>
    <row r="37" spans="1:11" x14ac:dyDescent="0.25">
      <c r="A37" s="7">
        <f t="shared" ca="1" si="1"/>
        <v>42862.564959027775</v>
      </c>
      <c r="B37" t="s">
        <v>13</v>
      </c>
      <c r="C37">
        <v>6</v>
      </c>
      <c r="D37">
        <v>4</v>
      </c>
      <c r="E37" t="s">
        <v>186</v>
      </c>
      <c r="F37" t="s">
        <v>280</v>
      </c>
      <c r="G37" t="s">
        <v>352</v>
      </c>
      <c r="H37" t="str">
        <f>IF(MATCH(J37,Table3[Unimproved],0)&lt;MATCH(K37,Table3[Unimproved],0),"open","fold")</f>
        <v>open</v>
      </c>
      <c r="I37" t="str">
        <f>IF(OR(AND(Table4[[#This Row],[Decision]]="f",Table4[[#This Row],[Desired_Action]]="fold"),AND(Table4[[#This Row],[Decision]]="o",Table4[[#This Row],[Desired_Action]]="open")),"Correct","Incorrect")</f>
        <v>Correct</v>
      </c>
      <c r="J37" t="str">
        <f t="shared" si="0"/>
        <v>A9o</v>
      </c>
      <c r="K37" t="str">
        <f>VLOOKUP(IF(D37&lt;3,1/3,1/D37),Table3[[%DeckU]:[Unimproved]],2)</f>
        <v>K9s</v>
      </c>
    </row>
    <row r="38" spans="1:11" x14ac:dyDescent="0.25">
      <c r="A38" s="7">
        <f t="shared" ca="1" si="1"/>
        <v>42862.564959027775</v>
      </c>
      <c r="B38" t="s">
        <v>13</v>
      </c>
      <c r="C38">
        <v>6</v>
      </c>
      <c r="D38">
        <v>3</v>
      </c>
      <c r="E38" t="s">
        <v>185</v>
      </c>
      <c r="F38" t="s">
        <v>281</v>
      </c>
      <c r="G38" t="s">
        <v>352</v>
      </c>
      <c r="H38" t="str">
        <f>IF(MATCH(J38,Table3[Unimproved],0)&lt;MATCH(K38,Table3[Unimproved],0),"open","fold")</f>
        <v>fold</v>
      </c>
      <c r="I38" t="str">
        <f>IF(OR(AND(Table4[[#This Row],[Decision]]="f",Table4[[#This Row],[Desired_Action]]="fold"),AND(Table4[[#This Row],[Decision]]="o",Table4[[#This Row],[Desired_Action]]="open")),"Correct","Incorrect")</f>
        <v>Incorrect</v>
      </c>
      <c r="J38" t="str">
        <f t="shared" si="0"/>
        <v>98s</v>
      </c>
      <c r="K38" t="str">
        <f>VLOOKUP(IF(D38&lt;3,1/3,1/D38),Table3[[%DeckU]:[Unimproved]],2)</f>
        <v>K2s</v>
      </c>
    </row>
    <row r="39" spans="1:11" x14ac:dyDescent="0.25">
      <c r="A39" s="7">
        <f t="shared" ca="1" si="1"/>
        <v>42862.564959027775</v>
      </c>
      <c r="B39" t="s">
        <v>13</v>
      </c>
      <c r="C39">
        <v>6</v>
      </c>
      <c r="D39">
        <v>3</v>
      </c>
      <c r="E39" t="s">
        <v>185</v>
      </c>
      <c r="F39" t="s">
        <v>282</v>
      </c>
      <c r="G39" t="s">
        <v>352</v>
      </c>
      <c r="H39" t="str">
        <f>IF(MATCH(J39,Table3[Unimproved],0)&lt;MATCH(K39,Table3[Unimproved],0),"open","fold")</f>
        <v>open</v>
      </c>
      <c r="I39" t="str">
        <f>IF(OR(AND(Table4[[#This Row],[Decision]]="f",Table4[[#This Row],[Desired_Action]]="fold"),AND(Table4[[#This Row],[Decision]]="o",Table4[[#This Row],[Desired_Action]]="open")),"Correct","Incorrect")</f>
        <v>Correct</v>
      </c>
      <c r="J39" t="str">
        <f t="shared" si="0"/>
        <v>88</v>
      </c>
      <c r="K39" t="str">
        <f>VLOOKUP(IF(D39&lt;3,1/3,1/D39),Table3[[%DeckU]:[Unimproved]],2)</f>
        <v>K2s</v>
      </c>
    </row>
    <row r="40" spans="1:11" x14ac:dyDescent="0.25">
      <c r="A40" s="7">
        <f t="shared" ca="1" si="1"/>
        <v>42862.564959027775</v>
      </c>
      <c r="B40" t="s">
        <v>13</v>
      </c>
      <c r="C40">
        <v>6</v>
      </c>
      <c r="D40">
        <v>6</v>
      </c>
      <c r="E40" t="s">
        <v>188</v>
      </c>
      <c r="F40" t="s">
        <v>283</v>
      </c>
      <c r="G40" t="s">
        <v>352</v>
      </c>
      <c r="H40" t="str">
        <f>IF(MATCH(J40,Table3[Unimproved],0)&lt;MATCH(K40,Table3[Unimproved],0),"open","fold")</f>
        <v>fold</v>
      </c>
      <c r="I40" t="str">
        <f>IF(OR(AND(Table4[[#This Row],[Decision]]="f",Table4[[#This Row],[Desired_Action]]="fold"),AND(Table4[[#This Row],[Decision]]="o",Table4[[#This Row],[Desired_Action]]="open")),"Correct","Incorrect")</f>
        <v>Incorrect</v>
      </c>
      <c r="J40" t="str">
        <f t="shared" si="0"/>
        <v>87s</v>
      </c>
      <c r="K40" t="str">
        <f>VLOOKUP(IF(D40&lt;3,1/3,1/D40),Table3[[%DeckU]:[Unimproved]],2)</f>
        <v>A5s</v>
      </c>
    </row>
    <row r="41" spans="1:11" x14ac:dyDescent="0.25">
      <c r="A41" s="7">
        <f t="shared" ca="1" si="1"/>
        <v>42862.564959027775</v>
      </c>
      <c r="B41" t="s">
        <v>13</v>
      </c>
      <c r="C41">
        <v>6</v>
      </c>
      <c r="D41">
        <v>3</v>
      </c>
      <c r="E41" t="s">
        <v>185</v>
      </c>
      <c r="F41" t="s">
        <v>284</v>
      </c>
      <c r="G41" t="s">
        <v>352</v>
      </c>
      <c r="H41" t="str">
        <f>IF(MATCH(J41,Table3[Unimproved],0)&lt;MATCH(K41,Table3[Unimproved],0),"open","fold")</f>
        <v>open</v>
      </c>
      <c r="I41" t="str">
        <f>IF(OR(AND(Table4[[#This Row],[Decision]]="f",Table4[[#This Row],[Desired_Action]]="fold"),AND(Table4[[#This Row],[Decision]]="o",Table4[[#This Row],[Desired_Action]]="open")),"Correct","Incorrect")</f>
        <v>Correct</v>
      </c>
      <c r="J41" t="str">
        <f t="shared" si="0"/>
        <v>K7o</v>
      </c>
      <c r="K41" t="str">
        <f>VLOOKUP(IF(D41&lt;3,1/3,1/D41),Table3[[%DeckU]:[Unimproved]],2)</f>
        <v>K2s</v>
      </c>
    </row>
    <row r="42" spans="1:11" x14ac:dyDescent="0.25">
      <c r="A42" s="7">
        <f t="shared" ca="1" si="1"/>
        <v>42862.564959027775</v>
      </c>
      <c r="B42" t="s">
        <v>13</v>
      </c>
      <c r="C42">
        <v>6</v>
      </c>
      <c r="D42">
        <v>3</v>
      </c>
      <c r="E42" t="s">
        <v>185</v>
      </c>
      <c r="F42" t="s">
        <v>285</v>
      </c>
      <c r="G42" t="s">
        <v>352</v>
      </c>
      <c r="H42" t="str">
        <f>IF(MATCH(J42,Table3[Unimproved],0)&lt;MATCH(K42,Table3[Unimproved],0),"open","fold")</f>
        <v>open</v>
      </c>
      <c r="I42" t="str">
        <f>IF(OR(AND(Table4[[#This Row],[Decision]]="f",Table4[[#This Row],[Desired_Action]]="fold"),AND(Table4[[#This Row],[Decision]]="o",Table4[[#This Row],[Desired_Action]]="open")),"Correct","Incorrect")</f>
        <v>Correct</v>
      </c>
      <c r="J42" t="str">
        <f t="shared" si="0"/>
        <v>K3s</v>
      </c>
      <c r="K42" t="str">
        <f>VLOOKUP(IF(D42&lt;3,1/3,1/D42),Table3[[%DeckU]:[Unimproved]],2)</f>
        <v>K2s</v>
      </c>
    </row>
    <row r="43" spans="1:11" x14ac:dyDescent="0.25">
      <c r="A43" s="7">
        <f t="shared" ca="1" si="1"/>
        <v>42862.564959027775</v>
      </c>
      <c r="B43" t="s">
        <v>13</v>
      </c>
      <c r="C43">
        <v>6</v>
      </c>
      <c r="D43">
        <v>3</v>
      </c>
      <c r="E43" t="s">
        <v>185</v>
      </c>
      <c r="F43" t="s">
        <v>286</v>
      </c>
      <c r="G43" t="s">
        <v>351</v>
      </c>
      <c r="H43" t="str">
        <f>IF(MATCH(J43,Table3[Unimproved],0)&lt;MATCH(K43,Table3[Unimproved],0),"open","fold")</f>
        <v>fold</v>
      </c>
      <c r="I43" t="str">
        <f>IF(OR(AND(Table4[[#This Row],[Decision]]="f",Table4[[#This Row],[Desired_Action]]="fold"),AND(Table4[[#This Row],[Decision]]="o",Table4[[#This Row],[Desired_Action]]="open")),"Correct","Incorrect")</f>
        <v>Correct</v>
      </c>
      <c r="J43" t="str">
        <f t="shared" si="0"/>
        <v>32o</v>
      </c>
      <c r="K43" t="str">
        <f>VLOOKUP(IF(D43&lt;3,1/3,1/D43),Table3[[%DeckU]:[Unimproved]],2)</f>
        <v>K2s</v>
      </c>
    </row>
    <row r="44" spans="1:11" x14ac:dyDescent="0.25">
      <c r="A44" s="7">
        <f t="shared" ca="1" si="1"/>
        <v>42862.564959027775</v>
      </c>
      <c r="B44" t="s">
        <v>13</v>
      </c>
      <c r="C44">
        <v>6</v>
      </c>
      <c r="D44">
        <v>5</v>
      </c>
      <c r="E44" t="s">
        <v>187</v>
      </c>
      <c r="F44" t="s">
        <v>287</v>
      </c>
      <c r="G44" t="s">
        <v>351</v>
      </c>
      <c r="H44" t="str">
        <f>IF(MATCH(J44,Table3[Unimproved],0)&lt;MATCH(K44,Table3[Unimproved],0),"open","fold")</f>
        <v>fold</v>
      </c>
      <c r="I44" t="str">
        <f>IF(OR(AND(Table4[[#This Row],[Decision]]="f",Table4[[#This Row],[Desired_Action]]="fold"),AND(Table4[[#This Row],[Decision]]="o",Table4[[#This Row],[Desired_Action]]="open")),"Correct","Incorrect")</f>
        <v>Correct</v>
      </c>
      <c r="J44" t="str">
        <f t="shared" si="0"/>
        <v>92o</v>
      </c>
      <c r="K44" t="str">
        <f>VLOOKUP(IF(D44&lt;3,1/3,1/D44),Table3[[%DeckU]:[Unimproved]],2)</f>
        <v>A2s</v>
      </c>
    </row>
    <row r="45" spans="1:11" x14ac:dyDescent="0.25">
      <c r="A45" s="7">
        <f t="shared" ca="1" si="1"/>
        <v>42862.564959027775</v>
      </c>
      <c r="B45" t="s">
        <v>13</v>
      </c>
      <c r="C45">
        <v>6</v>
      </c>
      <c r="D45">
        <v>5</v>
      </c>
      <c r="E45" t="s">
        <v>187</v>
      </c>
      <c r="F45" t="s">
        <v>288</v>
      </c>
      <c r="G45" t="s">
        <v>351</v>
      </c>
      <c r="H45" t="str">
        <f>IF(MATCH(J45,Table3[Unimproved],0)&lt;MATCH(K45,Table3[Unimproved],0),"open","fold")</f>
        <v>fold</v>
      </c>
      <c r="I45" t="str">
        <f>IF(OR(AND(Table4[[#This Row],[Decision]]="f",Table4[[#This Row],[Desired_Action]]="fold"),AND(Table4[[#This Row],[Decision]]="o",Table4[[#This Row],[Desired_Action]]="open")),"Correct","Incorrect")</f>
        <v>Correct</v>
      </c>
      <c r="J45" t="str">
        <f t="shared" si="0"/>
        <v>96o</v>
      </c>
      <c r="K45" t="str">
        <f>VLOOKUP(IF(D45&lt;3,1/3,1/D45),Table3[[%DeckU]:[Unimproved]],2)</f>
        <v>A2s</v>
      </c>
    </row>
    <row r="46" spans="1:11" x14ac:dyDescent="0.25">
      <c r="A46" s="7">
        <f t="shared" ca="1" si="1"/>
        <v>42862.564959027775</v>
      </c>
      <c r="B46" t="s">
        <v>13</v>
      </c>
      <c r="C46">
        <v>6</v>
      </c>
      <c r="D46">
        <v>3</v>
      </c>
      <c r="E46" t="s">
        <v>185</v>
      </c>
      <c r="F46" t="s">
        <v>289</v>
      </c>
      <c r="G46" t="s">
        <v>351</v>
      </c>
      <c r="H46" t="str">
        <f>IF(MATCH(J46,Table3[Unimproved],0)&lt;MATCH(K46,Table3[Unimproved],0),"open","fold")</f>
        <v>fold</v>
      </c>
      <c r="I46" t="str">
        <f>IF(OR(AND(Table4[[#This Row],[Decision]]="f",Table4[[#This Row],[Desired_Action]]="fold"),AND(Table4[[#This Row],[Decision]]="o",Table4[[#This Row],[Desired_Action]]="open")),"Correct","Incorrect")</f>
        <v>Correct</v>
      </c>
      <c r="J46" t="str">
        <f t="shared" si="0"/>
        <v>63o</v>
      </c>
      <c r="K46" t="str">
        <f>VLOOKUP(IF(D46&lt;3,1/3,1/D46),Table3[[%DeckU]:[Unimproved]],2)</f>
        <v>K2s</v>
      </c>
    </row>
    <row r="47" spans="1:11" x14ac:dyDescent="0.25">
      <c r="A47" s="7">
        <f t="shared" ca="1" si="1"/>
        <v>42862.564959027775</v>
      </c>
      <c r="B47" t="s">
        <v>13</v>
      </c>
      <c r="C47">
        <v>6</v>
      </c>
      <c r="D47">
        <v>3</v>
      </c>
      <c r="E47" t="s">
        <v>185</v>
      </c>
      <c r="F47" t="s">
        <v>290</v>
      </c>
      <c r="G47" t="s">
        <v>351</v>
      </c>
      <c r="H47" t="str">
        <f>IF(MATCH(J47,Table3[Unimproved],0)&lt;MATCH(K47,Table3[Unimproved],0),"open","fold")</f>
        <v>fold</v>
      </c>
      <c r="I47" t="str">
        <f>IF(OR(AND(Table4[[#This Row],[Decision]]="f",Table4[[#This Row],[Desired_Action]]="fold"),AND(Table4[[#This Row],[Decision]]="o",Table4[[#This Row],[Desired_Action]]="open")),"Correct","Incorrect")</f>
        <v>Correct</v>
      </c>
      <c r="J47" t="str">
        <f t="shared" si="0"/>
        <v>93o</v>
      </c>
      <c r="K47" t="str">
        <f>VLOOKUP(IF(D47&lt;3,1/3,1/D47),Table3[[%DeckU]:[Unimproved]],2)</f>
        <v>K2s</v>
      </c>
    </row>
    <row r="48" spans="1:11" x14ac:dyDescent="0.25">
      <c r="A48" s="7">
        <f t="shared" ca="1" si="1"/>
        <v>42862.564959027775</v>
      </c>
      <c r="B48" t="s">
        <v>13</v>
      </c>
      <c r="C48">
        <v>6</v>
      </c>
      <c r="D48">
        <v>5</v>
      </c>
      <c r="E48" t="s">
        <v>187</v>
      </c>
      <c r="F48" t="s">
        <v>291</v>
      </c>
      <c r="G48" t="s">
        <v>352</v>
      </c>
      <c r="H48" t="str">
        <f>IF(MATCH(J48,Table3[Unimproved],0)&lt;MATCH(K48,Table3[Unimproved],0),"open","fold")</f>
        <v>open</v>
      </c>
      <c r="I48" t="str">
        <f>IF(OR(AND(Table4[[#This Row],[Decision]]="f",Table4[[#This Row],[Desired_Action]]="fold"),AND(Table4[[#This Row],[Decision]]="o",Table4[[#This Row],[Desired_Action]]="open")),"Correct","Incorrect")</f>
        <v>Correct</v>
      </c>
      <c r="J48" t="str">
        <f t="shared" si="0"/>
        <v>A9o</v>
      </c>
      <c r="K48" t="str">
        <f>VLOOKUP(IF(D48&lt;3,1/3,1/D48),Table3[[%DeckU]:[Unimproved]],2)</f>
        <v>A2s</v>
      </c>
    </row>
    <row r="49" spans="1:11" x14ac:dyDescent="0.25">
      <c r="A49" s="7">
        <f t="shared" ca="1" si="1"/>
        <v>42862.564959027775</v>
      </c>
      <c r="B49" t="s">
        <v>13</v>
      </c>
      <c r="C49">
        <v>6</v>
      </c>
      <c r="D49">
        <v>5</v>
      </c>
      <c r="E49" t="s">
        <v>187</v>
      </c>
      <c r="F49" t="s">
        <v>292</v>
      </c>
      <c r="G49" t="s">
        <v>352</v>
      </c>
      <c r="H49" t="str">
        <f>IF(MATCH(J49,Table3[Unimproved],0)&lt;MATCH(K49,Table3[Unimproved],0),"open","fold")</f>
        <v>open</v>
      </c>
      <c r="I49" t="str">
        <f>IF(OR(AND(Table4[[#This Row],[Decision]]="f",Table4[[#This Row],[Desired_Action]]="fold"),AND(Table4[[#This Row],[Decision]]="o",Table4[[#This Row],[Desired_Action]]="open")),"Correct","Incorrect")</f>
        <v>Correct</v>
      </c>
      <c r="J49" t="str">
        <f t="shared" si="0"/>
        <v>A3s</v>
      </c>
      <c r="K49" t="str">
        <f>VLOOKUP(IF(D49&lt;3,1/3,1/D49),Table3[[%DeckU]:[Unimproved]],2)</f>
        <v>A2s</v>
      </c>
    </row>
    <row r="50" spans="1:11" x14ac:dyDescent="0.25">
      <c r="A50" s="7">
        <f t="shared" ca="1" si="1"/>
        <v>42862.564959027775</v>
      </c>
      <c r="B50" t="s">
        <v>13</v>
      </c>
      <c r="C50">
        <v>6</v>
      </c>
      <c r="D50">
        <v>3</v>
      </c>
      <c r="E50" t="s">
        <v>185</v>
      </c>
      <c r="F50" t="s">
        <v>293</v>
      </c>
      <c r="G50" t="s">
        <v>351</v>
      </c>
      <c r="H50" t="str">
        <f>IF(MATCH(J50,Table3[Unimproved],0)&lt;MATCH(K50,Table3[Unimproved],0),"open","fold")</f>
        <v>fold</v>
      </c>
      <c r="I50" t="str">
        <f>IF(OR(AND(Table4[[#This Row],[Decision]]="f",Table4[[#This Row],[Desired_Action]]="fold"),AND(Table4[[#This Row],[Decision]]="o",Table4[[#This Row],[Desired_Action]]="open")),"Correct","Incorrect")</f>
        <v>Correct</v>
      </c>
      <c r="J50" t="str">
        <f t="shared" si="0"/>
        <v>J3o</v>
      </c>
      <c r="K50" t="str">
        <f>VLOOKUP(IF(D50&lt;3,1/3,1/D50),Table3[[%DeckU]:[Unimproved]],2)</f>
        <v>K2s</v>
      </c>
    </row>
    <row r="51" spans="1:11" x14ac:dyDescent="0.25">
      <c r="A51" s="7">
        <f t="shared" ca="1" si="1"/>
        <v>42862.564959027775</v>
      </c>
      <c r="B51" t="s">
        <v>13</v>
      </c>
      <c r="C51">
        <v>6</v>
      </c>
      <c r="D51">
        <v>3</v>
      </c>
      <c r="E51" t="s">
        <v>185</v>
      </c>
      <c r="F51" t="s">
        <v>294</v>
      </c>
      <c r="G51" t="s">
        <v>352</v>
      </c>
      <c r="H51" t="str">
        <f>IF(MATCH(J51,Table3[Unimproved],0)&lt;MATCH(K51,Table3[Unimproved],0),"open","fold")</f>
        <v>fold</v>
      </c>
      <c r="I51" t="str">
        <f>IF(OR(AND(Table4[[#This Row],[Decision]]="f",Table4[[#This Row],[Desired_Action]]="fold"),AND(Table4[[#This Row],[Decision]]="o",Table4[[#This Row],[Desired_Action]]="open")),"Correct","Incorrect")</f>
        <v>Incorrect</v>
      </c>
      <c r="J51" t="str">
        <f t="shared" si="0"/>
        <v>JTo</v>
      </c>
      <c r="K51" t="str">
        <f>VLOOKUP(IF(D51&lt;3,1/3,1/D51),Table3[[%DeckU]:[Unimproved]],2)</f>
        <v>K2s</v>
      </c>
    </row>
    <row r="52" spans="1:11" x14ac:dyDescent="0.25">
      <c r="A52" s="7"/>
      <c r="B52" t="s">
        <v>13</v>
      </c>
      <c r="C52">
        <v>6</v>
      </c>
      <c r="D52">
        <v>3</v>
      </c>
      <c r="E52" t="s">
        <v>185</v>
      </c>
      <c r="F52" t="s">
        <v>295</v>
      </c>
      <c r="H52" t="str">
        <f>IF(MATCH(J52,Table3[Unimproved],0)&lt;MATCH(K52,Table3[Unimproved],0),"open","fold")</f>
        <v>fold</v>
      </c>
      <c r="J52" t="str">
        <f t="shared" si="0"/>
        <v>JTs</v>
      </c>
      <c r="K52" t="str">
        <f>VLOOKUP(IF(D52&lt;3,1/3,1/D52),Table3[[%DeckU]:[Unimproved]],2)</f>
        <v>K2s</v>
      </c>
    </row>
    <row r="53" spans="1:11" x14ac:dyDescent="0.25">
      <c r="A53" s="7"/>
      <c r="B53" t="s">
        <v>13</v>
      </c>
      <c r="C53">
        <v>6</v>
      </c>
      <c r="D53">
        <v>3</v>
      </c>
      <c r="E53" t="s">
        <v>185</v>
      </c>
      <c r="F53" t="s">
        <v>296</v>
      </c>
      <c r="H53" t="str">
        <f>IF(MATCH(J53,Table3[Unimproved],0)&lt;MATCH(K53,Table3[Unimproved],0),"open","fold")</f>
        <v>fold</v>
      </c>
      <c r="J53" t="str">
        <f t="shared" si="0"/>
        <v>J5o</v>
      </c>
      <c r="K53" t="str">
        <f>VLOOKUP(IF(D53&lt;3,1/3,1/D53),Table3[[%DeckU]:[Unimproved]],2)</f>
        <v>K2s</v>
      </c>
    </row>
    <row r="54" spans="1:11" x14ac:dyDescent="0.25">
      <c r="A54" s="7"/>
      <c r="B54" t="s">
        <v>13</v>
      </c>
      <c r="C54">
        <v>6</v>
      </c>
      <c r="D54">
        <v>4</v>
      </c>
      <c r="E54" t="s">
        <v>186</v>
      </c>
      <c r="F54" t="s">
        <v>297</v>
      </c>
      <c r="H54" t="str">
        <f>IF(MATCH(J54,Table3[Unimproved],0)&lt;MATCH(K54,Table3[Unimproved],0),"open","fold")</f>
        <v>open</v>
      </c>
      <c r="J54" t="str">
        <f t="shared" si="0"/>
        <v>55</v>
      </c>
      <c r="K54" t="str">
        <f>VLOOKUP(IF(D54&lt;3,1/3,1/D54),Table3[[%DeckU]:[Unimproved]],2)</f>
        <v>K9s</v>
      </c>
    </row>
    <row r="55" spans="1:11" x14ac:dyDescent="0.25">
      <c r="A55" s="7"/>
      <c r="B55" t="s">
        <v>13</v>
      </c>
      <c r="C55">
        <v>6</v>
      </c>
      <c r="D55">
        <v>6</v>
      </c>
      <c r="E55" t="s">
        <v>188</v>
      </c>
      <c r="F55" t="s">
        <v>298</v>
      </c>
      <c r="H55" t="str">
        <f>IF(MATCH(J55,Table3[Unimproved],0)&lt;MATCH(K55,Table3[Unimproved],0),"open","fold")</f>
        <v>fold</v>
      </c>
      <c r="J55" t="str">
        <f t="shared" si="0"/>
        <v>75o</v>
      </c>
      <c r="K55" t="str">
        <f>VLOOKUP(IF(D55&lt;3,1/3,1/D55),Table3[[%DeckU]:[Unimproved]],2)</f>
        <v>A5s</v>
      </c>
    </row>
    <row r="56" spans="1:11" x14ac:dyDescent="0.25">
      <c r="A56" s="7"/>
      <c r="B56" t="s">
        <v>13</v>
      </c>
      <c r="C56">
        <v>6</v>
      </c>
      <c r="D56">
        <v>6</v>
      </c>
      <c r="E56" t="s">
        <v>188</v>
      </c>
      <c r="F56" t="s">
        <v>299</v>
      </c>
      <c r="H56" t="str">
        <f>IF(MATCH(J56,Table3[Unimproved],0)&lt;MATCH(K56,Table3[Unimproved],0),"open","fold")</f>
        <v>open</v>
      </c>
      <c r="J56" t="str">
        <f t="shared" si="0"/>
        <v>77</v>
      </c>
      <c r="K56" t="str">
        <f>VLOOKUP(IF(D56&lt;3,1/3,1/D56),Table3[[%DeckU]:[Unimproved]],2)</f>
        <v>A5s</v>
      </c>
    </row>
    <row r="57" spans="1:11" x14ac:dyDescent="0.25">
      <c r="A57" s="7"/>
      <c r="B57" t="s">
        <v>13</v>
      </c>
      <c r="C57">
        <v>6</v>
      </c>
      <c r="D57">
        <v>4</v>
      </c>
      <c r="E57" t="s">
        <v>186</v>
      </c>
      <c r="F57" t="s">
        <v>300</v>
      </c>
      <c r="H57" t="str">
        <f>IF(MATCH(J57,Table3[Unimproved],0)&lt;MATCH(K57,Table3[Unimproved],0),"open","fold")</f>
        <v>fold</v>
      </c>
      <c r="J57" t="str">
        <f t="shared" si="0"/>
        <v>75o</v>
      </c>
      <c r="K57" t="str">
        <f>VLOOKUP(IF(D57&lt;3,1/3,1/D57),Table3[[%DeckU]:[Unimproved]],2)</f>
        <v>K9s</v>
      </c>
    </row>
    <row r="58" spans="1:11" x14ac:dyDescent="0.25">
      <c r="A58" s="7"/>
      <c r="B58" t="s">
        <v>13</v>
      </c>
      <c r="C58">
        <v>6</v>
      </c>
      <c r="D58">
        <v>3</v>
      </c>
      <c r="E58" t="s">
        <v>185</v>
      </c>
      <c r="F58" t="s">
        <v>301</v>
      </c>
      <c r="H58" t="str">
        <f>IF(MATCH(J58,Table3[Unimproved],0)&lt;MATCH(K58,Table3[Unimproved],0),"open","fold")</f>
        <v>open</v>
      </c>
      <c r="J58" t="str">
        <f t="shared" si="0"/>
        <v>A5o</v>
      </c>
      <c r="K58" t="str">
        <f>VLOOKUP(IF(D58&lt;3,1/3,1/D58),Table3[[%DeckU]:[Unimproved]],2)</f>
        <v>K2s</v>
      </c>
    </row>
    <row r="59" spans="1:11" x14ac:dyDescent="0.25">
      <c r="A59" s="7"/>
      <c r="B59" t="s">
        <v>13</v>
      </c>
      <c r="C59">
        <v>6</v>
      </c>
      <c r="D59">
        <v>6</v>
      </c>
      <c r="E59" t="s">
        <v>188</v>
      </c>
      <c r="F59" t="s">
        <v>302</v>
      </c>
      <c r="H59" t="str">
        <f>IF(MATCH(J59,Table3[Unimproved],0)&lt;MATCH(K59,Table3[Unimproved],0),"open","fold")</f>
        <v>open</v>
      </c>
      <c r="J59" t="str">
        <f t="shared" si="0"/>
        <v>A9o</v>
      </c>
      <c r="K59" t="str">
        <f>VLOOKUP(IF(D59&lt;3,1/3,1/D59),Table3[[%DeckU]:[Unimproved]],2)</f>
        <v>A5s</v>
      </c>
    </row>
    <row r="60" spans="1:11" x14ac:dyDescent="0.25">
      <c r="A60" s="7"/>
      <c r="B60" t="s">
        <v>13</v>
      </c>
      <c r="C60">
        <v>6</v>
      </c>
      <c r="D60">
        <v>3</v>
      </c>
      <c r="E60" t="s">
        <v>185</v>
      </c>
      <c r="F60" t="s">
        <v>303</v>
      </c>
      <c r="H60" t="str">
        <f>IF(MATCH(J60,Table3[Unimproved],0)&lt;MATCH(K60,Table3[Unimproved],0),"open","fold")</f>
        <v>fold</v>
      </c>
      <c r="J60" t="str">
        <f t="shared" si="0"/>
        <v>95o</v>
      </c>
      <c r="K60" t="str">
        <f>VLOOKUP(IF(D60&lt;3,1/3,1/D60),Table3[[%DeckU]:[Unimproved]],2)</f>
        <v>K2s</v>
      </c>
    </row>
    <row r="61" spans="1:11" x14ac:dyDescent="0.25">
      <c r="A61" s="7"/>
      <c r="B61" t="s">
        <v>13</v>
      </c>
      <c r="C61">
        <v>6</v>
      </c>
      <c r="D61">
        <v>6</v>
      </c>
      <c r="E61" t="s">
        <v>188</v>
      </c>
      <c r="F61" t="s">
        <v>304</v>
      </c>
      <c r="H61" t="str">
        <f>IF(MATCH(J61,Table3[Unimproved],0)&lt;MATCH(K61,Table3[Unimproved],0),"open","fold")</f>
        <v>open</v>
      </c>
      <c r="J61" t="str">
        <f t="shared" si="0"/>
        <v>55</v>
      </c>
      <c r="K61" t="str">
        <f>VLOOKUP(IF(D61&lt;3,1/3,1/D61),Table3[[%DeckU]:[Unimproved]],2)</f>
        <v>A5s</v>
      </c>
    </row>
    <row r="62" spans="1:11" x14ac:dyDescent="0.25">
      <c r="A62" s="7"/>
      <c r="B62" t="s">
        <v>13</v>
      </c>
      <c r="C62">
        <v>6</v>
      </c>
      <c r="D62">
        <v>4</v>
      </c>
      <c r="E62" t="s">
        <v>186</v>
      </c>
      <c r="F62" t="s">
        <v>305</v>
      </c>
      <c r="H62" t="str">
        <f>IF(MATCH(J62,Table3[Unimproved],0)&lt;MATCH(K62,Table3[Unimproved],0),"open","fold")</f>
        <v>fold</v>
      </c>
      <c r="J62" t="str">
        <f t="shared" si="0"/>
        <v>65o</v>
      </c>
      <c r="K62" t="str">
        <f>VLOOKUP(IF(D62&lt;3,1/3,1/D62),Table3[[%DeckU]:[Unimproved]],2)</f>
        <v>K9s</v>
      </c>
    </row>
    <row r="63" spans="1:11" x14ac:dyDescent="0.25">
      <c r="A63" s="7"/>
      <c r="B63" t="s">
        <v>13</v>
      </c>
      <c r="C63">
        <v>6</v>
      </c>
      <c r="D63">
        <v>3</v>
      </c>
      <c r="E63" t="s">
        <v>185</v>
      </c>
      <c r="F63" t="s">
        <v>306</v>
      </c>
      <c r="H63" t="str">
        <f>IF(MATCH(J63,Table3[Unimproved],0)&lt;MATCH(K63,Table3[Unimproved],0),"open","fold")</f>
        <v>fold</v>
      </c>
      <c r="J63" t="str">
        <f t="shared" si="0"/>
        <v>63o</v>
      </c>
      <c r="K63" t="str">
        <f>VLOOKUP(IF(D63&lt;3,1/3,1/D63),Table3[[%DeckU]:[Unimproved]],2)</f>
        <v>K2s</v>
      </c>
    </row>
    <row r="64" spans="1:11" x14ac:dyDescent="0.25">
      <c r="A64" s="7"/>
      <c r="B64" t="s">
        <v>13</v>
      </c>
      <c r="C64">
        <v>6</v>
      </c>
      <c r="D64">
        <v>3</v>
      </c>
      <c r="E64" t="s">
        <v>185</v>
      </c>
      <c r="F64" t="s">
        <v>307</v>
      </c>
      <c r="H64" t="str">
        <f>IF(MATCH(J64,Table3[Unimproved],0)&lt;MATCH(K64,Table3[Unimproved],0),"open","fold")</f>
        <v>fold</v>
      </c>
      <c r="J64" t="str">
        <f t="shared" si="0"/>
        <v>73o</v>
      </c>
      <c r="K64" t="str">
        <f>VLOOKUP(IF(D64&lt;3,1/3,1/D64),Table3[[%DeckU]:[Unimproved]],2)</f>
        <v>K2s</v>
      </c>
    </row>
    <row r="65" spans="1:11" x14ac:dyDescent="0.25">
      <c r="A65" s="7"/>
      <c r="B65" t="s">
        <v>13</v>
      </c>
      <c r="C65">
        <v>6</v>
      </c>
      <c r="D65">
        <v>4</v>
      </c>
      <c r="E65" t="s">
        <v>186</v>
      </c>
      <c r="F65" t="s">
        <v>308</v>
      </c>
      <c r="H65" t="str">
        <f>IF(MATCH(J65,Table3[Unimproved],0)&lt;MATCH(K65,Table3[Unimproved],0),"open","fold")</f>
        <v>fold</v>
      </c>
      <c r="J65" t="str">
        <f t="shared" si="0"/>
        <v>76o</v>
      </c>
      <c r="K65" t="str">
        <f>VLOOKUP(IF(D65&lt;3,1/3,1/D65),Table3[[%DeckU]:[Unimproved]],2)</f>
        <v>K9s</v>
      </c>
    </row>
    <row r="66" spans="1:11" x14ac:dyDescent="0.25">
      <c r="A66" s="7"/>
      <c r="B66" t="s">
        <v>13</v>
      </c>
      <c r="C66">
        <v>6</v>
      </c>
      <c r="D66">
        <v>3</v>
      </c>
      <c r="E66" t="s">
        <v>185</v>
      </c>
      <c r="F66" t="s">
        <v>309</v>
      </c>
      <c r="H66" t="str">
        <f>IF(MATCH(J66,Table3[Unimproved],0)&lt;MATCH(K66,Table3[Unimproved],0),"open","fold")</f>
        <v>fold</v>
      </c>
      <c r="J66" t="str">
        <f t="shared" ref="J66:J101" si="2">IF(MID(F66,1,1)=MID(F66,3,1),MID(F66,1,1)&amp;MID(F66,3,1),IF(MID(F66,2,1)=MID(F66,4,1),MID(F66,1,1)&amp;MID(F66,3,1)&amp;"s",MID(F66,1,1)&amp;MID(F66,3,1)&amp;"o"))</f>
        <v>J6s</v>
      </c>
      <c r="K66" t="str">
        <f>VLOOKUP(IF(D66&lt;3,1/3,1/D66),Table3[[%DeckU]:[Unimproved]],2)</f>
        <v>K2s</v>
      </c>
    </row>
    <row r="67" spans="1:11" x14ac:dyDescent="0.25">
      <c r="A67" s="7"/>
      <c r="B67" t="s">
        <v>13</v>
      </c>
      <c r="C67">
        <v>6</v>
      </c>
      <c r="D67">
        <v>3</v>
      </c>
      <c r="E67" t="s">
        <v>185</v>
      </c>
      <c r="F67" t="s">
        <v>310</v>
      </c>
      <c r="H67" t="str">
        <f>IF(MATCH(J67,Table3[Unimproved],0)&lt;MATCH(K67,Table3[Unimproved],0),"open","fold")</f>
        <v>open</v>
      </c>
      <c r="J67" t="str">
        <f t="shared" si="2"/>
        <v>KJo</v>
      </c>
      <c r="K67" t="str">
        <f>VLOOKUP(IF(D67&lt;3,1/3,1/D67),Table3[[%DeckU]:[Unimproved]],2)</f>
        <v>K2s</v>
      </c>
    </row>
    <row r="68" spans="1:11" x14ac:dyDescent="0.25">
      <c r="A68" s="7"/>
      <c r="B68" t="s">
        <v>13</v>
      </c>
      <c r="C68">
        <v>6</v>
      </c>
      <c r="D68">
        <v>3</v>
      </c>
      <c r="E68" t="s">
        <v>185</v>
      </c>
      <c r="F68" t="s">
        <v>311</v>
      </c>
      <c r="H68" t="str">
        <f>IF(MATCH(J68,Table3[Unimproved],0)&lt;MATCH(K68,Table3[Unimproved],0),"open","fold")</f>
        <v>fold</v>
      </c>
      <c r="J68" t="str">
        <f t="shared" si="2"/>
        <v>K2o</v>
      </c>
      <c r="K68" t="str">
        <f>VLOOKUP(IF(D68&lt;3,1/3,1/D68),Table3[[%DeckU]:[Unimproved]],2)</f>
        <v>K2s</v>
      </c>
    </row>
    <row r="69" spans="1:11" x14ac:dyDescent="0.25">
      <c r="A69" s="7"/>
      <c r="B69" t="s">
        <v>13</v>
      </c>
      <c r="C69">
        <v>6</v>
      </c>
      <c r="D69">
        <v>6</v>
      </c>
      <c r="E69" t="s">
        <v>188</v>
      </c>
      <c r="F69" t="s">
        <v>312</v>
      </c>
      <c r="H69" t="str">
        <f>IF(MATCH(J69,Table3[Unimproved],0)&lt;MATCH(K69,Table3[Unimproved],0),"open","fold")</f>
        <v>fold</v>
      </c>
      <c r="J69" t="str">
        <f t="shared" si="2"/>
        <v>T2o</v>
      </c>
      <c r="K69" t="str">
        <f>VLOOKUP(IF(D69&lt;3,1/3,1/D69),Table3[[%DeckU]:[Unimproved]],2)</f>
        <v>A5s</v>
      </c>
    </row>
    <row r="70" spans="1:11" x14ac:dyDescent="0.25">
      <c r="A70" s="7"/>
      <c r="B70" t="s">
        <v>13</v>
      </c>
      <c r="C70">
        <v>6</v>
      </c>
      <c r="D70">
        <v>5</v>
      </c>
      <c r="E70" t="s">
        <v>187</v>
      </c>
      <c r="F70" t="s">
        <v>313</v>
      </c>
      <c r="H70" t="str">
        <f>IF(MATCH(J70,Table3[Unimproved],0)&lt;MATCH(K70,Table3[Unimproved],0),"open","fold")</f>
        <v>fold</v>
      </c>
      <c r="J70" t="str">
        <f t="shared" si="2"/>
        <v>QTo</v>
      </c>
      <c r="K70" t="str">
        <f>VLOOKUP(IF(D70&lt;3,1/3,1/D70),Table3[[%DeckU]:[Unimproved]],2)</f>
        <v>A2s</v>
      </c>
    </row>
    <row r="71" spans="1:11" x14ac:dyDescent="0.25">
      <c r="A71" s="7"/>
      <c r="B71" t="s">
        <v>13</v>
      </c>
      <c r="C71">
        <v>6</v>
      </c>
      <c r="D71">
        <v>5</v>
      </c>
      <c r="E71" t="s">
        <v>187</v>
      </c>
      <c r="F71" t="s">
        <v>277</v>
      </c>
      <c r="H71" t="str">
        <f>IF(MATCH(J71,Table3[Unimproved],0)&lt;MATCH(K71,Table3[Unimproved],0),"open","fold")</f>
        <v>fold</v>
      </c>
      <c r="J71" t="str">
        <f t="shared" si="2"/>
        <v>KQs</v>
      </c>
      <c r="K71" t="str">
        <f>VLOOKUP(IF(D71&lt;3,1/3,1/D71),Table3[[%DeckU]:[Unimproved]],2)</f>
        <v>A2s</v>
      </c>
    </row>
    <row r="72" spans="1:11" x14ac:dyDescent="0.25">
      <c r="A72" s="7"/>
      <c r="B72" t="s">
        <v>13</v>
      </c>
      <c r="C72">
        <v>6</v>
      </c>
      <c r="D72">
        <v>3</v>
      </c>
      <c r="E72" t="s">
        <v>185</v>
      </c>
      <c r="F72" t="s">
        <v>314</v>
      </c>
      <c r="H72" t="str">
        <f>IF(MATCH(J72,Table3[Unimproved],0)&lt;MATCH(K72,Table3[Unimproved],0),"open","fold")</f>
        <v>open</v>
      </c>
      <c r="J72" t="str">
        <f t="shared" si="2"/>
        <v>AKo</v>
      </c>
      <c r="K72" t="str">
        <f>VLOOKUP(IF(D72&lt;3,1/3,1/D72),Table3[[%DeckU]:[Unimproved]],2)</f>
        <v>K2s</v>
      </c>
    </row>
    <row r="73" spans="1:11" x14ac:dyDescent="0.25">
      <c r="A73" s="7"/>
      <c r="B73" t="s">
        <v>13</v>
      </c>
      <c r="C73">
        <v>6</v>
      </c>
      <c r="D73">
        <v>3</v>
      </c>
      <c r="E73" t="s">
        <v>185</v>
      </c>
      <c r="F73" t="s">
        <v>315</v>
      </c>
      <c r="H73" t="str">
        <f>IF(MATCH(J73,Table3[Unimproved],0)&lt;MATCH(K73,Table3[Unimproved],0),"open","fold")</f>
        <v>open</v>
      </c>
      <c r="J73" t="str">
        <f t="shared" si="2"/>
        <v>AJo</v>
      </c>
      <c r="K73" t="str">
        <f>VLOOKUP(IF(D73&lt;3,1/3,1/D73),Table3[[%DeckU]:[Unimproved]],2)</f>
        <v>K2s</v>
      </c>
    </row>
    <row r="74" spans="1:11" x14ac:dyDescent="0.25">
      <c r="A74" s="7"/>
      <c r="B74" t="s">
        <v>13</v>
      </c>
      <c r="C74">
        <v>6</v>
      </c>
      <c r="D74">
        <v>3</v>
      </c>
      <c r="E74" t="s">
        <v>185</v>
      </c>
      <c r="F74" t="s">
        <v>316</v>
      </c>
      <c r="H74" t="str">
        <f>IF(MATCH(J74,Table3[Unimproved],0)&lt;MATCH(K74,Table3[Unimproved],0),"open","fold")</f>
        <v>open</v>
      </c>
      <c r="J74" t="str">
        <f t="shared" si="2"/>
        <v>JJ</v>
      </c>
      <c r="K74" t="str">
        <f>VLOOKUP(IF(D74&lt;3,1/3,1/D74),Table3[[%DeckU]:[Unimproved]],2)</f>
        <v>K2s</v>
      </c>
    </row>
    <row r="75" spans="1:11" x14ac:dyDescent="0.25">
      <c r="A75" s="7"/>
      <c r="B75" t="s">
        <v>13</v>
      </c>
      <c r="C75">
        <v>6</v>
      </c>
      <c r="D75">
        <v>5</v>
      </c>
      <c r="E75" t="s">
        <v>187</v>
      </c>
      <c r="F75" t="s">
        <v>317</v>
      </c>
      <c r="H75" t="str">
        <f>IF(MATCH(J75,Table3[Unimproved],0)&lt;MATCH(K75,Table3[Unimproved],0),"open","fold")</f>
        <v>fold</v>
      </c>
      <c r="J75" t="str">
        <f t="shared" si="2"/>
        <v>J3s</v>
      </c>
      <c r="K75" t="str">
        <f>VLOOKUP(IF(D75&lt;3,1/3,1/D75),Table3[[%DeckU]:[Unimproved]],2)</f>
        <v>A2s</v>
      </c>
    </row>
    <row r="76" spans="1:11" x14ac:dyDescent="0.25">
      <c r="A76" s="7"/>
      <c r="B76" t="s">
        <v>13</v>
      </c>
      <c r="C76">
        <v>6</v>
      </c>
      <c r="D76">
        <v>3</v>
      </c>
      <c r="E76" t="s">
        <v>185</v>
      </c>
      <c r="F76" t="s">
        <v>318</v>
      </c>
      <c r="H76" t="str">
        <f>IF(MATCH(J76,Table3[Unimproved],0)&lt;MATCH(K76,Table3[Unimproved],0),"open","fold")</f>
        <v>fold</v>
      </c>
      <c r="J76" t="str">
        <f t="shared" si="2"/>
        <v>53s</v>
      </c>
      <c r="K76" t="str">
        <f>VLOOKUP(IF(D76&lt;3,1/3,1/D76),Table3[[%DeckU]:[Unimproved]],2)</f>
        <v>K2s</v>
      </c>
    </row>
    <row r="77" spans="1:11" x14ac:dyDescent="0.25">
      <c r="A77" s="7"/>
      <c r="B77" t="s">
        <v>13</v>
      </c>
      <c r="C77">
        <v>6</v>
      </c>
      <c r="D77">
        <v>3</v>
      </c>
      <c r="E77" t="s">
        <v>185</v>
      </c>
      <c r="F77" t="s">
        <v>319</v>
      </c>
      <c r="H77" t="str">
        <f>IF(MATCH(J77,Table3[Unimproved],0)&lt;MATCH(K77,Table3[Unimproved],0),"open","fold")</f>
        <v>fold</v>
      </c>
      <c r="J77" t="str">
        <f t="shared" si="2"/>
        <v>52o</v>
      </c>
      <c r="K77" t="str">
        <f>VLOOKUP(IF(D77&lt;3,1/3,1/D77),Table3[[%DeckU]:[Unimproved]],2)</f>
        <v>K2s</v>
      </c>
    </row>
    <row r="78" spans="1:11" x14ac:dyDescent="0.25">
      <c r="A78" s="7"/>
      <c r="B78" t="s">
        <v>13</v>
      </c>
      <c r="C78">
        <v>6</v>
      </c>
      <c r="D78">
        <v>5</v>
      </c>
      <c r="E78" t="s">
        <v>187</v>
      </c>
      <c r="F78" t="s">
        <v>320</v>
      </c>
      <c r="H78" t="str">
        <f>IF(MATCH(J78,Table3[Unimproved],0)&lt;MATCH(K78,Table3[Unimproved],0),"open","fold")</f>
        <v>fold</v>
      </c>
      <c r="J78" t="str">
        <f t="shared" si="2"/>
        <v>J2o</v>
      </c>
      <c r="K78" t="str">
        <f>VLOOKUP(IF(D78&lt;3,1/3,1/D78),Table3[[%DeckU]:[Unimproved]],2)</f>
        <v>A2s</v>
      </c>
    </row>
    <row r="79" spans="1:11" x14ac:dyDescent="0.25">
      <c r="A79" s="7"/>
      <c r="B79" t="s">
        <v>13</v>
      </c>
      <c r="C79">
        <v>6</v>
      </c>
      <c r="D79">
        <v>3</v>
      </c>
      <c r="E79" t="s">
        <v>185</v>
      </c>
      <c r="F79" t="s">
        <v>261</v>
      </c>
      <c r="H79" t="str">
        <f>IF(MATCH(J79,Table3[Unimproved],0)&lt;MATCH(K79,Table3[Unimproved],0),"open","fold")</f>
        <v>fold</v>
      </c>
      <c r="J79" t="str">
        <f t="shared" si="2"/>
        <v>JTo</v>
      </c>
      <c r="K79" t="str">
        <f>VLOOKUP(IF(D79&lt;3,1/3,1/D79),Table3[[%DeckU]:[Unimproved]],2)</f>
        <v>K2s</v>
      </c>
    </row>
    <row r="80" spans="1:11" x14ac:dyDescent="0.25">
      <c r="A80" s="7"/>
      <c r="B80" t="s">
        <v>13</v>
      </c>
      <c r="C80">
        <v>6</v>
      </c>
      <c r="D80">
        <v>3</v>
      </c>
      <c r="E80" t="s">
        <v>185</v>
      </c>
      <c r="F80" t="s">
        <v>321</v>
      </c>
      <c r="H80" t="str">
        <f>IF(MATCH(J80,Table3[Unimproved],0)&lt;MATCH(K80,Table3[Unimproved],0),"open","fold")</f>
        <v>fold</v>
      </c>
      <c r="J80" t="str">
        <f t="shared" si="2"/>
        <v>T4o</v>
      </c>
      <c r="K80" t="str">
        <f>VLOOKUP(IF(D80&lt;3,1/3,1/D80),Table3[[%DeckU]:[Unimproved]],2)</f>
        <v>K2s</v>
      </c>
    </row>
    <row r="81" spans="1:11" x14ac:dyDescent="0.25">
      <c r="A81" s="7"/>
      <c r="B81" t="s">
        <v>13</v>
      </c>
      <c r="C81">
        <v>6</v>
      </c>
      <c r="D81">
        <v>6</v>
      </c>
      <c r="E81" t="s">
        <v>188</v>
      </c>
      <c r="F81" t="s">
        <v>322</v>
      </c>
      <c r="H81" t="str">
        <f>IF(MATCH(J81,Table3[Unimproved],0)&lt;MATCH(K81,Table3[Unimproved],0),"open","fold")</f>
        <v>fold</v>
      </c>
      <c r="J81" t="str">
        <f t="shared" si="2"/>
        <v>T4o</v>
      </c>
      <c r="K81" t="str">
        <f>VLOOKUP(IF(D81&lt;3,1/3,1/D81),Table3[[%DeckU]:[Unimproved]],2)</f>
        <v>A5s</v>
      </c>
    </row>
    <row r="82" spans="1:11" x14ac:dyDescent="0.25">
      <c r="A82" s="7"/>
      <c r="B82" t="s">
        <v>13</v>
      </c>
      <c r="C82">
        <v>6</v>
      </c>
      <c r="D82">
        <v>5</v>
      </c>
      <c r="E82" t="s">
        <v>187</v>
      </c>
      <c r="F82" t="s">
        <v>323</v>
      </c>
      <c r="H82" t="str">
        <f>IF(MATCH(J82,Table3[Unimproved],0)&lt;MATCH(K82,Table3[Unimproved],0),"open","fold")</f>
        <v>fold</v>
      </c>
      <c r="J82" t="str">
        <f t="shared" si="2"/>
        <v>T5o</v>
      </c>
      <c r="K82" t="str">
        <f>VLOOKUP(IF(D82&lt;3,1/3,1/D82),Table3[[%DeckU]:[Unimproved]],2)</f>
        <v>A2s</v>
      </c>
    </row>
    <row r="83" spans="1:11" x14ac:dyDescent="0.25">
      <c r="A83" s="7"/>
      <c r="B83" t="s">
        <v>13</v>
      </c>
      <c r="C83">
        <v>6</v>
      </c>
      <c r="D83">
        <v>6</v>
      </c>
      <c r="E83" t="s">
        <v>188</v>
      </c>
      <c r="F83" t="s">
        <v>324</v>
      </c>
      <c r="H83" t="str">
        <f>IF(MATCH(J83,Table3[Unimproved],0)&lt;MATCH(K83,Table3[Unimproved],0),"open","fold")</f>
        <v>fold</v>
      </c>
      <c r="J83" t="str">
        <f t="shared" si="2"/>
        <v>54s</v>
      </c>
      <c r="K83" t="str">
        <f>VLOOKUP(IF(D83&lt;3,1/3,1/D83),Table3[[%DeckU]:[Unimproved]],2)</f>
        <v>A5s</v>
      </c>
    </row>
    <row r="84" spans="1:11" x14ac:dyDescent="0.25">
      <c r="A84" s="7"/>
      <c r="B84" t="s">
        <v>13</v>
      </c>
      <c r="C84">
        <v>6</v>
      </c>
      <c r="D84">
        <v>6</v>
      </c>
      <c r="E84" t="s">
        <v>188</v>
      </c>
      <c r="F84" t="s">
        <v>325</v>
      </c>
      <c r="H84" t="str">
        <f>IF(MATCH(J84,Table3[Unimproved],0)&lt;MATCH(K84,Table3[Unimproved],0),"open","fold")</f>
        <v>fold</v>
      </c>
      <c r="J84" t="str">
        <f t="shared" si="2"/>
        <v>54o</v>
      </c>
      <c r="K84" t="str">
        <f>VLOOKUP(IF(D84&lt;3,1/3,1/D84),Table3[[%DeckU]:[Unimproved]],2)</f>
        <v>A5s</v>
      </c>
    </row>
    <row r="85" spans="1:11" x14ac:dyDescent="0.25">
      <c r="A85" s="7"/>
      <c r="B85" t="s">
        <v>13</v>
      </c>
      <c r="C85">
        <v>6</v>
      </c>
      <c r="D85">
        <v>3</v>
      </c>
      <c r="E85" t="s">
        <v>185</v>
      </c>
      <c r="F85" t="s">
        <v>326</v>
      </c>
      <c r="H85" t="str">
        <f>IF(MATCH(J85,Table3[Unimproved],0)&lt;MATCH(K85,Table3[Unimproved],0),"open","fold")</f>
        <v>open</v>
      </c>
      <c r="J85" t="str">
        <f t="shared" si="2"/>
        <v>55</v>
      </c>
      <c r="K85" t="str">
        <f>VLOOKUP(IF(D85&lt;3,1/3,1/D85),Table3[[%DeckU]:[Unimproved]],2)</f>
        <v>K2s</v>
      </c>
    </row>
    <row r="86" spans="1:11" x14ac:dyDescent="0.25">
      <c r="A86" s="7"/>
      <c r="B86" t="s">
        <v>13</v>
      </c>
      <c r="C86">
        <v>6</v>
      </c>
      <c r="D86">
        <v>5</v>
      </c>
      <c r="E86" t="s">
        <v>187</v>
      </c>
      <c r="F86" t="s">
        <v>327</v>
      </c>
      <c r="H86" t="str">
        <f>IF(MATCH(J86,Table3[Unimproved],0)&lt;MATCH(K86,Table3[Unimproved],0),"open","fold")</f>
        <v>open</v>
      </c>
      <c r="J86" t="str">
        <f t="shared" si="2"/>
        <v>33</v>
      </c>
      <c r="K86" t="str">
        <f>VLOOKUP(IF(D86&lt;3,1/3,1/D86),Table3[[%DeckU]:[Unimproved]],2)</f>
        <v>A2s</v>
      </c>
    </row>
    <row r="87" spans="1:11" x14ac:dyDescent="0.25">
      <c r="A87" s="7"/>
      <c r="B87" t="s">
        <v>13</v>
      </c>
      <c r="C87">
        <v>6</v>
      </c>
      <c r="D87">
        <v>3</v>
      </c>
      <c r="E87" t="s">
        <v>185</v>
      </c>
      <c r="F87" t="s">
        <v>328</v>
      </c>
      <c r="H87" t="str">
        <f>IF(MATCH(J87,Table3[Unimproved],0)&lt;MATCH(K87,Table3[Unimproved],0),"open","fold")</f>
        <v>fold</v>
      </c>
      <c r="J87" t="str">
        <f t="shared" si="2"/>
        <v>63s</v>
      </c>
      <c r="K87" t="str">
        <f>VLOOKUP(IF(D87&lt;3,1/3,1/D87),Table3[[%DeckU]:[Unimproved]],2)</f>
        <v>K2s</v>
      </c>
    </row>
    <row r="88" spans="1:11" x14ac:dyDescent="0.25">
      <c r="A88" s="7"/>
      <c r="B88" t="s">
        <v>13</v>
      </c>
      <c r="C88">
        <v>6</v>
      </c>
      <c r="D88">
        <v>3</v>
      </c>
      <c r="E88" t="s">
        <v>185</v>
      </c>
      <c r="F88" t="s">
        <v>329</v>
      </c>
      <c r="H88" t="str">
        <f>IF(MATCH(J88,Table3[Unimproved],0)&lt;MATCH(K88,Table3[Unimproved],0),"open","fold")</f>
        <v>open</v>
      </c>
      <c r="J88" t="str">
        <f t="shared" si="2"/>
        <v>K6s</v>
      </c>
      <c r="K88" t="str">
        <f>VLOOKUP(IF(D88&lt;3,1/3,1/D88),Table3[[%DeckU]:[Unimproved]],2)</f>
        <v>K2s</v>
      </c>
    </row>
    <row r="89" spans="1:11" x14ac:dyDescent="0.25">
      <c r="A89" s="7"/>
      <c r="B89" t="s">
        <v>13</v>
      </c>
      <c r="C89">
        <v>6</v>
      </c>
      <c r="D89">
        <v>6</v>
      </c>
      <c r="E89" t="s">
        <v>188</v>
      </c>
      <c r="F89" t="s">
        <v>330</v>
      </c>
      <c r="H89" t="str">
        <f>IF(MATCH(J89,Table3[Unimproved],0)&lt;MATCH(K89,Table3[Unimproved],0),"open","fold")</f>
        <v>fold</v>
      </c>
      <c r="J89" t="str">
        <f t="shared" si="2"/>
        <v>K8s</v>
      </c>
      <c r="K89" t="str">
        <f>VLOOKUP(IF(D89&lt;3,1/3,1/D89),Table3[[%DeckU]:[Unimproved]],2)</f>
        <v>A5s</v>
      </c>
    </row>
    <row r="90" spans="1:11" x14ac:dyDescent="0.25">
      <c r="A90" s="7"/>
      <c r="B90" t="s">
        <v>13</v>
      </c>
      <c r="C90">
        <v>6</v>
      </c>
      <c r="D90">
        <v>3</v>
      </c>
      <c r="E90" t="s">
        <v>185</v>
      </c>
      <c r="F90" t="s">
        <v>331</v>
      </c>
      <c r="H90" t="str">
        <f>IF(MATCH(J90,Table3[Unimproved],0)&lt;MATCH(K90,Table3[Unimproved],0),"open","fold")</f>
        <v>fold</v>
      </c>
      <c r="J90" t="str">
        <f t="shared" si="2"/>
        <v>T8s</v>
      </c>
      <c r="K90" t="str">
        <f>VLOOKUP(IF(D90&lt;3,1/3,1/D90),Table3[[%DeckU]:[Unimproved]],2)</f>
        <v>K2s</v>
      </c>
    </row>
    <row r="91" spans="1:11" x14ac:dyDescent="0.25">
      <c r="A91" s="7"/>
      <c r="B91" t="s">
        <v>13</v>
      </c>
      <c r="C91">
        <v>6</v>
      </c>
      <c r="D91">
        <v>5</v>
      </c>
      <c r="E91" t="s">
        <v>187</v>
      </c>
      <c r="F91" t="s">
        <v>332</v>
      </c>
      <c r="H91" t="str">
        <f>IF(MATCH(J91,Table3[Unimproved],0)&lt;MATCH(K91,Table3[Unimproved],0),"open","fold")</f>
        <v>fold</v>
      </c>
      <c r="J91" t="str">
        <f t="shared" si="2"/>
        <v>KTo</v>
      </c>
      <c r="K91" t="str">
        <f>VLOOKUP(IF(D91&lt;3,1/3,1/D91),Table3[[%DeckU]:[Unimproved]],2)</f>
        <v>A2s</v>
      </c>
    </row>
    <row r="92" spans="1:11" x14ac:dyDescent="0.25">
      <c r="A92" s="7"/>
      <c r="B92" t="s">
        <v>13</v>
      </c>
      <c r="C92">
        <v>6</v>
      </c>
      <c r="D92">
        <v>4</v>
      </c>
      <c r="E92" t="s">
        <v>186</v>
      </c>
      <c r="F92" t="s">
        <v>333</v>
      </c>
      <c r="H92" t="str">
        <f>IF(MATCH(J92,Table3[Unimproved],0)&lt;MATCH(K92,Table3[Unimproved],0),"open","fold")</f>
        <v>open</v>
      </c>
      <c r="J92" t="str">
        <f t="shared" si="2"/>
        <v>KK</v>
      </c>
      <c r="K92" t="str">
        <f>VLOOKUP(IF(D92&lt;3,1/3,1/D92),Table3[[%DeckU]:[Unimproved]],2)</f>
        <v>K9s</v>
      </c>
    </row>
    <row r="93" spans="1:11" x14ac:dyDescent="0.25">
      <c r="A93" s="7"/>
      <c r="B93" t="s">
        <v>13</v>
      </c>
      <c r="C93">
        <v>6</v>
      </c>
      <c r="D93">
        <v>4</v>
      </c>
      <c r="E93" t="s">
        <v>186</v>
      </c>
      <c r="F93" t="s">
        <v>334</v>
      </c>
      <c r="H93" t="str">
        <f>IF(MATCH(J93,Table3[Unimproved],0)&lt;MATCH(K93,Table3[Unimproved],0),"open","fold")</f>
        <v>open</v>
      </c>
      <c r="J93" t="str">
        <f t="shared" si="2"/>
        <v>KTo</v>
      </c>
      <c r="K93" t="str">
        <f>VLOOKUP(IF(D93&lt;3,1/3,1/D93),Table3[[%DeckU]:[Unimproved]],2)</f>
        <v>K9s</v>
      </c>
    </row>
    <row r="94" spans="1:11" x14ac:dyDescent="0.25">
      <c r="A94" s="7"/>
      <c r="B94" t="s">
        <v>13</v>
      </c>
      <c r="C94">
        <v>6</v>
      </c>
      <c r="D94">
        <v>6</v>
      </c>
      <c r="E94" t="s">
        <v>188</v>
      </c>
      <c r="F94" t="s">
        <v>335</v>
      </c>
      <c r="H94" t="str">
        <f>IF(MATCH(J94,Table3[Unimproved],0)&lt;MATCH(K94,Table3[Unimproved],0),"open","fold")</f>
        <v>fold</v>
      </c>
      <c r="J94" t="str">
        <f t="shared" si="2"/>
        <v>QTo</v>
      </c>
      <c r="K94" t="str">
        <f>VLOOKUP(IF(D94&lt;3,1/3,1/D94),Table3[[%DeckU]:[Unimproved]],2)</f>
        <v>A5s</v>
      </c>
    </row>
    <row r="95" spans="1:11" x14ac:dyDescent="0.25">
      <c r="A95" s="7"/>
      <c r="B95" t="s">
        <v>13</v>
      </c>
      <c r="C95">
        <v>6</v>
      </c>
      <c r="D95">
        <v>5</v>
      </c>
      <c r="E95" t="s">
        <v>187</v>
      </c>
      <c r="F95" t="s">
        <v>336</v>
      </c>
      <c r="H95" t="str">
        <f>IF(MATCH(J95,Table3[Unimproved],0)&lt;MATCH(K95,Table3[Unimproved],0),"open","fold")</f>
        <v>open</v>
      </c>
      <c r="J95" t="str">
        <f t="shared" si="2"/>
        <v>QQ</v>
      </c>
      <c r="K95" t="str">
        <f>VLOOKUP(IF(D95&lt;3,1/3,1/D95),Table3[[%DeckU]:[Unimproved]],2)</f>
        <v>A2s</v>
      </c>
    </row>
    <row r="96" spans="1:11" x14ac:dyDescent="0.25">
      <c r="A96" s="7"/>
      <c r="B96" t="s">
        <v>13</v>
      </c>
      <c r="C96">
        <v>6</v>
      </c>
      <c r="D96">
        <v>3</v>
      </c>
      <c r="E96" t="s">
        <v>185</v>
      </c>
      <c r="F96" t="s">
        <v>337</v>
      </c>
      <c r="H96" t="str">
        <f>IF(MATCH(J96,Table3[Unimproved],0)&lt;MATCH(K96,Table3[Unimproved],0),"open","fold")</f>
        <v>fold</v>
      </c>
      <c r="J96" t="str">
        <f t="shared" si="2"/>
        <v>Q6o</v>
      </c>
      <c r="K96" t="str">
        <f>VLOOKUP(IF(D96&lt;3,1/3,1/D96),Table3[[%DeckU]:[Unimproved]],2)</f>
        <v>K2s</v>
      </c>
    </row>
    <row r="97" spans="1:11" x14ac:dyDescent="0.25">
      <c r="A97" s="7"/>
      <c r="B97" t="s">
        <v>13</v>
      </c>
      <c r="C97">
        <v>6</v>
      </c>
      <c r="D97">
        <v>3</v>
      </c>
      <c r="E97" t="s">
        <v>185</v>
      </c>
      <c r="F97" t="s">
        <v>338</v>
      </c>
      <c r="H97" t="str">
        <f>IF(MATCH(J97,Table3[Unimproved],0)&lt;MATCH(K97,Table3[Unimproved],0),"open","fold")</f>
        <v>fold</v>
      </c>
      <c r="J97" t="str">
        <f t="shared" si="2"/>
        <v>T6o</v>
      </c>
      <c r="K97" t="str">
        <f>VLOOKUP(IF(D97&lt;3,1/3,1/D97),Table3[[%DeckU]:[Unimproved]],2)</f>
        <v>K2s</v>
      </c>
    </row>
    <row r="98" spans="1:11" x14ac:dyDescent="0.25">
      <c r="A98" s="7"/>
      <c r="B98" t="s">
        <v>13</v>
      </c>
      <c r="C98">
        <v>6</v>
      </c>
      <c r="D98">
        <v>6</v>
      </c>
      <c r="E98" t="s">
        <v>188</v>
      </c>
      <c r="F98" t="s">
        <v>294</v>
      </c>
      <c r="H98" t="str">
        <f>IF(MATCH(J98,Table3[Unimproved],0)&lt;MATCH(K98,Table3[Unimproved],0),"open","fold")</f>
        <v>fold</v>
      </c>
      <c r="J98" t="str">
        <f t="shared" si="2"/>
        <v>JTo</v>
      </c>
      <c r="K98" t="str">
        <f>VLOOKUP(IF(D98&lt;3,1/3,1/D98),Table3[[%DeckU]:[Unimproved]],2)</f>
        <v>A5s</v>
      </c>
    </row>
    <row r="99" spans="1:11" x14ac:dyDescent="0.25">
      <c r="A99" s="7"/>
      <c r="B99" t="s">
        <v>13</v>
      </c>
      <c r="C99">
        <v>6</v>
      </c>
      <c r="D99">
        <v>3</v>
      </c>
      <c r="E99" t="s">
        <v>185</v>
      </c>
      <c r="F99" t="s">
        <v>339</v>
      </c>
      <c r="H99" t="str">
        <f>IF(MATCH(J99,Table3[Unimproved],0)&lt;MATCH(K99,Table3[Unimproved],0),"open","fold")</f>
        <v>fold</v>
      </c>
      <c r="J99" t="str">
        <f t="shared" si="2"/>
        <v>J7s</v>
      </c>
      <c r="K99" t="str">
        <f>VLOOKUP(IF(D99&lt;3,1/3,1/D99),Table3[[%DeckU]:[Unimproved]],2)</f>
        <v>K2s</v>
      </c>
    </row>
    <row r="100" spans="1:11" x14ac:dyDescent="0.25">
      <c r="A100" s="7"/>
      <c r="B100" t="s">
        <v>13</v>
      </c>
      <c r="C100">
        <v>6</v>
      </c>
      <c r="D100">
        <v>3</v>
      </c>
      <c r="E100" t="s">
        <v>185</v>
      </c>
      <c r="F100" t="s">
        <v>340</v>
      </c>
      <c r="H100" t="str">
        <f>IF(MATCH(J100,Table3[Unimproved],0)&lt;MATCH(K100,Table3[Unimproved],0),"open","fold")</f>
        <v>fold</v>
      </c>
      <c r="J100" t="str">
        <f t="shared" si="2"/>
        <v>97o</v>
      </c>
      <c r="K100" t="str">
        <f>VLOOKUP(IF(D100&lt;3,1/3,1/D100),Table3[[%DeckU]:[Unimproved]],2)</f>
        <v>K2s</v>
      </c>
    </row>
    <row r="101" spans="1:11" x14ac:dyDescent="0.25">
      <c r="A101" s="7"/>
      <c r="B101" t="s">
        <v>13</v>
      </c>
      <c r="C101">
        <v>6</v>
      </c>
      <c r="D101">
        <v>3</v>
      </c>
      <c r="E101" t="s">
        <v>185</v>
      </c>
      <c r="F101" t="s">
        <v>341</v>
      </c>
      <c r="H101" t="str">
        <f>IF(MATCH(J101,Table3[Unimproved],0)&lt;MATCH(K101,Table3[Unimproved],0),"open","fold")</f>
        <v>fold</v>
      </c>
      <c r="J101" t="str">
        <f t="shared" si="2"/>
        <v>95o</v>
      </c>
      <c r="K101" t="str">
        <f>VLOOKUP(IF(D101&lt;3,1/3,1/D101),Table3[[%DeckU]:[Unimproved]],2)</f>
        <v>K2s</v>
      </c>
    </row>
  </sheetData>
  <conditionalFormatting sqref="I2:I51">
    <cfRule type="containsText" dxfId="0" priority="1" operator="containsText" text="Incorrect">
      <formula>NOT(ISERROR(SEARCH("Incorrect",I2)))</formula>
    </cfRule>
  </conditionalFormatting>
  <pageMargins left="0.7" right="0.7" top="0.75" bottom="0.75" header="0.3" footer="0.3"/>
  <pageSetup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App</vt:lpstr>
      <vt:lpstr>Info &amp; Settings</vt:lpstr>
      <vt:lpstr>Calculations</vt:lpstr>
      <vt:lpstr>Cards</vt:lpstr>
      <vt:lpstr>Ranges</vt:lpstr>
      <vt:lpstr>Position</vt:lpstr>
      <vt:lpstr>Generator</vt:lpstr>
      <vt:lpstr>Sample_History</vt:lpstr>
      <vt:lpstr>Card</vt:lpstr>
      <vt:lpstr>Postion</vt:lpstr>
      <vt:lpstr>Ranges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 c</dc:creator>
  <cp:lastModifiedBy>j c</cp:lastModifiedBy>
  <dcterms:created xsi:type="dcterms:W3CDTF">2017-01-28T18:45:46Z</dcterms:created>
  <dcterms:modified xsi:type="dcterms:W3CDTF">2017-05-07T19:34:25Z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06a64598-b607-4735-94c3-78aad35b7ea3</vt:lpwstr>
  </property>
</Properties>
</file>