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D:\compare\csp\Metrics\"/>
    </mc:Choice>
  </mc:AlternateContent>
  <xr:revisionPtr revIDLastSave="0" documentId="8_{21BF4396-B1BD-423F-AC72-BFE5DC47056E}" xr6:coauthVersionLast="47" xr6:coauthVersionMax="47" xr10:uidLastSave="{00000000-0000-0000-0000-000000000000}"/>
  <bookViews>
    <workbookView xWindow="-120" yWindow="-120" windowWidth="20730" windowHeight="11310" xr2:uid="{00000000-000D-0000-FFFF-FFFF00000000}"/>
  </bookViews>
  <sheets>
    <sheet name="Table of Contents" sheetId="1" r:id="rId1"/>
    <sheet name="Script Input Parameters" sheetId="2" r:id="rId2"/>
    <sheet name="Klocwork Build Configuration" sheetId="3" r:id="rId3"/>
    <sheet name="MISRA Summary by Metrics" sheetId="4" r:id="rId4"/>
    <sheet name="MISRA Summary by Severity" sheetId="5" r:id="rId5"/>
    <sheet name="MISRA Summary by Modules" sheetId="6" r:id="rId6"/>
    <sheet name="HIS Summary by Metrics" sheetId="7" r:id="rId7"/>
    <sheet name="HIS Summary by Modules" sheetId="8" r:id="rId8"/>
    <sheet name="SA Summary by Severity" sheetId="9" r:id="rId9"/>
    <sheet name="SA Summary by Modules" sheetId="10" r:id="rId10"/>
    <sheet name="Raw Issue Details" sheetId="11" r:id="rId11"/>
    <sheet name="Guideline Enforcement Plan" sheetId="12" r:id="rId12"/>
    <sheet name="Deviation Summary by Type &amp; Cat" sheetId="13" r:id="rId13"/>
    <sheet name="Deviation Summary by Class" sheetId="14" r:id="rId14"/>
    <sheet name="Active Deviation Permits" sheetId="15" r:id="rId15"/>
    <sheet name="Taxonomy Checkers" sheetId="16" r:id="rId16"/>
    <sheet name="Klocwork Project Modules" sheetId="17" r:id="rId17"/>
  </sheets>
  <definedNames>
    <definedName name="_xlnm._FilterDatabase" localSheetId="14" hidden="1">'Active Deviation Permits'!$A$1:$J$67</definedName>
    <definedName name="_xlnm._FilterDatabase" localSheetId="11" hidden="1">'Guideline Enforcement Plan'!$A$1:$I$255</definedName>
    <definedName name="_xlnm._FilterDatabase" localSheetId="10" hidden="1">'Raw Issue Details'!$A$1:$T$751</definedName>
    <definedName name="_xlnm._FilterDatabase" localSheetId="15" hidden="1">'Taxonomy Checkers'!$A$1:$F$1126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751" i="11" l="1"/>
  <c r="N750" i="11"/>
  <c r="N749" i="11"/>
  <c r="N748" i="11"/>
  <c r="N747" i="11"/>
  <c r="N746" i="11"/>
  <c r="N745" i="11"/>
  <c r="N744" i="11"/>
  <c r="N743" i="11"/>
  <c r="N742" i="11"/>
  <c r="N741" i="11"/>
  <c r="N740" i="11"/>
  <c r="N739" i="11"/>
  <c r="N738" i="11"/>
  <c r="N737" i="11"/>
  <c r="N736" i="11"/>
  <c r="N735" i="11"/>
  <c r="N734" i="11"/>
  <c r="N733" i="11"/>
  <c r="N732" i="11"/>
  <c r="N731" i="11"/>
  <c r="N730" i="11"/>
  <c r="N729" i="11"/>
  <c r="N728" i="11"/>
  <c r="N727" i="11"/>
  <c r="N726" i="11"/>
  <c r="N725" i="11"/>
  <c r="N724" i="11"/>
  <c r="N723" i="11"/>
  <c r="N722" i="11"/>
  <c r="N721" i="11"/>
  <c r="N720" i="11"/>
  <c r="N719" i="11"/>
  <c r="N718" i="11"/>
  <c r="N717" i="11"/>
  <c r="N716" i="11"/>
  <c r="N715" i="11"/>
  <c r="N714" i="11"/>
  <c r="N713" i="11"/>
  <c r="N712" i="11"/>
  <c r="N711" i="11"/>
  <c r="N710" i="11"/>
  <c r="N709" i="11"/>
  <c r="N708" i="11"/>
  <c r="N707" i="11"/>
  <c r="N706" i="11"/>
  <c r="N705" i="11"/>
  <c r="N704" i="11"/>
  <c r="N703" i="11"/>
  <c r="N702" i="11"/>
  <c r="N701" i="11"/>
  <c r="N700" i="11"/>
  <c r="N699" i="11"/>
  <c r="N698" i="11"/>
  <c r="N697" i="11"/>
  <c r="N696" i="11"/>
  <c r="N695" i="11"/>
  <c r="N694" i="11"/>
  <c r="N693" i="11"/>
  <c r="N692" i="11"/>
  <c r="N691" i="11"/>
  <c r="N690" i="11"/>
  <c r="N689" i="11"/>
  <c r="N688" i="11"/>
  <c r="N687" i="11"/>
  <c r="N686" i="11"/>
  <c r="N685" i="11"/>
  <c r="N684" i="11"/>
  <c r="N683" i="11"/>
  <c r="N682" i="11"/>
  <c r="N681" i="11"/>
  <c r="N680" i="11"/>
  <c r="N679" i="11"/>
  <c r="N678" i="11"/>
  <c r="N677" i="11"/>
  <c r="N676" i="11"/>
  <c r="N675" i="11"/>
  <c r="N674" i="11"/>
  <c r="N673" i="11"/>
  <c r="N672" i="11"/>
  <c r="N671" i="11"/>
  <c r="N670" i="11"/>
  <c r="N669" i="11"/>
  <c r="N668" i="11"/>
  <c r="N667" i="11"/>
  <c r="N666" i="11"/>
  <c r="N665" i="11"/>
  <c r="N664" i="11"/>
  <c r="N663" i="11"/>
  <c r="N662" i="11"/>
  <c r="N661" i="11"/>
  <c r="N660" i="11"/>
  <c r="N659" i="11"/>
  <c r="N658" i="11"/>
  <c r="N657" i="11"/>
  <c r="N656" i="11"/>
  <c r="N655" i="11"/>
  <c r="N654" i="11"/>
  <c r="N653" i="11"/>
  <c r="N652" i="11"/>
  <c r="N651" i="11"/>
  <c r="N650" i="11"/>
  <c r="N649" i="11"/>
  <c r="N648" i="11"/>
  <c r="N647" i="11"/>
  <c r="N646" i="11"/>
  <c r="N645" i="11"/>
  <c r="N644" i="11"/>
  <c r="N643" i="11"/>
  <c r="N642" i="11"/>
  <c r="N641" i="11"/>
  <c r="N640" i="11"/>
  <c r="N639" i="11"/>
  <c r="N638" i="11"/>
  <c r="N637" i="11"/>
  <c r="N636" i="11"/>
  <c r="N635" i="11"/>
  <c r="N634" i="11"/>
  <c r="N633" i="11"/>
  <c r="N632" i="11"/>
  <c r="N631" i="11"/>
  <c r="N630" i="11"/>
  <c r="N629" i="11"/>
  <c r="N628" i="11"/>
  <c r="N627" i="11"/>
  <c r="N626" i="11"/>
  <c r="N625" i="11"/>
  <c r="N624" i="11"/>
  <c r="N623" i="11"/>
  <c r="N622" i="11"/>
  <c r="N621" i="11"/>
  <c r="N620" i="11"/>
  <c r="N619" i="11"/>
  <c r="N618" i="11"/>
  <c r="N617" i="11"/>
  <c r="N616" i="11"/>
  <c r="N615" i="11"/>
  <c r="N614" i="11"/>
  <c r="N613" i="11"/>
  <c r="N612" i="11"/>
  <c r="N611" i="11"/>
  <c r="N610" i="11"/>
  <c r="N609" i="11"/>
  <c r="N608" i="11"/>
  <c r="N607" i="11"/>
  <c r="N606" i="11"/>
  <c r="N605" i="11"/>
  <c r="N604" i="11"/>
  <c r="N603" i="11"/>
  <c r="N602" i="11"/>
  <c r="N601" i="11"/>
  <c r="N600" i="11"/>
  <c r="N599" i="11"/>
  <c r="N598" i="11"/>
  <c r="N597" i="11"/>
  <c r="N596" i="11"/>
  <c r="N595" i="11"/>
  <c r="N594" i="11"/>
  <c r="N593" i="11"/>
  <c r="N592" i="11"/>
  <c r="N591" i="11"/>
  <c r="N590" i="11"/>
  <c r="N589" i="11"/>
  <c r="N588" i="11"/>
  <c r="N587" i="11"/>
  <c r="N586" i="11"/>
  <c r="N585" i="11"/>
  <c r="N584" i="11"/>
  <c r="N583" i="11"/>
  <c r="N582" i="11"/>
  <c r="N581" i="11"/>
  <c r="N580" i="11"/>
  <c r="N579" i="11"/>
  <c r="N578" i="11"/>
  <c r="N577" i="11"/>
  <c r="N576" i="11"/>
  <c r="N575" i="11"/>
  <c r="N574" i="11"/>
  <c r="N573" i="11"/>
  <c r="N572" i="11"/>
  <c r="N571" i="11"/>
  <c r="N570" i="11"/>
  <c r="N569" i="11"/>
  <c r="N568" i="11"/>
  <c r="N567" i="11"/>
  <c r="N566" i="11"/>
  <c r="N565" i="11"/>
  <c r="N564" i="11"/>
  <c r="N563" i="11"/>
  <c r="N562" i="11"/>
  <c r="N561" i="11"/>
  <c r="N560" i="11"/>
  <c r="N559" i="11"/>
  <c r="N558" i="11"/>
  <c r="N557" i="11"/>
  <c r="N556" i="11"/>
  <c r="N555" i="11"/>
  <c r="N554" i="11"/>
  <c r="N553" i="11"/>
  <c r="N552" i="11"/>
  <c r="N551" i="11"/>
  <c r="N550" i="11"/>
  <c r="N549" i="11"/>
  <c r="N548" i="11"/>
  <c r="N547" i="11"/>
  <c r="N546" i="11"/>
  <c r="N545" i="11"/>
  <c r="N544" i="11"/>
  <c r="N543" i="11"/>
  <c r="N542" i="11"/>
  <c r="N541" i="11"/>
  <c r="N540" i="11"/>
  <c r="N539" i="11"/>
  <c r="N538" i="11"/>
  <c r="N537" i="11"/>
  <c r="N536" i="11"/>
  <c r="N535" i="11"/>
  <c r="N534" i="11"/>
  <c r="N533" i="11"/>
  <c r="N532" i="11"/>
  <c r="N531" i="11"/>
  <c r="N530" i="11"/>
  <c r="N529" i="11"/>
  <c r="N528" i="11"/>
  <c r="N527" i="11"/>
  <c r="N526" i="11"/>
  <c r="N525" i="11"/>
  <c r="N524" i="11"/>
  <c r="N523" i="11"/>
  <c r="N522" i="11"/>
  <c r="N521" i="11"/>
  <c r="N520" i="11"/>
  <c r="N519" i="11"/>
  <c r="N518" i="11"/>
  <c r="N517" i="11"/>
  <c r="N516" i="11"/>
  <c r="N515" i="11"/>
  <c r="N514" i="11"/>
  <c r="N513" i="11"/>
  <c r="N512" i="11"/>
  <c r="N511" i="11"/>
  <c r="N510" i="11"/>
  <c r="N509" i="11"/>
  <c r="N508" i="11"/>
  <c r="N507" i="11"/>
  <c r="N506" i="11"/>
  <c r="N505" i="11"/>
  <c r="N504" i="11"/>
  <c r="N503" i="11"/>
  <c r="N502" i="11"/>
  <c r="N501" i="11"/>
  <c r="N500" i="11"/>
  <c r="N499" i="11"/>
  <c r="N498" i="11"/>
  <c r="N497" i="11"/>
  <c r="N496" i="11"/>
  <c r="N495" i="11"/>
  <c r="N494" i="11"/>
  <c r="N493" i="11"/>
  <c r="N492" i="11"/>
  <c r="N491" i="11"/>
  <c r="N490" i="11"/>
  <c r="N489" i="11"/>
  <c r="N488" i="11"/>
  <c r="N487" i="11"/>
  <c r="N486" i="11"/>
  <c r="N485" i="11"/>
  <c r="N484" i="11"/>
  <c r="N483" i="11"/>
  <c r="N482" i="11"/>
  <c r="N481" i="11"/>
  <c r="N480" i="11"/>
  <c r="N479" i="11"/>
  <c r="N478" i="11"/>
  <c r="N477" i="11"/>
  <c r="N476" i="11"/>
  <c r="N475" i="11"/>
  <c r="N474" i="11"/>
  <c r="N473" i="11"/>
  <c r="N472" i="11"/>
  <c r="N471" i="11"/>
  <c r="N470" i="11"/>
  <c r="N469" i="11"/>
  <c r="N468" i="11"/>
  <c r="N467" i="11"/>
  <c r="N466" i="11"/>
  <c r="N465" i="11"/>
  <c r="N464" i="11"/>
  <c r="N463" i="11"/>
  <c r="N462" i="11"/>
  <c r="N461" i="11"/>
  <c r="N460" i="11"/>
  <c r="N459" i="11"/>
  <c r="N458" i="11"/>
  <c r="N457" i="11"/>
  <c r="N456" i="11"/>
  <c r="N455" i="11"/>
  <c r="N454" i="11"/>
  <c r="N453" i="11"/>
  <c r="N452" i="11"/>
  <c r="N451" i="11"/>
  <c r="N450" i="11"/>
  <c r="N449" i="11"/>
  <c r="N448" i="11"/>
  <c r="N447" i="11"/>
  <c r="N446" i="11"/>
  <c r="N445" i="11"/>
  <c r="N444" i="11"/>
  <c r="N443" i="11"/>
  <c r="N442" i="11"/>
  <c r="N441" i="11"/>
  <c r="N440" i="11"/>
  <c r="N439" i="11"/>
  <c r="N438" i="11"/>
  <c r="N437" i="11"/>
  <c r="N436" i="11"/>
  <c r="N435" i="11"/>
  <c r="N434" i="11"/>
  <c r="N433" i="11"/>
  <c r="N432" i="11"/>
  <c r="N431" i="11"/>
  <c r="N430" i="11"/>
  <c r="N429" i="11"/>
  <c r="N428" i="11"/>
  <c r="N427" i="11"/>
  <c r="N426" i="11"/>
  <c r="N425" i="11"/>
  <c r="N424" i="11"/>
  <c r="N423" i="11"/>
  <c r="N422" i="11"/>
  <c r="N421" i="11"/>
  <c r="N420" i="11"/>
  <c r="N419" i="11"/>
  <c r="N418" i="11"/>
  <c r="N417" i="11"/>
  <c r="N416" i="11"/>
  <c r="N415" i="11"/>
  <c r="N414" i="11"/>
  <c r="N413" i="11"/>
  <c r="N412" i="11"/>
  <c r="N411" i="11"/>
  <c r="N410" i="11"/>
  <c r="N409" i="11"/>
  <c r="N408" i="11"/>
  <c r="N407" i="11"/>
  <c r="N406" i="11"/>
  <c r="N405" i="11"/>
  <c r="N404" i="11"/>
  <c r="N403" i="11"/>
  <c r="N402" i="11"/>
  <c r="N401" i="11"/>
  <c r="N400" i="11"/>
  <c r="N399" i="11"/>
  <c r="N398" i="11"/>
  <c r="N397" i="11"/>
  <c r="N396" i="11"/>
  <c r="N395" i="11"/>
  <c r="N394" i="11"/>
  <c r="N393" i="11"/>
  <c r="N392" i="11"/>
  <c r="N391" i="11"/>
  <c r="N390" i="11"/>
  <c r="N389" i="11"/>
  <c r="N388" i="11"/>
  <c r="N387" i="11"/>
  <c r="N386" i="11"/>
  <c r="N385" i="11"/>
  <c r="N384" i="11"/>
  <c r="N383" i="11"/>
  <c r="N382" i="11"/>
  <c r="N381" i="11"/>
  <c r="N380" i="11"/>
  <c r="N379" i="11"/>
  <c r="N378" i="11"/>
  <c r="N377" i="11"/>
  <c r="N376" i="11"/>
  <c r="N375" i="11"/>
  <c r="N374" i="11"/>
  <c r="N373" i="11"/>
  <c r="N372" i="11"/>
  <c r="N371" i="11"/>
  <c r="N370" i="11"/>
  <c r="N369" i="11"/>
  <c r="N368" i="11"/>
  <c r="N367" i="11"/>
  <c r="N366" i="11"/>
  <c r="N365" i="11"/>
  <c r="N364" i="11"/>
  <c r="N363" i="11"/>
  <c r="N362" i="11"/>
  <c r="N361" i="11"/>
  <c r="N360" i="11"/>
  <c r="N359" i="11"/>
  <c r="N358" i="11"/>
  <c r="N357" i="11"/>
  <c r="N356" i="11"/>
  <c r="N355" i="11"/>
  <c r="N354" i="11"/>
  <c r="N353" i="11"/>
  <c r="N352" i="11"/>
  <c r="N351" i="11"/>
  <c r="N350" i="11"/>
  <c r="N349" i="11"/>
  <c r="N348" i="11"/>
  <c r="N347" i="11"/>
  <c r="N346" i="11"/>
  <c r="N345" i="11"/>
  <c r="N344" i="11"/>
  <c r="N343" i="11"/>
  <c r="N342" i="11"/>
  <c r="N341" i="11"/>
  <c r="N340" i="11"/>
  <c r="N339" i="11"/>
  <c r="N338" i="11"/>
  <c r="N337" i="11"/>
  <c r="N336" i="11"/>
  <c r="N335" i="11"/>
  <c r="N334" i="11"/>
  <c r="N333" i="11"/>
  <c r="N332" i="11"/>
  <c r="N331" i="11"/>
  <c r="N330" i="11"/>
  <c r="N329" i="11"/>
  <c r="N328" i="11"/>
  <c r="N327" i="11"/>
  <c r="N326" i="11"/>
  <c r="N325" i="11"/>
  <c r="N324" i="11"/>
  <c r="N323" i="11"/>
  <c r="N322" i="11"/>
  <c r="N321" i="11"/>
  <c r="N320" i="11"/>
  <c r="N319" i="11"/>
  <c r="N318" i="11"/>
  <c r="N317" i="11"/>
  <c r="N316" i="11"/>
  <c r="N315" i="11"/>
  <c r="N314" i="11"/>
  <c r="N313" i="11"/>
  <c r="N312" i="11"/>
  <c r="N311" i="11"/>
  <c r="N310" i="11"/>
  <c r="N309" i="11"/>
  <c r="N308" i="11"/>
  <c r="N307" i="11"/>
  <c r="N306" i="11"/>
  <c r="N305" i="11"/>
  <c r="N304" i="11"/>
  <c r="N303" i="11"/>
  <c r="N302" i="11"/>
  <c r="N301" i="11"/>
  <c r="N300" i="11"/>
  <c r="N299" i="11"/>
  <c r="N298" i="11"/>
  <c r="N297" i="11"/>
  <c r="N296" i="11"/>
  <c r="N295" i="11"/>
  <c r="N294" i="11"/>
  <c r="N293" i="11"/>
  <c r="N292" i="11"/>
  <c r="N291" i="11"/>
  <c r="N290" i="11"/>
  <c r="N289" i="11"/>
  <c r="N288" i="11"/>
  <c r="N287" i="11"/>
  <c r="N286" i="11"/>
  <c r="N285" i="11"/>
  <c r="N284" i="11"/>
  <c r="N283" i="11"/>
  <c r="N282" i="11"/>
  <c r="N281" i="11"/>
  <c r="N280" i="11"/>
  <c r="N279" i="11"/>
  <c r="N278" i="11"/>
  <c r="N277" i="11"/>
  <c r="N276" i="11"/>
  <c r="N275" i="11"/>
  <c r="N274" i="11"/>
  <c r="N273" i="11"/>
  <c r="N272" i="11"/>
  <c r="N271" i="11"/>
  <c r="N270" i="11"/>
  <c r="N269" i="11"/>
  <c r="N268" i="11"/>
  <c r="N267" i="11"/>
  <c r="N266" i="11"/>
  <c r="N265" i="11"/>
  <c r="N264" i="11"/>
  <c r="N263" i="11"/>
  <c r="N262" i="11"/>
  <c r="N261" i="11"/>
  <c r="N260" i="11"/>
  <c r="N259" i="11"/>
  <c r="N258" i="11"/>
  <c r="N257" i="11"/>
  <c r="N256" i="11"/>
  <c r="N255" i="11"/>
  <c r="N254" i="11"/>
  <c r="N253" i="11"/>
  <c r="N252" i="11"/>
  <c r="N251" i="11"/>
  <c r="N250" i="11"/>
  <c r="N249" i="11"/>
  <c r="N248" i="11"/>
  <c r="N247" i="11"/>
  <c r="N246" i="11"/>
  <c r="N245" i="11"/>
  <c r="N244" i="11"/>
  <c r="N243" i="11"/>
  <c r="N242" i="11"/>
  <c r="N241" i="11"/>
  <c r="N240" i="11"/>
  <c r="N239" i="11"/>
  <c r="N238" i="11"/>
  <c r="N237" i="11"/>
  <c r="N236" i="11"/>
  <c r="N235" i="11"/>
  <c r="N234" i="11"/>
  <c r="N233" i="11"/>
  <c r="N232" i="11"/>
  <c r="N231" i="11"/>
  <c r="N230" i="11"/>
  <c r="N229" i="11"/>
  <c r="N228" i="11"/>
  <c r="N227" i="11"/>
  <c r="N226" i="11"/>
  <c r="N225" i="11"/>
  <c r="N224" i="11"/>
  <c r="N223" i="11"/>
  <c r="N222" i="11"/>
  <c r="N221" i="11"/>
  <c r="N220" i="11"/>
  <c r="N219" i="11"/>
  <c r="N218" i="11"/>
  <c r="N217" i="11"/>
  <c r="N216" i="11"/>
  <c r="N215" i="11"/>
  <c r="N214" i="11"/>
  <c r="N213" i="11"/>
  <c r="N212" i="11"/>
  <c r="N211" i="11"/>
  <c r="N210" i="11"/>
  <c r="N209" i="11"/>
  <c r="N208" i="11"/>
  <c r="N207" i="11"/>
  <c r="N206" i="11"/>
  <c r="N205" i="11"/>
  <c r="N204" i="11"/>
  <c r="N203" i="11"/>
  <c r="N202" i="11"/>
  <c r="N201" i="11"/>
  <c r="N200" i="11"/>
  <c r="N199" i="11"/>
  <c r="N198" i="11"/>
  <c r="N197" i="11"/>
  <c r="N196" i="11"/>
  <c r="N195" i="11"/>
  <c r="N194" i="11"/>
  <c r="N193" i="11"/>
  <c r="N192" i="11"/>
  <c r="N191" i="11"/>
  <c r="N190" i="11"/>
  <c r="N189" i="11"/>
  <c r="N188" i="11"/>
  <c r="N187" i="11"/>
  <c r="N186" i="11"/>
  <c r="N185" i="11"/>
  <c r="N184" i="11"/>
  <c r="N183" i="11"/>
  <c r="N182" i="11"/>
  <c r="N181" i="11"/>
  <c r="N180" i="11"/>
  <c r="N179" i="11"/>
  <c r="N178" i="11"/>
  <c r="N177" i="11"/>
  <c r="N176" i="11"/>
  <c r="N175" i="11"/>
  <c r="N174" i="11"/>
  <c r="N173" i="11"/>
  <c r="N172" i="11"/>
  <c r="N171" i="11"/>
  <c r="N170" i="11"/>
  <c r="N169" i="11"/>
  <c r="N168" i="11"/>
  <c r="N167" i="11"/>
  <c r="N166" i="11"/>
  <c r="N165" i="11"/>
  <c r="N164" i="11"/>
  <c r="N163" i="11"/>
  <c r="N162" i="11"/>
  <c r="N161" i="11"/>
  <c r="N160" i="11"/>
  <c r="N159" i="11"/>
  <c r="N158" i="11"/>
  <c r="N157" i="11"/>
  <c r="N156" i="11"/>
  <c r="N155" i="11"/>
  <c r="N154" i="11"/>
  <c r="N153" i="11"/>
  <c r="N152" i="11"/>
  <c r="N151" i="11"/>
  <c r="N150" i="11"/>
  <c r="N149" i="11"/>
  <c r="N148" i="11"/>
  <c r="N147" i="11"/>
  <c r="N146" i="11"/>
  <c r="N145" i="11"/>
  <c r="N144" i="11"/>
  <c r="N143" i="11"/>
  <c r="N142" i="11"/>
  <c r="N141" i="11"/>
  <c r="N140" i="11"/>
  <c r="N139" i="11"/>
  <c r="N138" i="11"/>
  <c r="N137" i="11"/>
  <c r="N136" i="11"/>
  <c r="N135" i="11"/>
  <c r="N134" i="11"/>
  <c r="N133" i="11"/>
  <c r="N132" i="11"/>
  <c r="N131" i="11"/>
  <c r="N130" i="11"/>
  <c r="N129" i="11"/>
  <c r="N128" i="11"/>
  <c r="N127" i="11"/>
  <c r="N126" i="11"/>
  <c r="N125" i="11"/>
  <c r="N124" i="11"/>
  <c r="N123" i="11"/>
  <c r="N122" i="11"/>
  <c r="N121" i="11"/>
  <c r="N120" i="11"/>
  <c r="N119" i="11"/>
  <c r="N118" i="11"/>
  <c r="N117" i="11"/>
  <c r="N116" i="11"/>
  <c r="N115" i="11"/>
  <c r="N114" i="11"/>
  <c r="N113" i="11"/>
  <c r="N112" i="11"/>
  <c r="N111" i="11"/>
  <c r="N110" i="11"/>
  <c r="N109" i="11"/>
  <c r="N108" i="11"/>
  <c r="N107" i="11"/>
  <c r="N106" i="11"/>
  <c r="N105" i="11"/>
  <c r="N104" i="11"/>
  <c r="N103" i="11"/>
  <c r="N102" i="11"/>
  <c r="N101" i="11"/>
  <c r="N100" i="11"/>
  <c r="N99" i="11"/>
  <c r="N98" i="11"/>
  <c r="N97" i="11"/>
  <c r="N96" i="11"/>
  <c r="N95" i="11"/>
  <c r="N94" i="11"/>
  <c r="N93" i="11"/>
  <c r="N92" i="11"/>
  <c r="N91" i="11"/>
  <c r="N90" i="11"/>
  <c r="N89" i="11"/>
  <c r="N88" i="11"/>
  <c r="N87" i="11"/>
  <c r="N86" i="11"/>
  <c r="N85" i="11"/>
  <c r="N84" i="11"/>
  <c r="N83" i="11"/>
  <c r="N82" i="11"/>
  <c r="N81" i="11"/>
  <c r="N80" i="11"/>
  <c r="N79" i="11"/>
  <c r="N78" i="11"/>
  <c r="N77" i="11"/>
  <c r="N76" i="11"/>
  <c r="N75" i="11"/>
  <c r="N74" i="11"/>
  <c r="N73" i="11"/>
  <c r="N72" i="11"/>
  <c r="N71" i="11"/>
  <c r="N70" i="11"/>
  <c r="N69" i="11"/>
  <c r="N68" i="11"/>
  <c r="N67" i="11"/>
  <c r="N66" i="11"/>
  <c r="N65" i="11"/>
  <c r="N64" i="11"/>
  <c r="N63" i="11"/>
  <c r="N62" i="11"/>
  <c r="N61" i="11"/>
  <c r="N60" i="11"/>
  <c r="N59" i="11"/>
  <c r="N58" i="11"/>
  <c r="N57" i="11"/>
  <c r="N56" i="11"/>
  <c r="N55" i="11"/>
  <c r="N54" i="11"/>
  <c r="N53" i="11"/>
  <c r="N52" i="11"/>
  <c r="N51" i="11"/>
  <c r="N50" i="11"/>
  <c r="N49" i="11"/>
  <c r="N48" i="11"/>
  <c r="N47" i="11"/>
  <c r="N46" i="11"/>
  <c r="N45" i="11"/>
  <c r="N44" i="11"/>
  <c r="N43" i="11"/>
  <c r="N42" i="11"/>
  <c r="N41" i="11"/>
  <c r="N40" i="11"/>
  <c r="N39" i="11"/>
  <c r="N38" i="11"/>
  <c r="N37" i="11"/>
  <c r="N36" i="11"/>
  <c r="N35" i="11"/>
  <c r="N34" i="11"/>
  <c r="N33" i="11"/>
  <c r="N32" i="11"/>
  <c r="N31" i="11"/>
  <c r="N30" i="11"/>
  <c r="N29" i="11"/>
  <c r="N28" i="11"/>
  <c r="N27" i="11"/>
  <c r="N26" i="11"/>
  <c r="N25" i="11"/>
  <c r="N24" i="11"/>
  <c r="N23" i="11"/>
  <c r="N22" i="11"/>
  <c r="N21" i="11"/>
  <c r="N20" i="11"/>
  <c r="N19" i="11"/>
  <c r="N18" i="11"/>
  <c r="N17" i="11"/>
  <c r="N16" i="11"/>
  <c r="N15" i="11"/>
  <c r="N14" i="11"/>
  <c r="N13" i="11"/>
  <c r="N12" i="11"/>
  <c r="N11" i="11"/>
  <c r="N10" i="11"/>
  <c r="N9" i="11"/>
  <c r="N8" i="11"/>
  <c r="N7" i="11"/>
  <c r="N6" i="11"/>
  <c r="N5" i="11"/>
  <c r="N4" i="11"/>
  <c r="N3" i="11"/>
  <c r="N2" i="11"/>
</calcChain>
</file>

<file path=xl/sharedStrings.xml><?xml version="1.0" encoding="utf-8"?>
<sst xmlns="http://schemas.openxmlformats.org/spreadsheetml/2006/main" count="14817" uniqueCount="3410">
  <si>
    <t>Sheet No.</t>
  </si>
  <si>
    <t>Title</t>
  </si>
  <si>
    <t>Purpose</t>
  </si>
  <si>
    <t>Table of Contents</t>
  </si>
  <si>
    <t>Provides an overview of the contents of the complete report.</t>
  </si>
  <si>
    <t>Script Input Parameters</t>
  </si>
  <si>
    <t>Displays the input parameters provided to generate this report.</t>
  </si>
  <si>
    <t>Klocwork Build Configuration</t>
  </si>
  <si>
    <t>Provides an overview on the build in the Klocwork project for which this report has been generated.</t>
  </si>
  <si>
    <t>MISRA Summary by Metrics</t>
  </si>
  <si>
    <t>Provides a short summary which was earlier part of HIS Summary by Metrics report in FoQus-generated HIS Reports.</t>
  </si>
  <si>
    <t>MISRA Summary by Severity</t>
  </si>
  <si>
    <t>Provides MISRA Summary Report by Severity on the issues identified.</t>
  </si>
  <si>
    <t>MISRA Summary by Modules</t>
  </si>
  <si>
    <t>Provides MISRA Summary Report by Modules. These modules are defined in the Klocwork project. Each module can have multiple file paths included in it.</t>
  </si>
  <si>
    <t>HIS Summary by Metrics</t>
  </si>
  <si>
    <t>Provides HIS Summary Report by Metrics.</t>
  </si>
  <si>
    <t>HIS Summary by Modules</t>
  </si>
  <si>
    <t>Provides HIS Summary Report by Modules for each HIS Metric.</t>
  </si>
  <si>
    <t>SA Summary by Severity</t>
  </si>
  <si>
    <t>Provides Static Analysis (SA) Summary Report by Severity on the issues identified.</t>
  </si>
  <si>
    <t>SA Summary by Modules</t>
  </si>
  <si>
    <t>Provides Static Analysis (SA) Summary Report by Modules. These modules are defined in the Klocwork project. Each module can have multiple file paths included in it.</t>
  </si>
  <si>
    <t>Raw Issue Details</t>
  </si>
  <si>
    <t>Provides raw issue details from Klocwork. If you provided MISRA taxonomy as input parameter, it will also consist of Waiver details.</t>
  </si>
  <si>
    <t>Guideline Enforcement Plan</t>
  </si>
  <si>
    <t>Provides MISRA Guideline Enforcement Plan.</t>
  </si>
  <si>
    <t>Deviation Summary by Type &amp; Category</t>
  </si>
  <si>
    <t>Provides MISRA Active Deviation Summary by Category for Deviation Types.</t>
  </si>
  <si>
    <t>Deviation Summary by Classification</t>
  </si>
  <si>
    <t>Provides MISRA Active Deviation Summary by Classification</t>
  </si>
  <si>
    <t>Active Deviation Permits</t>
  </si>
  <si>
    <t>Provides MISRA Active Deviation Permit details from Jira including both EP-wide and project-specific Waivers.</t>
  </si>
  <si>
    <t>Taxonomy Checkers</t>
  </si>
  <si>
    <t>Provides the list of checkers from the taxonomy/taxonomies in Klocwork.</t>
  </si>
  <si>
    <t>Klocwork Project Modules</t>
  </si>
  <si>
    <t>Provides the list of modules defined the Klocwork project along with the file paths included in them.</t>
  </si>
  <si>
    <t>Klocwork Project</t>
  </si>
  <si>
    <t>Taxonomy</t>
  </si>
  <si>
    <t>Build</t>
  </si>
  <si>
    <t>Advanced Query</t>
  </si>
  <si>
    <t>Jira Project Key</t>
  </si>
  <si>
    <t>Report generated on</t>
  </si>
  <si>
    <t>MCUSW_J7_KW_FULL</t>
  </si>
  <si>
    <t>RS-2022-10-06_06-07-58</t>
  </si>
  <si>
    <t>module:CddIpc</t>
  </si>
  <si>
    <t>2022-10-07 06:22:29.630663-05:00 CDT</t>
  </si>
  <si>
    <t>build</t>
  </si>
  <si>
    <t>cFilesAnalyzed</t>
  </si>
  <si>
    <t>creationDate</t>
  </si>
  <si>
    <t>linesOfCode</t>
  </si>
  <si>
    <t>linesOfComments</t>
  </si>
  <si>
    <t>numberOfClasses</t>
  </si>
  <si>
    <t>numberOfEntities</t>
  </si>
  <si>
    <t>numberOfFiles</t>
  </si>
  <si>
    <t>numberOfFunctions</t>
  </si>
  <si>
    <t>systemFilesAnalyzed</t>
  </si>
  <si>
    <t>taxonomies</t>
  </si>
  <si>
    <t>version</t>
  </si>
  <si>
    <t>Thu Oct 06 05:20:12 CDT 2022</t>
  </si>
  <si>
    <t>C and C++, C and C++ Community Metrics, MISRA Checkers, Metrics, TI HIS 2020.04, TI Misra C 2012</t>
  </si>
  <si>
    <t>20.4.0.81</t>
  </si>
  <si>
    <t>MISRA Metrics</t>
  </si>
  <si>
    <t>Category</t>
  </si>
  <si>
    <t>Default Range</t>
  </si>
  <si>
    <t>Status</t>
  </si>
  <si>
    <t>Number of Issues</t>
  </si>
  <si>
    <t>Number of GOTO statements</t>
  </si>
  <si>
    <t>Required</t>
  </si>
  <si>
    <t>Compiled</t>
  </si>
  <si>
    <t>Number of MISRA violations per rule (NOMVRP)</t>
  </si>
  <si>
    <t>Severity</t>
  </si>
  <si>
    <t>Status: Ignore</t>
  </si>
  <si>
    <t>Status: Ignore without Waiver ID</t>
  </si>
  <si>
    <t>Status: Not a Problem</t>
  </si>
  <si>
    <t>Status: Not a Problem without Waiver ID</t>
  </si>
  <si>
    <t>State: Existing</t>
  </si>
  <si>
    <t>State: Existing AND need to be Analyzed or Fixed</t>
  </si>
  <si>
    <t>State: New</t>
  </si>
  <si>
    <t>State: New AND need to be Analyzed or Fixed</t>
  </si>
  <si>
    <t>Deviation Type: Disapplied</t>
  </si>
  <si>
    <t>Deviation Type: Permitted</t>
  </si>
  <si>
    <t>Deviation Type: Permitted - Adopted Code</t>
  </si>
  <si>
    <t>Deviation Type: Permitted - Module Specific</t>
  </si>
  <si>
    <t>Deviation Type: Permitted - Tool Issue</t>
  </si>
  <si>
    <t>Deviation Type: Tool Unsupported</t>
  </si>
  <si>
    <t>Deviation Type: No plan to fix</t>
  </si>
  <si>
    <t>MISRA Mandatory</t>
  </si>
  <si>
    <t>MISRA Required</t>
  </si>
  <si>
    <t>MISRA Advisory</t>
  </si>
  <si>
    <t>Total Issues</t>
  </si>
  <si>
    <t>Module name</t>
  </si>
  <si>
    <t>Adc</t>
  </si>
  <si>
    <t>Can</t>
  </si>
  <si>
    <t>Dio</t>
  </si>
  <si>
    <t>Wdg</t>
  </si>
  <si>
    <t>Spi</t>
  </si>
  <si>
    <t>Gpt</t>
  </si>
  <si>
    <t>Icu</t>
  </si>
  <si>
    <t>Pwm</t>
  </si>
  <si>
    <t>Mcu</t>
  </si>
  <si>
    <t>new module</t>
  </si>
  <si>
    <t>Fls</t>
  </si>
  <si>
    <t>CddIpc</t>
  </si>
  <si>
    <t>HIS Metrics</t>
  </si>
  <si>
    <t>Number of Paths</t>
  </si>
  <si>
    <t>0-80</t>
  </si>
  <si>
    <t>Deviated</t>
  </si>
  <si>
    <t>Cyclomatic Complexity</t>
  </si>
  <si>
    <t>0-10</t>
  </si>
  <si>
    <t>Number of Function Parameters</t>
  </si>
  <si>
    <t>0-5</t>
  </si>
  <si>
    <t>Number of Call Levels</t>
  </si>
  <si>
    <t>0-4</t>
  </si>
  <si>
    <t>Status: Analyze</t>
  </si>
  <si>
    <t>Status: Defer</t>
  </si>
  <si>
    <t>Status: Fix</t>
  </si>
  <si>
    <t>Status: Fix in Next Release</t>
  </si>
  <si>
    <t>Status: Fix in Later Release</t>
  </si>
  <si>
    <t>Status: Filter</t>
  </si>
  <si>
    <t>Critical</t>
  </si>
  <si>
    <t>Error</t>
  </si>
  <si>
    <t>Warning</t>
  </si>
  <si>
    <t>Review</t>
  </si>
  <si>
    <t>HIS METRICS</t>
  </si>
  <si>
    <t>code</t>
  </si>
  <si>
    <t>comment</t>
  </si>
  <si>
    <t>file</t>
  </si>
  <si>
    <t>id</t>
  </si>
  <si>
    <t>line</t>
  </si>
  <si>
    <t>message</t>
  </si>
  <si>
    <t>method</t>
  </si>
  <si>
    <t>owner</t>
  </si>
  <si>
    <t>severity</t>
  </si>
  <si>
    <t>severityCode</t>
  </si>
  <si>
    <t>state</t>
  </si>
  <si>
    <t>status</t>
  </si>
  <si>
    <t>taxonomyName</t>
  </si>
  <si>
    <t>url</t>
  </si>
  <si>
    <t>Waiver ID</t>
  </si>
  <si>
    <t>Waiver Classification</t>
  </si>
  <si>
    <t>Deviation Type</t>
  </si>
  <si>
    <t>MISRA Rule</t>
  </si>
  <si>
    <t>module</t>
  </si>
  <si>
    <t>Waiver ID/ Comment Validation</t>
  </si>
  <si>
    <t>PORTING.OPTS</t>
  </si>
  <si>
    <t>Permitted by deviation:FSQ_MCAL_SA_0004</t>
  </si>
  <si>
    <t>/home/gtbldadm/nightlybuilds/MCUSW_J7_KW_FULL/274-2022-10-06_05-06-06/workarea/mcusw/mcal_drv/mcal/CddIpc/src/Cdd_Ipc.c</t>
  </si>
  <si>
    <t>-march=... compiler option is used</t>
  </si>
  <si>
    <t>Cdd_Ipc.c</t>
  </si>
  <si>
    <t>unowned</t>
  </si>
  <si>
    <t>Existing</t>
  </si>
  <si>
    <t>Ignore</t>
  </si>
  <si>
    <t>C and C++</t>
  </si>
  <si>
    <t>*default*, CddIpc</t>
  </si>
  <si>
    <t>MISRA.INCL.INSIDE</t>
  </si>
  <si>
    <t>Permitted by deviation: MISRAC-34</t>
  </si>
  <si>
    <t>Include directive preceded by a preprocessor output token</t>
  </si>
  <si>
    <t>MISRA Checkers</t>
  </si>
  <si>
    <t>MISRAC-34</t>
  </si>
  <si>
    <t>Code Quality (Compatibility)</t>
  </si>
  <si>
    <t>Permitted</t>
  </si>
  <si>
    <t>R.20.1</t>
  </si>
  <si>
    <t>PORTING.CAST.SIZE</t>
  </si>
  <si>
    <t>Permitted by deviation: FSQ_MCAL_SA_0002</t>
  </si>
  <si>
    <t>Expression is cast to a type of potentially different size</t>
  </si>
  <si>
    <t>Cdd_IpcGetVersionInfo</t>
  </si>
  <si>
    <t>Cdd_IpcInit</t>
  </si>
  <si>
    <t>Cdd_IpcSendMsg</t>
  </si>
  <si>
    <t>Cdd_IpcReceiveMsg</t>
  </si>
  <si>
    <t>Cdd_IpcReceiveCtrlMsg</t>
  </si>
  <si>
    <t>Cdd_IpcAnnounce</t>
  </si>
  <si>
    <t>Cdd_IpcGetMaxMsgSize</t>
  </si>
  <si>
    <t>Cdd_IpcCheckChConfig</t>
  </si>
  <si>
    <t>Cdd_IpcCheckInitConfig</t>
  </si>
  <si>
    <t>Cdd_IpcInitDepends</t>
  </si>
  <si>
    <t>Cdd_IpcInitVirtIoCtrlEp</t>
  </si>
  <si>
    <t>Cdd_IpcInitRpMsgCtrl</t>
  </si>
  <si>
    <t>Cdd_IpcInitEps</t>
  </si>
  <si>
    <t>METRICS.E.HIS_Metrics___Max_nesting_level_LEVEL</t>
  </si>
  <si>
    <t>Nested if statements are required to handle the different error conditions and also to meet the design requirements.</t>
  </si>
  <si>
    <t>HIS Metrics - Max nesting level LEVEL: Cdd_IpcInit 5&gt;4</t>
  </si>
  <si>
    <t>C and C++ Community Metrics</t>
  </si>
  <si>
    <t>HIS Metrics - Max nesting level LEVEL: Cdd_IpcSendMsg 6&gt;4</t>
  </si>
  <si>
    <t>HIS Metrics - Max nesting level LEVEL: Cdd_IpcReceiveMsg 6&gt;4</t>
  </si>
  <si>
    <t>HIS Metrics - Max nesting level LEVEL: Cdd_IpcReceiveCtrlMsg 5&gt;4</t>
  </si>
  <si>
    <t>HIS Metrics - Max nesting level LEVEL: Cdd_IpcAnnounce 5&gt;4</t>
  </si>
  <si>
    <t>HIS Metrics - Max nesting level LEVEL: Cdd_IpcCheckInitConfig 5&gt;4</t>
  </si>
  <si>
    <t>HIS Metrics - Max nesting level LEVEL: Cdd_IpcInitDepends 5&gt;4</t>
  </si>
  <si>
    <t>HIS Metrics - Max nesting level LEVEL: Cdd_IpcNewMsgCb 5&gt;4</t>
  </si>
  <si>
    <t>Cdd_IpcNewMsgCb</t>
  </si>
  <si>
    <t>STRONG.TYPE.JOIN.ZERO</t>
  </si>
  <si>
    <t>Permitted by deviation: FSQ_MCAL_SA_0014</t>
  </si>
  <si>
    <t>A strongly typed value of type 'uint32' is joined with zero</t>
  </si>
  <si>
    <t>A strongly typed value of type 'Ipc_OsalHIsrFxn' is joined with zero</t>
  </si>
  <si>
    <t>Cdd_IpcHIsrCreate</t>
  </si>
  <si>
    <t>STRONG.TYPE.ASSIGN.ARG</t>
  </si>
  <si>
    <t>Permitted by deviation: FSQ_MCAL_SA_0015</t>
  </si>
  <si>
    <t>The function 'Cdd_IpcCriticalSectionIntExit' expects argument of type 'uintptr_t' but is being called with a value of type 'int32_t'</t>
  </si>
  <si>
    <t>Cdd_IpcHIsrGateExit</t>
  </si>
  <si>
    <t>MISRA.CAST.CONST</t>
  </si>
  <si>
    <t>Permitted by deviation: MISRAC-28</t>
  </si>
  <si>
    <t>Cast operation removes const or volatile modifier from a pointer or reference</t>
  </si>
  <si>
    <t>MISRAC-28</t>
  </si>
  <si>
    <t>Code Quality (Functional Suitability)</t>
  </si>
  <si>
    <t>R.11.8</t>
  </si>
  <si>
    <t>MISRA.ETYPE.ASSIGN.2012</t>
  </si>
  <si>
    <t>Permitted by deviation: MISRAC-72</t>
  </si>
  <si>
    <t>An expression value of essential type 'signed int' is assigned to an object of essential type 'unsigned int'</t>
  </si>
  <si>
    <t>MISRAC-72,MISRAC-80</t>
  </si>
  <si>
    <t>NA - Tool Issue,NA - Tool Issue</t>
  </si>
  <si>
    <t>Permitted - Tool Issue (KW false positive or False Diagnosis of a violation),Permitted - Tool Issue (KW false positive or False Diagnosis of a violation)</t>
  </si>
  <si>
    <t>R.10.3,R.10.3</t>
  </si>
  <si>
    <t xml:space="preserve">Waiver ID MISRAC-80 NOT mentioned in KW issue comment. </t>
  </si>
  <si>
    <t>MISRA.LITERAL.NULL.PTR.CONST.2012</t>
  </si>
  <si>
    <t>Permitted by deviation: MISRAC-29</t>
  </si>
  <si>
    <t>The macro NULL is the only permitted form of integer null pointer constant</t>
  </si>
  <si>
    <t>MISRAC-29,MISRAC-69</t>
  </si>
  <si>
    <t>Code Quality (Functional Suitability),NA - Tool Issue</t>
  </si>
  <si>
    <t>Permitted,Permitted - Tool Issue (KW false positive or False Diagnosis of a violation)</t>
  </si>
  <si>
    <t>R.11.9,R.11.9</t>
  </si>
  <si>
    <t xml:space="preserve">Waiver ID MISRAC-69 NOT mentioned in KW issue comment. </t>
  </si>
  <si>
    <t>PORTING.CAST.PTR</t>
  </si>
  <si>
    <t>Permitted by deviation: MISRAC-26</t>
  </si>
  <si>
    <t>Cast between types that are not both pointers or not pointers</t>
  </si>
  <si>
    <t>Cdd_IpcHIsrGateCreate</t>
  </si>
  <si>
    <t>SV.BANNED.REQUIRED.COPY</t>
  </si>
  <si>
    <t>Permitted by deviation: FSQ_MCAL_SA_0016</t>
  </si>
  <si>
    <t>Function 'memcpy' is deprecated. Replace with more secure equivalent like 'memcpy_s', add missing logic, or re-architect.</t>
  </si>
  <si>
    <t>MISRA.FUNC.UNUSEDPAR.2012</t>
  </si>
  <si>
    <t>Permitted by deviation: MISRAC-16</t>
  </si>
  <si>
    <t>Formal parameter 'keyNotUsed' of function 'Cdd_IpcCriticalSectionIntExit' is not used</t>
  </si>
  <si>
    <t>Cdd_IpcCriticalSectionIntExit</t>
  </si>
  <si>
    <t>MISRAC-16</t>
  </si>
  <si>
    <t>Code Quality (Maintainability)</t>
  </si>
  <si>
    <t>R.2.7</t>
  </si>
  <si>
    <t>Formal parameter 'handle' of function 'Cdd_IpcHIsrGateDelete' is not used</t>
  </si>
  <si>
    <t>Cdd_IpcHIsrGateDelete</t>
  </si>
  <si>
    <t>Formal parameter 'handle' of function 'Cdd_IpcHIsrGateEnter' is not used</t>
  </si>
  <si>
    <t>Cdd_IpcHIsrGateEnter</t>
  </si>
  <si>
    <t>Formal parameter 'handle' of function 'Cdd_IpcHIsrGateExit' is not used</t>
  </si>
  <si>
    <t>Formal parameter 'pDrvObj' of function 'Cdd_IpcInitVirtIoCtrlEp' is not used</t>
  </si>
  <si>
    <t>STRONG.TYPE.JOIN.EQ</t>
  </si>
  <si>
    <t>Permitted by deviation: FSQ_MCAL_SA_0012</t>
  </si>
  <si>
    <t>A strongly typed value of type 'Std_ReturnType' is compared with a value of a different type 'unsigned int'</t>
  </si>
  <si>
    <t>A strongly typed value of type 'Ipc_OsalHIsrFxn' is compared with a value of a different type '0'</t>
  </si>
  <si>
    <t>STRONG.TYPE.ASSIGN.ZERO</t>
  </si>
  <si>
    <t>Permitted by deviation: FSQ_MCAL_SA_0009</t>
  </si>
  <si>
    <t>Zero is assigned to the strongly typed variable 'maxMsgSize' of type 'uint32'</t>
  </si>
  <si>
    <t>Zero is assigned to the strongly typed variable 'idx' of type 'uint32'</t>
  </si>
  <si>
    <t>Zero is assigned to the strongly typed variable 'handle-&gt;arg1' of type 'uintptr_t'</t>
  </si>
  <si>
    <t>Zero is assigned to the strongly typed variable 'handle-&gt;arg0' of type 'uintptr_t'</t>
  </si>
  <si>
    <t>Cdd_IpcHIsrDelete</t>
  </si>
  <si>
    <t>Zero is assigned to the strongly typed variable 'initPrms.instId' of type 'uint32'</t>
  </si>
  <si>
    <t>Zero is assigned to the strongly typed variable 'procIdx' of type 'uint32'</t>
  </si>
  <si>
    <t>Zero is assigned to the strongly typed variable 'commIdx' of type 'uint32'</t>
  </si>
  <si>
    <t>Zero is assigned to the strongly typed variable 'pDrvObj-&gt;mapToCommId[procIdx][commIdx].isValid' of type 'uint32'</t>
  </si>
  <si>
    <t>Zero is assigned to the strongly typed variable 'ctrlParam.stackSize' of type 'uint32'</t>
  </si>
  <si>
    <t>MISRA.PPARAM.NEEDS.CONST</t>
  </si>
  <si>
    <t>Permitted by deviation: MISRAC-24</t>
  </si>
  <si>
    <t>Function parameter 'arg' is not declared as a pointer to const</t>
  </si>
  <si>
    <t>MISRAC-24</t>
  </si>
  <si>
    <t>R.8.13</t>
  </si>
  <si>
    <t>MISRA.CAST.VOID_PTR_TO_INT.2012</t>
  </si>
  <si>
    <t>Permitted by deviation: MISRAC-27</t>
  </si>
  <si>
    <t>Cast between a pointer to void and an arithmetic type</t>
  </si>
  <si>
    <t>MISRAC-27</t>
  </si>
  <si>
    <t>Access to Hardware</t>
  </si>
  <si>
    <t>R.11.6</t>
  </si>
  <si>
    <t>STRONG.TYPE.ASSIGN</t>
  </si>
  <si>
    <t>Permitted by deviation: FSQ_MCAL_SA_0006</t>
  </si>
  <si>
    <t>A strongly typed value '(((int32_t)(0)))' of type 'int32_t' is assigned to the variable 'rtnVal' of a different strong type 'sint32'</t>
  </si>
  <si>
    <t>Cdd_IpcHIsrPost</t>
  </si>
  <si>
    <t>A strongly typed value '&amp;Cdd_IpcHIsrCreate' of type 'sint32 (*)(Ipc_OsalHIsrHandle*, Ipc_OsalHIsrFxn, void*)*' is assigned to the variable 'initPrms.osalPrms.createHIsr' of a different strong type 'Ipc_OsalHIsrCreateFxn'</t>
  </si>
  <si>
    <t>A strongly typed value '&amp;Cdd_IpcHIsrPost' of type 'sint32 (*)(Ipc_OsalHIsrHandle*)*' is assigned to the variable 'initPrms.osalPrms.postHIsr' of a different strong type 'Ipc_OsalHIsrPostFxn'</t>
  </si>
  <si>
    <t>A strongly typed value '&amp;Cdd_IpcHIsrGateCreate' of type 'void* (*)()*' is assigned to the variable 'initPrms.osalPrms.createHIsrGate' of a different strong type 'Ipc_OsalCreateHIsrMutexFxn'</t>
  </si>
  <si>
    <t>A strongly typed value '&amp;Cdd_IpcHIsrGateEnter' of type 'sint32 (*)(Ipc_OsalHIsrGateHandle)*' is assigned to the variable 'initPrms.osalPrms.lockHIsrGate' of a different strong type 'Ipc_OsalEnterHIsrMutexFxn'</t>
  </si>
  <si>
    <t>INVARIANT_CONDITION.UNREACH</t>
  </si>
  <si>
    <t>Permitted by deviation: MISRAC-75</t>
  </si>
  <si>
    <t>Expression '((int32_t)(0)) != Ipc_init(&amp;initPrms)' used in the condition always yields the same result, and causes an unreachable code</t>
  </si>
  <si>
    <t>MISRAC-51,MISRAC-75</t>
  </si>
  <si>
    <t>Code Quality (Maintainability),NA - Tool Issue</t>
  </si>
  <si>
    <t>R.14.3,R.14.3</t>
  </si>
  <si>
    <t xml:space="preserve">Waiver ID MISRAC-51 NOT mentioned in KW issue comment. </t>
  </si>
  <si>
    <t>UNREACH.GEN</t>
  </si>
  <si>
    <t>Permitted by deviation: MISRAC-44</t>
  </si>
  <si>
    <t>Code is unreachable</t>
  </si>
  <si>
    <t>MISRAC-44,MISRAC-76</t>
  </si>
  <si>
    <t>R.2.1,R.2.1</t>
  </si>
  <si>
    <t xml:space="preserve">Waiver ID MISRAC-76 NOT mentioned in KW issue comment. </t>
  </si>
  <si>
    <t>STRONG.TYPE.ASSIGN.CONST</t>
  </si>
  <si>
    <t>Permitted by deviation: FSQ_MCAL_SA_0007</t>
  </si>
  <si>
    <t>A value '0xFFFFFFFFU' is assigned to the strongly typed variable 'pDrvObj-&gt;mapToCommId[procIdx][commIdx].remoteEp' of type 'uint32'</t>
  </si>
  <si>
    <t>A value '0xFFFFFFFFU' is assigned to the strongly typed variable 'pDrvObj-&gt;mapToCommId[procIdx][commIdx].commChId' of type 'uint32'</t>
  </si>
  <si>
    <t>A value '1U' is assigned to the strongly typed variable 'pDrvObj-&gt;mapToCommId[rProcId][chId].isValid' of type 'uint32'</t>
  </si>
  <si>
    <t>PORTING.STORAGE.STRUCT</t>
  </si>
  <si>
    <t>Permitted by deviation: FSQ_MCAL_SA_0005</t>
  </si>
  <si>
    <t>/home/gtbldadm/nightlybuilds/MCUSW_J7_KW_FULL/274-2022-10-06_05-06-06/workarea/mcusw/mcal_drv/mcal/CddIpc/ipc_baremetal_hw/ipc.h</t>
  </si>
  <si>
    <t>Byte position of elements in a structure could be changed depending on alignment and packing attributes.</t>
  </si>
  <si>
    <t>ipc.h</t>
  </si>
  <si>
    <t>/home/gtbldadm/nightlybuilds/MCUSW_J7_KW_FULL/274-2022-10-06_05-06-06/workarea/mcusw/mcal_drv/mcal/CddIpc/src/Cdd_IpcIrq.c</t>
  </si>
  <si>
    <t>Cdd_IpcIrq.c</t>
  </si>
  <si>
    <t>CWARN.INCL.NO_INTERFACE</t>
  </si>
  <si>
    <t>Permitted by deviation: FSQ_MCAL_SA_0001</t>
  </si>
  <si>
    <t>/home/gtbldadm/nightlybuilds/MCUSW_J7_KW_FULL/274-2022-10-06_05-06-06/workarea/mcusw/mcal_drv/mcal/CddIpc/ipc_baremetal_hw/src/ipc_api.c</t>
  </si>
  <si>
    <t>Source file 'ipc_api.c' does not include its interface header</t>
  </si>
  <si>
    <t>ipc_api.c</t>
  </si>
  <si>
    <t>MISRA.MEMB.FLEX_ARRAY.2012</t>
  </si>
  <si>
    <t>Permitted be deviation: FSQ_MCAL_MISRA_0001</t>
  </si>
  <si>
    <t>Flexible array member 'payload' shall not be declared</t>
  </si>
  <si>
    <t>Flexible array member 'data' shall not be declared</t>
  </si>
  <si>
    <t>Function parameter 'p' is not declared as a pointer to const</t>
  </si>
  <si>
    <t>Function parameter 'amsg' is not declared as a pointer to const</t>
  </si>
  <si>
    <t>Function parameter 'params' is not declared as a pointer to const</t>
  </si>
  <si>
    <t>Function parameter 'data' is not declared as a pointer to const</t>
  </si>
  <si>
    <t>Function parameter 'cfg' is not declared as a pointer to const</t>
  </si>
  <si>
    <t>MISRA.CAST.VOID_PTR_TO_OBJ_PTR.2012</t>
  </si>
  <si>
    <t>Permitted by deviation: MISRAC-64</t>
  </si>
  <si>
    <t>Conversion performed from a pointer to void to a pointer to an object 'RPMessage_Object**'</t>
  </si>
  <si>
    <t>RPMessage_lookupEndpt</t>
  </si>
  <si>
    <t>MISRAC-64</t>
  </si>
  <si>
    <t>Code Quality (Portability)</t>
  </si>
  <si>
    <t>R.11.5</t>
  </si>
  <si>
    <t>RPMessage_assignEndpt</t>
  </si>
  <si>
    <t>Conversion performed from a pointer to void to a pointer to an object 'RPMessage_MsgElem*'</t>
  </si>
  <si>
    <t>RPMessage_enqueMsg</t>
  </si>
  <si>
    <t>Conversion performed from a pointer to void to a pointer to an object 'RPMessage_MsgHeader*'</t>
  </si>
  <si>
    <t>RPMessage_swiFxn</t>
  </si>
  <si>
    <t>Conversion performed from a pointer to void to a pointer to an object 'IpcUtils_QElem*'</t>
  </si>
  <si>
    <t>RPMessage_lookupName</t>
  </si>
  <si>
    <t>RPMessage_unblockGetRemoteEndPt</t>
  </si>
  <si>
    <t>Conversion performed from a pointer to void to a pointer to an object 'RPMessage_Object*'</t>
  </si>
  <si>
    <t>RPMessage_rawCreate</t>
  </si>
  <si>
    <t>RPMessage_recvNb</t>
  </si>
  <si>
    <t>UNUSED</t>
  </si>
  <si>
    <t>RPMessage_swiLinuxFxn</t>
  </si>
  <si>
    <t>RPMessage_init</t>
  </si>
  <si>
    <t>An expression value of essential type 'unsigned short int' is assigned to an object of essential type 'signed int'</t>
  </si>
  <si>
    <t>An expression value of essential type 'unsigned int' is assigned to an object of essential type 'unsigned short int'</t>
  </si>
  <si>
    <t>RPMessage_announce</t>
  </si>
  <si>
    <t>An expression value of essential type 'unsigned int' is assigned to an object of essential type 'signed int'</t>
  </si>
  <si>
    <t>RPMessage_rawSend</t>
  </si>
  <si>
    <t>A strongly typed value 'msg-&gt;dataLen' of type 'uint16' is assigned to the variable 'obj-&gt;payload.len' of a different strong type 'uint32'</t>
  </si>
  <si>
    <t>A strongly typed value 'msg-&gt;dataLen' of type 'uint16' is assigned to the variable 'payload-&gt;len' of a different strong type 'uint32'</t>
  </si>
  <si>
    <t>A strongly typed value 'pOsalPrms-&gt;lockHIsrGate(module.gateSwi)' of type 'int32_t' is assigned to the variable 'key' of a different strong type 'uint32'</t>
  </si>
  <si>
    <t>STRONG.TYPE.JOIN.CMP</t>
  </si>
  <si>
    <t>Permitted by deviatio: FSQ_MCAL_SA_0018</t>
  </si>
  <si>
    <t>A strongly typed value of type '0' is compared with a value of a different type 'RPMessage_Params*'</t>
  </si>
  <si>
    <t>RPMessageParams_init</t>
  </si>
  <si>
    <t>A strongly typed value of type '0' is compared with a value of a different type 'RPMessage_Object*'</t>
  </si>
  <si>
    <t>RPMessage_allocObject</t>
  </si>
  <si>
    <t>A strongly typed value of type '0' is compared with a value of a different type 'RPMessage_MsgElem*'</t>
  </si>
  <si>
    <t>A strongly typed value of type '0' is compared with a value of a different type 'RPMessage_MsgHeader*'</t>
  </si>
  <si>
    <t>RPMessage_create</t>
  </si>
  <si>
    <t>Zero is assigned to the strongly typed variable 'c' of type 'uint32'</t>
  </si>
  <si>
    <t>Zero is assigned to the strongly typed variable 'p' of type 'uint32'</t>
  </si>
  <si>
    <t>Zero is assigned to the strongly typed variable 'msg-&gt;flags' of type 'uint16'</t>
  </si>
  <si>
    <t>Zero is assigned to the strongly typed variable 'gIpcObject.instId' of type 'uint32'</t>
  </si>
  <si>
    <t>Ipc_init</t>
  </si>
  <si>
    <t>STRONG.TYPE.ASSIGN.INIT</t>
  </si>
  <si>
    <t>Permitted by deviation: FSQ_MCAL_SA_0017</t>
  </si>
  <si>
    <t>A strongly typed value 'sizeof(RPMessage_Object)' of type 'size_t' is assigned to the variable 'objSize' of a different strong type 'uint32'</t>
  </si>
  <si>
    <t>RPMessage_getObjMemRequired</t>
  </si>
  <si>
    <t>A strongly typed value '(0)' of type '0' is assigned to the variable '*obj' of a different strong type 'RPMessage_Object*'</t>
  </si>
  <si>
    <t>A strongly typed value '(0)' of type '0' is assigned to the variable '*msg' of a different strong type 'RPMessage_MsgHeader*'</t>
  </si>
  <si>
    <t>STRONG.TYPE.JOIN.CONST</t>
  </si>
  <si>
    <t>permitted by deviation: FSQ_MCAL_SA_0011</t>
  </si>
  <si>
    <t>A strongly typed value of type 'uint32' is joined with constant</t>
  </si>
  <si>
    <t>A strongly typed value of type 'size_t' is joined with constant</t>
  </si>
  <si>
    <t>RPMessage_getRemoteEndPtToken</t>
  </si>
  <si>
    <t>A strongly typed value of type 'uint8' is joined with constant</t>
  </si>
  <si>
    <t>HIS Metrics - Max nesting level LEVEL: RPMessage_enqueMsg 6&gt;4</t>
  </si>
  <si>
    <t>HIS Metrics - Max nesting level LEVEL: RPMessage_announce 6&gt;4</t>
  </si>
  <si>
    <t>HIS Metrics - Max nesting level LEVEL: RPMessage_unblockGetRemoteEndPt 5&gt;4</t>
  </si>
  <si>
    <t>HIS Metrics - Max nesting level LEVEL: RPMessage_rawCreate 5&gt;4</t>
  </si>
  <si>
    <t>HIS Metrics - Max nesting level LEVEL: RPMessage_init 5&gt;4</t>
  </si>
  <si>
    <t>HIS Metrics - Max nesting level LEVEL: RPMessage_recvNb 6&gt;4</t>
  </si>
  <si>
    <t>METRICS.E.HIS_Metrics___Cyclomatic_v_G_</t>
  </si>
  <si>
    <t>HIS Metrics - Cyclomatic v(G): RPMessage_enqueMsg 14&gt;10</t>
  </si>
  <si>
    <t>HIS Metrics - Cyclomatic v(G): RPMessage_rawCreate 15&gt;10</t>
  </si>
  <si>
    <t>METRICS.E.HIS_Metrics___Number_of_paths_PATH</t>
  </si>
  <si>
    <t>HIS Metrics - Number of paths PATH: RPMessage_enqueMsg 209.99988&gt;80</t>
  </si>
  <si>
    <t>HIS Metrics - Number of paths PATH: RPMessage_rawCreate 560.00018&gt;80</t>
  </si>
  <si>
    <t>A strongly typed value of type 'Ipc_OsalEnterHIsrMutexFxn' is compared with a value of a different type '0'</t>
  </si>
  <si>
    <t>A strongly typed value of type 'Ipc_OsalExitHIsrMutexFxn' is compared with a value of a different type '0'</t>
  </si>
  <si>
    <t>A strongly typed value of type 'Ipc_NewMsgReceivedFxn' is compared with a value of a different type '0'</t>
  </si>
  <si>
    <t>A strongly typed value of type 'Ipc_OsalMutexUnlockFxn' is compared with a value of a different type '0'</t>
  </si>
  <si>
    <t>A strongly typed value of type 'uint8' is compared with a value of a different type 'unsigned int'</t>
  </si>
  <si>
    <t>RPMessage_processAnnounceMsg</t>
  </si>
  <si>
    <t>A strongly typed value of type 'unsigned int' is compared with a value of a different type 'uint16'</t>
  </si>
  <si>
    <t>A strongly typed value of type 'Ipc_OsalMutexCreateFxn' is compared with a value of a different type '0'</t>
  </si>
  <si>
    <t>A strongly typed value of type 'Ipc_OsalCreateHIsrMutexFxn' is compared with a value of a different type '0'</t>
  </si>
  <si>
    <t>A strongly typed value of type 'Ipc_OsalHIsrCreateFxn' is compared with a value of a different type '0'</t>
  </si>
  <si>
    <t>A strongly typed value of type 'Ipc_OsalRegisterIntrFxn' is compared with a value of a different type '0'</t>
  </si>
  <si>
    <t>A strongly typed value of type '0' is compared with a value of a different type 'RPMessage_Handle'</t>
  </si>
  <si>
    <t>A strongly typed value of type 'Ipc_OsalMutexLockFxn' is compared with a value of a different type '0'</t>
  </si>
  <si>
    <t>A strongly typed value of type 'Virtio_Handle' is compared with a value of a different type '0'</t>
  </si>
  <si>
    <t>RPMessage_send</t>
  </si>
  <si>
    <t>A strongly typed value of type 'Ipc_OsalDisableAllIntrFxn' is compared with a value of a different type '0'</t>
  </si>
  <si>
    <t>A strongly typed value of type 'Ipc_OsalRestoreAllIntrFxn' is compared with a value of a different type '0'</t>
  </si>
  <si>
    <t>MISRA.CAST.OBJ_PTR_TO_OBJ_PTR.2012</t>
  </si>
  <si>
    <t>Permitted by deviation: MISRAC-25</t>
  </si>
  <si>
    <t>Cast between a pointer to object type 'RPMessage_Announcement*' and a pointer to a different object type 'uint8[]'</t>
  </si>
  <si>
    <t>MISRAC-25</t>
  </si>
  <si>
    <t>R.11.3</t>
  </si>
  <si>
    <t>Cast between a pointer to object type 'void**' and a pointer to a different object type 'RPMessage_MsgHeader**'</t>
  </si>
  <si>
    <t>Cast between a pointer to object type 'RPMessage_NameEntry*' and a pointer to a different object type 'IpcUtils_QElem*'</t>
  </si>
  <si>
    <t>Cast between a pointer to object type 'RPMessage_Waiter*' and a pointer to a different object type 'IpcUtils_QElem*'</t>
  </si>
  <si>
    <t>Cast between a pointer to object type 'uint32*' and a pointer to a different object type 'RPMessage_CallbackData*'</t>
  </si>
  <si>
    <t>Cast between a pointer to object type 'RPMessage_MsgElem*' and a pointer to a different object type 'IpcUtils_QHandle*'</t>
  </si>
  <si>
    <t>MISRA.IF.UNDEF</t>
  </si>
  <si>
    <t>Permitted by deviation: MISRAC-36</t>
  </si>
  <si>
    <t>Undefined macros in #if directive</t>
  </si>
  <si>
    <t>MISRAC-36</t>
  </si>
  <si>
    <t>R.20.9</t>
  </si>
  <si>
    <t>MISRA.FUNC.UNUSEDRET.2012</t>
  </si>
  <si>
    <t>Permitted by deviation: MISRAC-32</t>
  </si>
  <si>
    <t>The return value of the non-void function 'memcpy' shall be used.</t>
  </si>
  <si>
    <t>MISRAC-32</t>
  </si>
  <si>
    <t>R.17.7</t>
  </si>
  <si>
    <t>The return value of the non-void function 'RPMessage_enqueMsg' shall be used.</t>
  </si>
  <si>
    <t>The return value of the non-void function 'Virtio_addUsedBuf' shall be used.</t>
  </si>
  <si>
    <t>The return value of the non-void function 'postHIsr' shall be used.</t>
  </si>
  <si>
    <t>virtio_callback</t>
  </si>
  <si>
    <t>The return value of the non-void function 'strncpy' shall be used.</t>
  </si>
  <si>
    <t>The return value of the non-void function 'IpcUtils_Qcreate' shall be used.</t>
  </si>
  <si>
    <t>The return value of the non-void function 'memset' shall be used.</t>
  </si>
  <si>
    <t>The return value of the non-void function 'createHIsr' shall be used.</t>
  </si>
  <si>
    <t>The return value of the non-void function 'Virtio_setCallback' shall be used.</t>
  </si>
  <si>
    <t>The return value of the non-void function 'lockMutex' shall be used.</t>
  </si>
  <si>
    <t>IpcInitPrms_init</t>
  </si>
  <si>
    <t>The return value of the non-void function 'Ipc_mailboxModuleStartup' shall be used.</t>
  </si>
  <si>
    <t>Function 'strncpy' is deprecated. Replace with more secure equivalent like 'strncpy_s', add missing logic, or re-architect.</t>
  </si>
  <si>
    <t>The function 'memcpy' expects argument of type 'size_t' but is being called with a value of type 'uint16'</t>
  </si>
  <si>
    <t>The function 'RPMessage_send' expects argument of type 'RPMessage_Handle' but is being called with a value of type '0'</t>
  </si>
  <si>
    <t>The function 'Virtio_addUsedBuf' expects argument of type 'int32_t' but is being called with a value of type 'uint32'</t>
  </si>
  <si>
    <t>STRONG.TYPE.JOIN.OTHER</t>
  </si>
  <si>
    <t>Permitted by deviation: FSQ_MCAL_SA_0013</t>
  </si>
  <si>
    <t>A strongly typed value of type 'size_t' is joined with a value of a different type 'uint16'</t>
  </si>
  <si>
    <t>A strongly typed value of type 'uint32' is joined with a value of a different type 'uintptr_t'</t>
  </si>
  <si>
    <t>A strongly typed value of type 'uint16' is joined with a value of a different type 'size_t'</t>
  </si>
  <si>
    <t>Formal parameter 'arg1' of function 'RPMessage_swiLinuxFxn' is not used</t>
  </si>
  <si>
    <t>Formal parameter 'arg1' of function 'RPMessage_swiFxn' is not used</t>
  </si>
  <si>
    <t>Formal parameter 'timeout' of function 'RPMessage_getRemoteEndPtToken' is not used</t>
  </si>
  <si>
    <t>Formal parameter 'token' of function 'RPMessage_getRemoteEndPtToken' is not used</t>
  </si>
  <si>
    <t>MISRA.CAST.OBJ_PTR_TO_INT.2012</t>
  </si>
  <si>
    <t>Conversion performed between a pointer to an object 'RPMessage_CallbackData*' and an integer type 'unsigned int'</t>
  </si>
  <si>
    <t>MISRAC-26</t>
  </si>
  <si>
    <t>R.11.4</t>
  </si>
  <si>
    <t>PORTING.CAST.PTR.SIZE</t>
  </si>
  <si>
    <t>Attempt to cast an expression to a type of a potentially incompatible size</t>
  </si>
  <si>
    <t>A strongly typed value of type 'size_t' is joined with zero</t>
  </si>
  <si>
    <t>A strongly typed value of type 'uint8' is joined with zero</t>
  </si>
  <si>
    <t>A strongly typed value of type 'int16_t' is joined with zero</t>
  </si>
  <si>
    <t>METRICS.E.HIS_Metrics___Number_of_parameters_PARAM</t>
  </si>
  <si>
    <t>HIS Metrics - Number of parameters PARAM: RPMessage_getRemoteEndPtToken 6&gt;5</t>
  </si>
  <si>
    <t>HIS Metrics - Number of parameters PARAM: RPMessage_send 6&gt;5</t>
  </si>
  <si>
    <t>A value '8U' is assigned to the strongly typed variable 'obj-&gt;heapParams.align' of type 'uint32'</t>
  </si>
  <si>
    <t>A value '(uintptr_t)&amp;module.VQ_callbacks[c]' is assigned to the strongly typed variable 'arg0' of type 'uintptr_t'</t>
  </si>
  <si>
    <t>ABV.STACK</t>
  </si>
  <si>
    <t>Permitted by deviation: FSQ_MCAL_MISRA</t>
  </si>
  <si>
    <t>Array 'queueRegistry' of size 12 may use index value(s) 1..21</t>
  </si>
  <si>
    <t>Array 'queueRegistry' of size 12 may use index value(s) 0..20</t>
  </si>
  <si>
    <t>/home/gtbldadm/nightlybuilds/MCUSW_J7_KW_FULL/274-2022-10-06_05-06-06/workarea/mcusw/mcal_drv/mcal/CddIpc/ipc_baremetal_hw/src/ipc_priv.h</t>
  </si>
  <si>
    <t>ipc_priv.h</t>
  </si>
  <si>
    <t>MISRA.FUNC.VARARG</t>
  </si>
  <si>
    <t>Permitted by deviation: MISRAC-30</t>
  </si>
  <si>
    <t>Function with variable number of arguments</t>
  </si>
  <si>
    <t>MISRAC-30</t>
  </si>
  <si>
    <t>R.17.1</t>
  </si>
  <si>
    <t>/home/gtbldadm/nightlybuilds/MCUSW_J7_KW_FULL/274-2022-10-06_05-06-06/workarea/mcusw/mcal_drv/mcal/CddIpc/ipc_baremetal_hw/src/ipc_mailbox.c</t>
  </si>
  <si>
    <t>ipc_mailbox.c</t>
  </si>
  <si>
    <t>Ipc_mailboxModuleStartup</t>
  </si>
  <si>
    <t>The return value of the non-void function 'Ipc_getMailboxInfoTx' shall be used.</t>
  </si>
  <si>
    <t>Ipc_mailboxSend</t>
  </si>
  <si>
    <t>The return value of the non-void function 'Ipc_getMailboxInfoRx' shall be used.</t>
  </si>
  <si>
    <t>Ipc_mailboxRegister</t>
  </si>
  <si>
    <t>The return value of the non-void function 'MailboxGetMessage' shall be used.</t>
  </si>
  <si>
    <t>Ipc_mailboxInternalCallback</t>
  </si>
  <si>
    <t>Ipc_mailboxEnableNewMsgInt</t>
  </si>
  <si>
    <t>The function 'MailboxSendMessage' expects argument of type 'uint32' but is being called with a value of type 'uintptr_t'</t>
  </si>
  <si>
    <t>The function 'Ipc_getMailboxInfoRx' expects argument of type 'uint32' but is being called with a value of type 'uint16'</t>
  </si>
  <si>
    <t>The function 'MailboxClrNewMsgStatus' expects argument of type 'uint32' but is being called with a value of type 'uintptr_t'</t>
  </si>
  <si>
    <t>The function 'MailboxGetRawNewMsgStatus' expects argument of type 'uint32' but is being called with a value of type 'uintptr_t'</t>
  </si>
  <si>
    <t>The function 'MailboxGetMessageCount' expects argument of type 'uint32' but is being called with a value of type 'uintptr_t'</t>
  </si>
  <si>
    <t>The function 'MailboxGetMessage' expects argument of type 'uint32' but is being called with a value of type 'uintptr_t'</t>
  </si>
  <si>
    <t>Permitted by deviation: FSQ_MCAL_SA_0011</t>
  </si>
  <si>
    <t>A strongly typed value of type 'uintptr_t' is joined with zero</t>
  </si>
  <si>
    <t>Ipc_mailboxIsr</t>
  </si>
  <si>
    <t>HIS Metrics - Max nesting level LEVEL: Ipc_mailboxRegister 5&gt;4</t>
  </si>
  <si>
    <t>HIS Metrics - Max nesting level LEVEL: Ipc_mailboxInternalCallback 5&gt;4</t>
  </si>
  <si>
    <t>Formal parameter 'timeoutCnt' of function 'Ipc_mailboxRegister' is not used</t>
  </si>
  <si>
    <t>A strongly typed value '(0)' of type '0' is assigned to the variable '*mbox' of a different strong type 'Ipc_MailboxData*'</t>
  </si>
  <si>
    <t>A strongly typed value '(0)' of type '0' is assigned to the variable '*pObj' of a different strong type 'Ipc_Object*'</t>
  </si>
  <si>
    <t>A strongly typed value '(0)' of type '0' is assigned to the variable '*pOsal' of a different strong type 'Ipc_OsalPrms*'</t>
  </si>
  <si>
    <t>A strongly typed value of type 'uint16' is compared with a value of a different type 'unsigned int'</t>
  </si>
  <si>
    <t>A strongly typed value of type '0' is compared with a value of a different type 'Ipc_MailboxData*'</t>
  </si>
  <si>
    <t>Zero is assigned to the strongly typed variable 'mbox-&gt;fifoCnt' of type 'uint32'</t>
  </si>
  <si>
    <t>Zero is assigned to the strongly typed variable 'n' of type 'uint32'</t>
  </si>
  <si>
    <t>INVARIANT_CONDITION.GEN</t>
  </si>
  <si>
    <t>Permitted by deviation: MISRAC-50</t>
  </si>
  <si>
    <t>Expression 'retVal' used in the condition always yields the same result</t>
  </si>
  <si>
    <t>MISRAC-50,MISRAC-73</t>
  </si>
  <si>
    <t xml:space="preserve">Waiver ID MISRAC-73 NOT mentioned in KW issue comment. </t>
  </si>
  <si>
    <t>Conversion performed between a pointer to an object 'Ipc_MailboxData*' and an integer type 'unsigned int'</t>
  </si>
  <si>
    <t>A strongly typed value 'n' of type 'uint32' is assigned to the variable 'mbox-&gt;fifoTable[mbox-&gt;fifoCnt].cfgNdx' of a different strong type 'int32_t'</t>
  </si>
  <si>
    <t>/home/gtbldadm/nightlybuilds/MCUSW_J7_KW_FULL/274-2022-10-06_05-06-06/workarea/mcusw/mcal_drv/mcal/CddIpc/ipc_baremetal_hw/soc/ipc_soc.h</t>
  </si>
  <si>
    <t>ipc_soc.h</t>
  </si>
  <si>
    <t>/home/gtbldadm/nightlybuilds/MCUSW_J7_KW_FULL/274-2022-10-06_05-06-06/workarea/mcusw/mcal_drv/mcal/CddIpc/ipc_baremetal_hw/src/ipc_mp.c</t>
  </si>
  <si>
    <t>ipc_mp.c</t>
  </si>
  <si>
    <t>Ipc_mpSetConfig</t>
  </si>
  <si>
    <t>Zero is assigned to the strongly typed variable 'i' of type 'uint32'</t>
  </si>
  <si>
    <t>Zero is assigned to the strongly typed variable 'i' of type 'uint16'</t>
  </si>
  <si>
    <t>Ipc_mpGetId</t>
  </si>
  <si>
    <t>Ipc_mpGetName</t>
  </si>
  <si>
    <t>HIS Metrics - Max nesting level LEVEL: Ipc_mpGetName 5&gt;4</t>
  </si>
  <si>
    <t>Ipc_mpGetSelfName</t>
  </si>
  <si>
    <t>/home/gtbldadm/nightlybuilds/MCUSW_J7_KW_FULL/274-2022-10-06_05-06-06/workarea/mcusw/mcal_drv/mcal/CddIpc/ipc_baremetal_hw/soc/V1/ipc_soc.c</t>
  </si>
  <si>
    <t>Source file 'ipc_soc.c' does not include its interface header</t>
  </si>
  <si>
    <t>ipc_soc.c</t>
  </si>
  <si>
    <t>A strongly typed value 'IPC_Mailbox_BasePhyAddr[clusterId]' of type 'uint32' is assigned to the variable 'baseAddr' of a different strong type 'uintptr_t'</t>
  </si>
  <si>
    <t>Ipc_getMailboxBaseAddr</t>
  </si>
  <si>
    <t>Zero is assigned to the strongly typed variable 'retVal' of type 'int32_t'</t>
  </si>
  <si>
    <t>Ipc_getMailboxInfoTx</t>
  </si>
  <si>
    <t>Ipc_getMailboxInfoRx</t>
  </si>
  <si>
    <t>Ipc_getCoreName</t>
  </si>
  <si>
    <t>/home/gtbldadm/nightlybuilds/MCUSW_J7_KW_FULL/274-2022-10-06_05-06-06/workarea/mcusw/mcal_drv/mcal/CddIpc/ipc_baremetal_hw/src/ipc_utils.c</t>
  </si>
  <si>
    <t>ipc_utils.c</t>
  </si>
  <si>
    <t>Function parameter 'pOsalInit' is not declared as a pointer to const</t>
  </si>
  <si>
    <t>Function parameter 'handle' is not declared as a pointer to const</t>
  </si>
  <si>
    <t>Function parameter 'qelem' is not declared as a pointer to const</t>
  </si>
  <si>
    <t>Function parameter 'param' is not declared as a pointer to const</t>
  </si>
  <si>
    <t>A strongly typed value '(0)' of type '0' is assigned to the variable '*elem' of a different strong type 'IpcUtils_QElem*'</t>
  </si>
  <si>
    <t>IpcUtils_QgetHead</t>
  </si>
  <si>
    <t>A strongly typed value '(0)' of type '0' is assigned to the variable '*next' of a different strong type 'IpcUtils_QElem*'</t>
  </si>
  <si>
    <t>A strongly typed value '(0)' of type '0' is assigned to the variable '*prev' of a different strong type 'IpcUtils_QElem*'</t>
  </si>
  <si>
    <t>IpcUtils_Qenqueue</t>
  </si>
  <si>
    <t>A strongly typed value '(0)' of type '0' is assigned to the variable '*rtnVal' of a different strong type 'void*'</t>
  </si>
  <si>
    <t>IpcUtils_QgetHeadNode</t>
  </si>
  <si>
    <t>IpcUtils_Qnext</t>
  </si>
  <si>
    <t>IpcUtils_HeapAlloc</t>
  </si>
  <si>
    <t>Zero is assigned to the strongly typed variable 'pHndl-&gt;numFreeBlocks' of type 'uint32'</t>
  </si>
  <si>
    <t>IpcUtils_HeapCreate</t>
  </si>
  <si>
    <t>IpcUtils_HeapDelete</t>
  </si>
  <si>
    <t>Conversion performed from a pointer to void to a pointer to an object 'uint8*'</t>
  </si>
  <si>
    <t>IpcUtils_HeapFree</t>
  </si>
  <si>
    <t>Cast between a pointer to object type 'IpcUtils_QElem*' and a pointer to a different object type 'uint8*'</t>
  </si>
  <si>
    <t>MISRA.PTR.ARITH.2012</t>
  </si>
  <si>
    <t>Permitted by deviation: MISRAC-33</t>
  </si>
  <si>
    <t>Pointer is used in arithmetic expression</t>
  </si>
  <si>
    <t>MISRAC-33</t>
  </si>
  <si>
    <t>Code Quality (Performance Efficiency)</t>
  </si>
  <si>
    <t>R.18.4</t>
  </si>
  <si>
    <t>STRONG.TYPE.EXTRACT</t>
  </si>
  <si>
    <t>Permitted by deviation: FSQ_MCAL_SA_0010</t>
  </si>
  <si>
    <t>A strongly typed value is assigned to the variable 'param-&gt;blockSize' of a different type 'uint32'</t>
  </si>
  <si>
    <t>Formal parameter 'size' of function 'IpcUtils_HeapFree' is not used</t>
  </si>
  <si>
    <t>Formal parameter 'format' of function 'SystemP_printf' is not used</t>
  </si>
  <si>
    <t>SystemP_printf</t>
  </si>
  <si>
    <t>/home/gtbldadm/nightlybuilds/MCUSW_J7_KW_FULL/274-2022-10-06_05-06-06/workarea/mcusw/mcal_drv/mcal/CddIpc/ipc_baremetal_hw/src/ipc_vring.h</t>
  </si>
  <si>
    <t>ipc_vring.h</t>
  </si>
  <si>
    <t>Conversion performed from a pointer to void to a pointer to an object 'vring_desc*'</t>
  </si>
  <si>
    <t>vring_init</t>
  </si>
  <si>
    <t>Conversion performed between a pointer to an object 'vring_avail*' and an integer type 'unsigned int'</t>
  </si>
  <si>
    <t>Conversion performed between a pointer to an object 'vring_used*' and an integer type 'unsigned int'</t>
  </si>
  <si>
    <t>Conversion performed between a pointer to an object 'uint16*' and an integer type 'unsigned int'</t>
  </si>
  <si>
    <t>A strongly typed value of type 'size_t' is joined with a value of a different type 'uint32'</t>
  </si>
  <si>
    <t>A strongly typed value of type 'uint32' is joined with a value of a different type 'size_t'</t>
  </si>
  <si>
    <t>vring_size</t>
  </si>
  <si>
    <t>A strongly typed value of type 'uintptr_t' is joined with constant</t>
  </si>
  <si>
    <t>/home/gtbldadm/nightlybuilds/MCUSW_J7_KW_FULL/274-2022-10-06_05-06-06/workarea/mcusw/mcal_drv/mcal/CddIpc/ipc_baremetal_hw/src/ipc_virtio.c</t>
  </si>
  <si>
    <t>Source file 'ipc_virtio.c' does not include its interface header</t>
  </si>
  <si>
    <t>ipc_virtio.c</t>
  </si>
  <si>
    <t>MISRA.TYPEDEF.NOT_UNIQUE</t>
  </si>
  <si>
    <t>Permitted by deviation: MISRAC-62</t>
  </si>
  <si>
    <t>Typedef name 'Ipc_TranslationEntry' is used for another entity</t>
  </si>
  <si>
    <t>MISRAC-62</t>
  </si>
  <si>
    <t>NA - Tool Issue</t>
  </si>
  <si>
    <t>Permitted - Tool Issue (KW false positive or False Diagnosis of a violation)</t>
  </si>
  <si>
    <t>R.5.6</t>
  </si>
  <si>
    <t>Typedef name 'Ipc_TranslationTable' is used for another entity</t>
  </si>
  <si>
    <t>MISRA.CT.UNIQUE.ID</t>
  </si>
  <si>
    <t>Permitted by deviation: MISRAC-61</t>
  </si>
  <si>
    <t>Identifier 'Ipc_TranslationEntry' clashes with type name at /home/gtbldadm/nightlybuilds/MCUSW_J7_KW_FULL/274-2022-10-06_05-06-06/workarea/mcusw/mcal_drv/mcal/CddIpc/ipc_baremetal_hw/src/ipc_virtio.c:75</t>
  </si>
  <si>
    <t>MISRAC-61</t>
  </si>
  <si>
    <t>R.5.7</t>
  </si>
  <si>
    <t>Identifier 'Ipc_TranslationTable' clashes with type name at /home/gtbldadm/nightlybuilds/MCUSW_J7_KW_FULL/274-2022-10-06_05-06-06/workarea/mcusw/mcal_drv/mcal/CddIpc/ipc_baremetal_hw/src/ipc_virtio.c:85</t>
  </si>
  <si>
    <t>MISRA.DEFINE.FUNC</t>
  </si>
  <si>
    <t>Permitted by deviation: MISRAC-7</t>
  </si>
  <si>
    <t>Function-like macro definition</t>
  </si>
  <si>
    <t>MISRAC-7,MISRAC-8</t>
  </si>
  <si>
    <t>Code Quality (Performance Efficiency),Code Quality (Functional Suitability)</t>
  </si>
  <si>
    <t>Permitted,Permitted</t>
  </si>
  <si>
    <t>D.4.9,D.4.9</t>
  </si>
  <si>
    <t xml:space="preserve">Waiver ID MISRAC-8 NOT mentioned in KW issue comment. </t>
  </si>
  <si>
    <t>A strongly typed value '(0)' of type '0' is assigned to the variable '*vqBaseAddr' of a different strong type 'void*'</t>
  </si>
  <si>
    <t>A strongly typed value '(0)' of type '0' is assigned to the variable '*rscTable' of a different strong type 'void*'</t>
  </si>
  <si>
    <t>A strongly typed value '(0)' of type '0' is assigned to the variable '*ptr' of a different strong type 'void*'</t>
  </si>
  <si>
    <t>Ipc_allocVirtio</t>
  </si>
  <si>
    <t>A strongly typed value '(0)' of type '0' is assigned to the variable '*rsc' of a different strong type 'Ipc_ResourceTable*'</t>
  </si>
  <si>
    <t>Ipc_isRemoteReady</t>
  </si>
  <si>
    <t>A strongly typed value '(0)' of type '0' is assigned to the variable '*buf' of a different strong type 'void*'</t>
  </si>
  <si>
    <t>Virtio_getUsedBuf</t>
  </si>
  <si>
    <t>A strongly typed value '(0)' of type '0' is assigned to the variable '*vq' of a different strong type 'Virtio_Object*'</t>
  </si>
  <si>
    <t>Virtio_create</t>
  </si>
  <si>
    <t>Ipc_lateVirtioCreate</t>
  </si>
  <si>
    <t>A strongly typed value of type 'size_t' is compared with a value of a different type 'uint32'</t>
  </si>
  <si>
    <t>A strongly typed value of type '0' is compared with a value of a different type 'void*'</t>
  </si>
  <si>
    <t>Virtio_isRemoteLinux</t>
  </si>
  <si>
    <t>A strongly typed value of type '0' is compared with a value of a different type 'Ipc_VirtIoParams*'</t>
  </si>
  <si>
    <t>Ipc_initVirtIO</t>
  </si>
  <si>
    <t>A strongly typed value of type '0' is compared with a value of a different type 'Ipc_ResourceTable*'</t>
  </si>
  <si>
    <t>mapPAtoVA</t>
  </si>
  <si>
    <t>mapVAtoPA</t>
  </si>
  <si>
    <t>Virtio_prime</t>
  </si>
  <si>
    <t>VirtioIPC_createVirtioCorePair</t>
  </si>
  <si>
    <t>Ipc_updateVirtioInfo</t>
  </si>
  <si>
    <t>Ipc_physToVirt</t>
  </si>
  <si>
    <t>Ipc_virtToPhys</t>
  </si>
  <si>
    <t>A strongly typed value of type 'uint32' is joined with a value of a different type 'uint16'</t>
  </si>
  <si>
    <t>Virtio_addUsedBuf</t>
  </si>
  <si>
    <t>Virtio_addAvailBuf</t>
  </si>
  <si>
    <t>Virtio_getAvailBuf</t>
  </si>
  <si>
    <t>A strongly typed value 'sizeof(Virtio_Object)' of type 'size_t' is assigned to the variable 'vqSizeLeft' of a different strong type 'uint32'</t>
  </si>
  <si>
    <t>A strongly typed value 'pa' of type 'uint32' is assigned to the variable '*va' of a different strong type 'uintptr_t'</t>
  </si>
  <si>
    <t>A strongly typed value 'va' of type 'uintptr_t' is assigned to the variable '*pa' of a different strong type 'uint32'</t>
  </si>
  <si>
    <t>A strongly typed value 'head' of type 'int16_t' is assigned to the variable 'used-&gt;id' of a different strong type 'uint32'</t>
  </si>
  <si>
    <t>A strongly typed value 'len' of type 'int32_t' is assigned to the variable 'used-&gt;len' of a different strong type 'uint32'</t>
  </si>
  <si>
    <t>A strongly typed value 'procId' of type 'uint16' is assigned to the variable 'vqInfo.remoteId' of a different strong type 'uint32'</t>
  </si>
  <si>
    <t>Zero is assigned to the strongly typed variable '*va' of type 'uintptr_t'</t>
  </si>
  <si>
    <t>Zero is assigned to the strongly typed variable '*pa' of type 'uint32'</t>
  </si>
  <si>
    <t>Zero is assigned to the strongly typed variable 'retVal' of type 'uint8'</t>
  </si>
  <si>
    <t>Zero is assigned to the strongly typed variable 'vq-&gt;last_avail_idx' of type 'uint16'</t>
  </si>
  <si>
    <t>Zero is assigned to the strongly typed variable 'vq-&gt;last_used_idx' of type 'uint16'</t>
  </si>
  <si>
    <t>Zero is assigned to the strongly typed variable 'status' of type 'int32_t'</t>
  </si>
  <si>
    <t>Virtio_setCallback</t>
  </si>
  <si>
    <t>Zero is assigned to the strongly typed variable 'g_vqTable[g_vqItemCnt].rank' of type 'uint32'</t>
  </si>
  <si>
    <t>Zero is assigned to the strongly typed variable 'info-&gt;txNotifyId' of type 'uint32'</t>
  </si>
  <si>
    <t>Zero is assigned to the strongly typed variable 'index' of type 'uint32'</t>
  </si>
  <si>
    <t>VirtioIPC_init</t>
  </si>
  <si>
    <t>Ipc_getVqObjMemoryRequiredPerCore</t>
  </si>
  <si>
    <t>A strongly typed value of type 'uint16' is joined with constant</t>
  </si>
  <si>
    <t>Virtio_kick</t>
  </si>
  <si>
    <t>A strongly typed value of type '0' is compared with a value of a different type 'Virtio_Handle'</t>
  </si>
  <si>
    <t>A value '1' is assigned to the strongly typed variable 'retVal' of type 'uint8'</t>
  </si>
  <si>
    <t>A value '2' is assigned to the strongly typed variable 'vq-&gt;vring.desc[head].flags' of type 'uint16'</t>
  </si>
  <si>
    <t>A value '1U' is assigned to the strongly typed variable 'vq-&gt;vring.used-&gt;flags' of type 'uint16'</t>
  </si>
  <si>
    <t>A value '7' is assigned to the strongly typed variable 'g_vqTable[g_vqItemCnt].virtioId' of type 'uint32'</t>
  </si>
  <si>
    <t>A value '1' is assigned to the strongly typed variable 'info-&gt;txNotifyId' of type 'uint32'</t>
  </si>
  <si>
    <t>A value '1' is assigned to the strongly typed variable 'info-&gt;rxNotifyId' of type 'uint32'</t>
  </si>
  <si>
    <t>An expression value of essential type 'signed short int' is assigned to an object of essential type 'unsigned int'</t>
  </si>
  <si>
    <t>Virtio_getHandle</t>
  </si>
  <si>
    <t>Conversion performed from a pointer to void to a pointer to an object 'Ipc_ResourceTable*'</t>
  </si>
  <si>
    <t>Conversion performed from a pointer to void to a pointer to an object 'Virtio_Object*'</t>
  </si>
  <si>
    <t>The function 'CSL_armR5CacheInv' expects argument of type 'int32_t' but is being called with a value of type 'size_t'</t>
  </si>
  <si>
    <t>The function 'Ipc_mailboxSend' expects argument of type 'uint32' but is being called with a value of type 'uint16'</t>
  </si>
  <si>
    <t>The function 'memset' expects argument of type 'size_t' but is being called with a value of type 'uint32'</t>
  </si>
  <si>
    <t>The function 'Virtio_create' expects argument of type 'Virtio_callback' but is being called with a value of type '0'</t>
  </si>
  <si>
    <t>The return value of the non-void function 'Ipc_physToVirt' shall be used.</t>
  </si>
  <si>
    <t>The return value of the non-void function 'Ipc_virtToPhys' shall be used.</t>
  </si>
  <si>
    <t>Function parameter 'va' is not declared as a pointer to const</t>
  </si>
  <si>
    <t>Function parameter 'baseAddr' is not declared as a pointer to const</t>
  </si>
  <si>
    <t>STRONG.TYPE.ASSIGN.RETURN</t>
  </si>
  <si>
    <t>Permitted by deviation: FSQ_MCAL_SA_0008</t>
  </si>
  <si>
    <t>The function 'Virtio_getProcId' having return type 'uint32' is returning a value of type 'uint16'</t>
  </si>
  <si>
    <t>Virtio_getProcId</t>
  </si>
  <si>
    <t>The function 'Virtio_getHandle' having return type 'Virtio_Handle' is returning a value of type ''</t>
  </si>
  <si>
    <t>Formal parameter 'vq' of function 'Virtio_disableCallback' is not used</t>
  </si>
  <si>
    <t>Virtio_disableCallback</t>
  </si>
  <si>
    <t>Formal parameter 'msg' of function 'Virtio_isr' is not used</t>
  </si>
  <si>
    <t>Virtio_isr</t>
  </si>
  <si>
    <t>HIS Metrics - Number of parameters PARAM: Virtio_create 7&gt;5</t>
  </si>
  <si>
    <t>A strongly typed value is assigned to the variable 'Virtio_getHandle(procId,VIRTIO_RX)' of a different type 'Virtio_Handle'</t>
  </si>
  <si>
    <t>Conversion performed between a pointer to an object 'uint8*' and an integer type 'unsigned int'</t>
  </si>
  <si>
    <t>Conversion performed between a pointer to an object 'uint32*' and an integer type 'unsigned int'</t>
  </si>
  <si>
    <t>/home/gtbldadm/nightlybuilds/MCUSW_J7_KW_FULL/274-2022-10-06_05-06-06/workarea/mcusw/mcal_drv/mcal/CddIpc/include/Cdd_Ipc.h</t>
  </si>
  <si>
    <t>Cdd_Ipc.h</t>
  </si>
  <si>
    <t>/home/gtbldadm/nightlybuilds/MCUSW_J7_KW_FULL/274-2022-10-06_05-06-06/workarea/mcusw/mcal_drv/mcal/CddIpc/ipc_baremetal_hw/include/ipc_config.h</t>
  </si>
  <si>
    <t>ipc_config.h</t>
  </si>
  <si>
    <t>/home/gtbldadm/nightlybuilds/MCUSW_J7_KW_FULL/274-2022-10-06_05-06-06/workarea/mcusw/mcal_drv/mcal/CddIpc/src/Cdd_IpcPriv.h</t>
  </si>
  <si>
    <t>Cdd_IpcPriv.h</t>
  </si>
  <si>
    <t>/home/gtbldadm/nightlybuilds/MCUSW_J7_KW_FULL/274-2022-10-06_05-06-06/workarea/mcusw/mcal_drv/mcal/CddIpc/ipc_baremetal_hw/include/ipc_rsctypes.h</t>
  </si>
  <si>
    <t>ipc_rsctypes.h</t>
  </si>
  <si>
    <t>/home/gtbldadm/nightlybuilds/MCUSW_J7_KW_FULL/274-2022-10-06_05-06-06/workarea/mcusw/mcal_drv/mcal/CddIpc/ipc_baremetal_hw/mailbox_hw/V0/V0_1/hw_mailbox.h</t>
  </si>
  <si>
    <t>hw_mailbox.h</t>
  </si>
  <si>
    <t>/home/gtbldadm/nightlybuilds/MCUSW_J7_KW_FULL/274-2022-10-06_05-06-06/workarea/mcusw/mcal_drv/mcal/CddIpc/ipc_baremetal_hw/mailbox_hw/V0/V0_1/lldr_mailbox.h</t>
  </si>
  <si>
    <t>lldr_mailbox.h</t>
  </si>
  <si>
    <t>A strongly typed value of type 'Int16' is joined with zero</t>
  </si>
  <si>
    <t>A value '4U' is assigned to the strongly typed variable 'cnt' of type 'uint32'</t>
  </si>
  <si>
    <t>Conversion performed from a pointer to void to a pointer to an object 'uint16*'</t>
  </si>
  <si>
    <t>An expression value of essential type 'Essentially Character' is assigned to an object of essential type 'unsigned char'</t>
  </si>
  <si>
    <t>Zero is assigned to the strongly typed variable 'msg.name[32U-1U]' of type 'UCHAR'</t>
  </si>
  <si>
    <t>Zero is assigned to the strongly typed variable 'p-&gt;name[32U-1U]' of type 'UCHAR'</t>
  </si>
  <si>
    <t>The function 'SystemP_printf' expects argument of type 'UCHAR*' but is being called with a value of type 'char*'</t>
  </si>
  <si>
    <t>The function 'strncpy' expects argument of type 'char*' but is being called with a value of type 'UCHAR*'</t>
  </si>
  <si>
    <t>The function 'strncmp' expects argument of type 'char*' but is being called with a value of type 'UCHAR*'</t>
  </si>
  <si>
    <t>Typedef name 'UCHAR' is used for another entity</t>
  </si>
  <si>
    <t>HIS Metrics - Max nesting level LEVEL: Ipc_mpSetConfig 5&gt;4</t>
  </si>
  <si>
    <t>Zero is assigned to the strongly typed variable 'pMpCfg-&gt;name[(32)-1]' of type 'UCHAR'</t>
  </si>
  <si>
    <t>Zero is assigned to the strongly typed variable 'pMpCfg-&gt;procInfo[i].name[(32)-1]' of type 'UCHAR'</t>
  </si>
  <si>
    <t>/home/gtbldadm/nightlybuilds/MCUSW_J7_KW_FULL/274-2022-10-06_05-06-06/workarea/mcusw/mcal_drv/mcal/CddIpc/ipc_baremetal_hw/include/ipc_mp.h</t>
  </si>
  <si>
    <t>ipc_mp.h</t>
  </si>
  <si>
    <t>/home/gtbldadm/nightlybuilds/MCUSW_J7_KW_FULL/274-2022-10-06_05-06-06/workarea/mcusw/mcal_drv/mcal/CddIpc/ipc_baremetal_hw/include/ipc_types.h</t>
  </si>
  <si>
    <t>ipc_types.h</t>
  </si>
  <si>
    <t>Permitted by deviation: FSQ_MCAL_SA_0018</t>
  </si>
  <si>
    <t>A strongly typed value of type '0' is compared with a value of a different type 'Virtio_Object*'</t>
  </si>
  <si>
    <t>Permitted by deviation: MISRAC-73 and MISRAC-50</t>
  </si>
  <si>
    <t>Expression 'ptr != 0' used in the condition always yields the same result</t>
  </si>
  <si>
    <t>A strongly typed value of type '0' is compared with a value of a different type 'Virtio_callback'</t>
  </si>
  <si>
    <t>Cdd_IpcRegisterReadBack</t>
  </si>
  <si>
    <t>Cdd_IpcGetMailboxStatus</t>
  </si>
  <si>
    <t>Zero is assigned to the strongly typed variable 'coreIdx' of type 'uint32'</t>
  </si>
  <si>
    <t>is_aligned</t>
  </si>
  <si>
    <t>Zero is assigned to the strongly typed variable 'params-&gt;stackSize' of type 'uint32'</t>
  </si>
  <si>
    <t>Cast between a pointer to object type 'RPMessage_CallbackData*' and a pointer to a different object type 'uint32*'</t>
  </si>
  <si>
    <t>The function 'memcpy' expects argument of type 'size_t' but is being called with a value of type 'uint32'</t>
  </si>
  <si>
    <t>HIS Metrics - Number of parameters PARAM: RPMessage_recvNb 6&gt;5</t>
  </si>
  <si>
    <t>IpcRegisterReadBack</t>
  </si>
  <si>
    <t>The function 'MailboxEnableNewMsgInt' expects argument of type 'uint32' but is being called with a value of type 'uintptr_t'</t>
  </si>
  <si>
    <t>Ipc_mailboxEnable</t>
  </si>
  <si>
    <t>Ipc_mailboxGetStatus</t>
  </si>
  <si>
    <t>HIS Metrics - Max nesting level LEVEL: Ipc_mailboxGetStatus 5&gt;4</t>
  </si>
  <si>
    <t>Expression 'mbox != 0' used in the condition always yields the same result</t>
  </si>
  <si>
    <t>A strongly typed value '(HW_RD_REG32_RAW((uint32_t)(baseAddr+(0x0U))))' of type 'uint32_t' is assigned to the variable 'pRegArgs-&gt;cddipcRev' of a different strong type 'uint32'</t>
  </si>
  <si>
    <t>A strongly typed value '(HW_RD_REG32_RAW((uint32_t)(baseAddr+(0x10U))))' of type 'uint32_t' is assigned to the variable 'pRegArgs-&gt;cddipcsyscfg' of a different strong type 'uint32'</t>
  </si>
  <si>
    <t>A strongly typed value '(HW_RD_REG32_RAW((uint32_t)(baseAddr+(0x140U))))' of type 'uint32_t' is assigned to the variable 'pRegArgs-&gt;cddipceoi' of a different strong type 'uint32'</t>
  </si>
  <si>
    <t>A strongly typed value '(HW_RD_REG32_RAW((uint32_t)(baseAddr+((uint32)0xc0U+((queueId)*4U)))))' of type 'uint32_t' is assigned to the variable 'pRegArgs-&gt;cddipcmsg' of a different strong type 'uint32'</t>
  </si>
  <si>
    <t>A strongly typed value '(HW_RD_REG32_RAW((uint32_t)(baseAddr+((uint32)0x80U+((queueId)*4U)))))' of type 'uint32_t' is assigned to the variable 'pRegArgs-&gt;cddipcfifosts' of a different strong type 'uint32'</t>
  </si>
  <si>
    <t>A strongly typed value '(HW_RD_REG32_RAW((uint32_t)(baseAddr+((uint32)0xc0U+((queueId)*4U)))))' of type 'uint32_t' is assigned to the variable 'pRegArgs-&gt;cddipcmsgsts' of a different strong type 'uint32'</t>
  </si>
  <si>
    <t>A strongly typed value '(HW_RD_REG32_RAW((uint32_t)(baseAddr+((uint32)0x100U+((userId)*16U)))))' of type 'uint32_t' is assigned to the variable 'pRegArgs-&gt;cddipcirqrawsts' of a different strong type 'uint32'</t>
  </si>
  <si>
    <t>A strongly typed value '(HW_RD_REG32_RAW((uint32_t)(baseAddr+((uint32)0x104U+((userId)*16U)))))' of type 'uint32_t' is assigned to the variable 'pRegArgs-&gt;cddipcclrsts' of a different strong type 'uint32'</t>
  </si>
  <si>
    <t>A strongly typed value '(HW_RD_REG32_RAW((uint32_t)(baseAddr+((uint32)0x10cU+((userId)*16U)))))' of type 'uint32_t' is assigned to the variable 'pRegArgs-&gt;cddipcenbclr' of a different strong type 'uint32'</t>
  </si>
  <si>
    <t>A strongly typed value '(HW_RD_REG32_RAW((uint32_t)(baseAddr+((uint32)0x108U+((userId)*16U)))))' of type 'uint32_t' is assigned to the variable 'pRegArgs-&gt;cddipcenbset' of a different strong type 'uint32'</t>
  </si>
  <si>
    <t>A strongly typed value 'Ipc_mpGetNumProcessors()' of type 'uint16' is assigned to the variable 'numProcessors' of a different strong type 'uint32'</t>
  </si>
  <si>
    <t>Zero is assigned to the strongly typed variable 'i' of type 'int32_t'</t>
  </si>
  <si>
    <t>VirtioIPC_getVirtQueues</t>
  </si>
  <si>
    <t>Ipc_isRemoteVirtioCreated</t>
  </si>
  <si>
    <t>Zero is assigned to the strongly typed variable 'info-&gt;rxNotifyId' of type 'uint32'</t>
  </si>
  <si>
    <t>Conversion performed from a pointer to void to a pointer to an object 'uint32*'</t>
  </si>
  <si>
    <t>A strongly typed value of type 'uint32' is compared with a value of a different type 'uint16'</t>
  </si>
  <si>
    <t>Permitted by deviation: MISRAC-72 and MISRAC-80</t>
  </si>
  <si>
    <t>Ipc_mpGetNumProcessors</t>
  </si>
  <si>
    <t>The function 'Ipc_mpGetNumProcessors' having return type 'uint16' is returning a value of type 'uint32'</t>
  </si>
  <si>
    <t>A strongly typed value '(((int32_t)(0)))' of type 'int32_t' is assigned to the variable 'status' of a different strong type 'Std_ReturnType'</t>
  </si>
  <si>
    <t xml:space="preserve">Permitted by deviation: MISRAC-72 &amp; MISRAC-80 </t>
  </si>
  <si>
    <t>An expression value of essential type 'signed char' is assigned to an object of essential type 'unsigned char'</t>
  </si>
  <si>
    <t>Not a Problem</t>
  </si>
  <si>
    <t>An expression value of essential type 'unsigned char' is assigned to an object of essential type 'signed int'</t>
  </si>
  <si>
    <t>The function 'Ipc_physToVirt' having return type 'int32_t' is returning a value of type 'Std_ReturnType'</t>
  </si>
  <si>
    <t>The function 'Ipc_virtToPhys' having return type 'int32_t' is returning a value of type 'Std_ReturnType'</t>
  </si>
  <si>
    <t>A strongly typed value 'IpcUtils_strnlen(name,sizeof(name))' of type 'uint32' is assigned to the variable 'namelen' of a different strong type 'size_t'</t>
  </si>
  <si>
    <t>The function 'IpcUtils_strnlen' expects argument of type 'uint32' but is being called with a value of type 'size_t'</t>
  </si>
  <si>
    <t>Permitted by deviation: MISRAC-73 &amp; MISRAC-50</t>
  </si>
  <si>
    <t>Expression 'namelen &gt;= 32' used in the condition always yields the same result</t>
  </si>
  <si>
    <t>MISRA.BUILTIN_NUMERIC</t>
  </si>
  <si>
    <t>Permitted by deviation: MISRAC-5</t>
  </si>
  <si>
    <t>Builtin numeric type 'unsigned char' is used</t>
  </si>
  <si>
    <t>IpcUtils_strnlen</t>
  </si>
  <si>
    <t>MISRAC-5</t>
  </si>
  <si>
    <t>D.4.6</t>
  </si>
  <si>
    <t>/home/gtbldadm/nightlybuilds/MCUSW_J7_KW_FULL/274-2022-10-06_05-06-06/workarea/mcusw/mcal_drv/mcal/CddIpc/ipc_baremetal_hw/src/ipc_utils.h</t>
  </si>
  <si>
    <t>ipc_utils.h</t>
  </si>
  <si>
    <t>Zero is assigned to the strongly typed variable 'len' of type 'uint32'</t>
  </si>
  <si>
    <t>Expression 'vq' used in the condition always yields the same result</t>
  </si>
  <si>
    <t>Expression 'vq-&gt;callback' used in the condition always yields the same result</t>
  </si>
  <si>
    <t>A strongly typed value of type 'unsigned int' is compared with a value of a different type 'boolean'</t>
  </si>
  <si>
    <t>A strongly typed value of type 'uint32' is joined with a value of a different type 'unsigned char'</t>
  </si>
  <si>
    <t>The return value of the non-void function 'RPMessageParams_init' shall be used.</t>
  </si>
  <si>
    <t>Decidable?</t>
  </si>
  <si>
    <t>Rule Description</t>
  </si>
  <si>
    <t>Checker Code</t>
  </si>
  <si>
    <t>Alternate Checker - Compiler/Linker</t>
  </si>
  <si>
    <t>Alternate Checker - Manual Review</t>
  </si>
  <si>
    <t>Waiver Link</t>
  </si>
  <si>
    <t>D.1.1</t>
  </si>
  <si>
    <t>No</t>
  </si>
  <si>
    <t>Any implementation-defined behaviour on which the output of the program depends shall be documented and understood</t>
  </si>
  <si>
    <t>D.2.1</t>
  </si>
  <si>
    <t>All source files shall compile without any compilation errors</t>
  </si>
  <si>
    <t>Checked by compiler</t>
  </si>
  <si>
    <t>D.3.1</t>
  </si>
  <si>
    <t>All code shall be traceable to documented requirements</t>
  </si>
  <si>
    <t>D.4.1</t>
  </si>
  <si>
    <t>Run-time failures shall be minimised</t>
  </si>
  <si>
    <t>D.4.10</t>
  </si>
  <si>
    <t>Precautions shall be taken in order to prevent the contents of a header file being included more than once</t>
  </si>
  <si>
    <t>MISRA.INCGUARD</t>
  </si>
  <si>
    <t>MISRAC-48, MISRAC-49</t>
  </si>
  <si>
    <t>https://jira.itg.ti.com/browse/MISRAC-48, https://jira.itg.ti.com/browse/MISRAC-49</t>
  </si>
  <si>
    <t>D.4.11</t>
  </si>
  <si>
    <t>The validity of values passed to library functions shall be checked</t>
  </si>
  <si>
    <t>D.4.12</t>
  </si>
  <si>
    <t>Dynamic memory allocation shall not be used</t>
  </si>
  <si>
    <t>D.4.13</t>
  </si>
  <si>
    <t>Advisory</t>
  </si>
  <si>
    <t>Functions which are designed to provide operations on a resource should be called in an appropriate sequence</t>
  </si>
  <si>
    <t>MISRAC-9</t>
  </si>
  <si>
    <t>https://jira.itg.ti.com/browse/MISRAC-9</t>
  </si>
  <si>
    <t>D.4.14</t>
  </si>
  <si>
    <t>The validity of values received from external sources shall be checked</t>
  </si>
  <si>
    <t>ABV.TAINTED</t>
  </si>
  <si>
    <t>SV.TAINTED.SECURITY_DECISION</t>
  </si>
  <si>
    <t>SV.TAINTED.PATH_TRAVERSAL</t>
  </si>
  <si>
    <t>SV.TAINTED.LOOP_BOUND</t>
  </si>
  <si>
    <t>SV.TAINTED.CALL.DEREF</t>
  </si>
  <si>
    <t>SV.TAINTED.DEREF</t>
  </si>
  <si>
    <t>SV.TAINTED.CALL.LOOP_BOUND</t>
  </si>
  <si>
    <t>SV.TAINTED.FMTSTR</t>
  </si>
  <si>
    <t>SV.TAINTED.ALLOC_SIZE</t>
  </si>
  <si>
    <t>SV.TAINTED.CALL.INDEX_ACCESS</t>
  </si>
  <si>
    <t>SV.TAINTED.BINOP</t>
  </si>
  <si>
    <t>SV.TAINTED.INJECTION</t>
  </si>
  <si>
    <t>SV.TAINTED.INDEX_ACCESS</t>
  </si>
  <si>
    <t>SV.TAINTED.CALL.BINOP</t>
  </si>
  <si>
    <t>NNTS.TAINTED</t>
  </si>
  <si>
    <t>D.4.2</t>
  </si>
  <si>
    <t>All usage of assembly language should be documented</t>
  </si>
  <si>
    <t>MISRAC-3</t>
  </si>
  <si>
    <t>https://jira.itg.ti.com/browse/MISRAC-3</t>
  </si>
  <si>
    <t>D.4.3</t>
  </si>
  <si>
    <t>Assembly language shall be encapsulated and isolated</t>
  </si>
  <si>
    <t>MISRA.ASM.ENCAPS</t>
  </si>
  <si>
    <t>D.4.4</t>
  </si>
  <si>
    <t>Sections of code should not be 'commented out'</t>
  </si>
  <si>
    <t>D.4.5</t>
  </si>
  <si>
    <t>Identifiers in the same namespace with overlapping visibility should be typographically unambiguous</t>
  </si>
  <si>
    <t>MISRAC-4</t>
  </si>
  <si>
    <t>https://jira.itg.ti.com/browse/MISRAC-4</t>
  </si>
  <si>
    <t>typedefs that indicate size and signedness should be used in place of the basic numerical types</t>
  </si>
  <si>
    <t>https://jira.itg.ti.com/browse/MISRAC-5</t>
  </si>
  <si>
    <t>D.4.7</t>
  </si>
  <si>
    <t>If a function returns error information; then that error information shall be tested</t>
  </si>
  <si>
    <t>D.4.8</t>
  </si>
  <si>
    <t>If a pointer to a structure or union is never dereferenced within a translation unit; then the implementation of the object should be hidden</t>
  </si>
  <si>
    <t>MISRAC-6</t>
  </si>
  <si>
    <t>https://jira.itg.ti.com/browse/MISRAC-6</t>
  </si>
  <si>
    <t>D.4.9</t>
  </si>
  <si>
    <t>A function should be used in preference to a function-like macro where they are interchangeable</t>
  </si>
  <si>
    <t>MISRAC-7, MISRAC-8</t>
  </si>
  <si>
    <t>https://jira.itg.ti.com/browse/MISRAC-7, https://jira.itg.ti.com/browse/MISRAC-8</t>
  </si>
  <si>
    <t>R.1.1</t>
  </si>
  <si>
    <t>Yes</t>
  </si>
  <si>
    <t>The program shall contain no violations of the standard C syntax and constraints; and shall not exceed the implementation's translation limits</t>
  </si>
  <si>
    <t>R.1.2</t>
  </si>
  <si>
    <t>Language extensions should not be used</t>
  </si>
  <si>
    <t>MISRAC-10</t>
  </si>
  <si>
    <t>https://jira.itg.ti.com/browse/MISRAC-10</t>
  </si>
  <si>
    <t>R.1.3</t>
  </si>
  <si>
    <t>There shall be no occurrence of undefined or critical unspecified behaviour</t>
  </si>
  <si>
    <t>R.10.1</t>
  </si>
  <si>
    <t>Operands shall not be of an inappropriate essential type</t>
  </si>
  <si>
    <t>MISRA.ETYPE.INAPPR.OPERAND.INDEXPR.2012</t>
  </si>
  <si>
    <t>MISRA.ETYPE.INAPPR.OPERAND.TERNOP.2012</t>
  </si>
  <si>
    <t>MISRA.ETYPE.INAPPR.OPERAND.BINOP.2012</t>
  </si>
  <si>
    <t>MISRA.ETYPE.INAPPR.OPERAND.UNOP.2012</t>
  </si>
  <si>
    <t>R.10.2</t>
  </si>
  <si>
    <t>Expressions of essentially character type shall not be used inappropriately in addition and subtraction operations</t>
  </si>
  <si>
    <t>MISRA.ETYPE.INAPPR.CHAR.2012</t>
  </si>
  <si>
    <t>R.10.3</t>
  </si>
  <si>
    <t>The value of an expression shall not be assigned to an object with a narrower essential type or of a different essential type category</t>
  </si>
  <si>
    <t>MISRAC-72, MISRAC-80</t>
  </si>
  <si>
    <t>https://jira.itg.ti.com/browse/MISRAC-72, https://jira.itg.ti.com/browse/MISRAC-80</t>
  </si>
  <si>
    <t>R.10.4</t>
  </si>
  <si>
    <t>Both operands of an operator in which the usual arithmetic conversions are performed shall have the same essential type category</t>
  </si>
  <si>
    <t>MISRA.ETYPE.CATEGORY.DIFFERENT.2012</t>
  </si>
  <si>
    <t>R.10.5</t>
  </si>
  <si>
    <t>The value of an expression should not be cast to an  inappropriate essential type</t>
  </si>
  <si>
    <t>MISRA.ETYPE.INAPPR.CAST.2012</t>
  </si>
  <si>
    <t>R.10.6</t>
  </si>
  <si>
    <t>The value of a composite expression shall not be assigned to an object with wider essential type</t>
  </si>
  <si>
    <t>MISRA.ETYPE.COMP.ASSIGN.2012</t>
  </si>
  <si>
    <t>R.10.7</t>
  </si>
  <si>
    <t>If a composite expression is used as one operand of an operator in which the usual arithmetic conversions are performed then the other operand shall not have wider essential type</t>
  </si>
  <si>
    <t>MISRA.ETYPE.COMP.CAST.IMPL.WIDER.2012</t>
  </si>
  <si>
    <t>MISRAC-86</t>
  </si>
  <si>
    <t>https://jira.itg.ti.com/browse/MISRAC-86</t>
  </si>
  <si>
    <t>R.10.8</t>
  </si>
  <si>
    <t>The value of a composite expression shall not be cast to a different essential type category or a wider essential type</t>
  </si>
  <si>
    <t>MISRA.ETYPE.COMP.CAST.EXPL.DIFFERENT.2012</t>
  </si>
  <si>
    <t>MISRA.ETYPE.COMP.CAST.EXPL.WIDER.2012</t>
  </si>
  <si>
    <t>R.11.1</t>
  </si>
  <si>
    <t>Conversions shall not be performed between a pointer to a function and any other type</t>
  </si>
  <si>
    <t>MISRA.CAST.FUNC_PTR.2012</t>
  </si>
  <si>
    <t>R.11.2</t>
  </si>
  <si>
    <t>Conversions shall not be performed between a pointer to incomplete and any other type</t>
  </si>
  <si>
    <t>MISRA.CAST.INCOMPLETE_PTR_TO_ANY.2012</t>
  </si>
  <si>
    <t>A cast shall not be performed between a pointer to object type and a pointer to a different object type</t>
  </si>
  <si>
    <t>https://jira.itg.ti.com/browse/MISRAC-25</t>
  </si>
  <si>
    <t>A conversion should not be performed between a pointer to object and an integer type</t>
  </si>
  <si>
    <t>https://jira.itg.ti.com/browse/MISRAC-26</t>
  </si>
  <si>
    <t>A conversion should not be performed from pointer to void into pointer to object</t>
  </si>
  <si>
    <t>https://jira.itg.ti.com/browse/MISRAC-64</t>
  </si>
  <si>
    <t>A cast shall not be performed between pointer to void and an arithmetic type</t>
  </si>
  <si>
    <t>https://jira.itg.ti.com/browse/MISRAC-27</t>
  </si>
  <si>
    <t>R.11.7</t>
  </si>
  <si>
    <t>A cast shall not be performed between pointer to object and a non-integer arithmetic type</t>
  </si>
  <si>
    <t>MISRA.CAST.OBJ_PTR_TO_NON_INT.2012</t>
  </si>
  <si>
    <t>A cast shall not remove any const or volatile qualification from the type pointed to by a pointer</t>
  </si>
  <si>
    <t>https://jira.itg.ti.com/browse/MISRAC-28</t>
  </si>
  <si>
    <t>R.11.9</t>
  </si>
  <si>
    <t>The macro NULL shall be the only permitted form of integer null pointer constant</t>
  </si>
  <si>
    <t>MISRAC-29, MISRAC-69</t>
  </si>
  <si>
    <t>https://jira.itg.ti.com/browse/MISRAC-29, https://jira.itg.ti.com/browse/MISRAC-69</t>
  </si>
  <si>
    <t>R.12.1</t>
  </si>
  <si>
    <t>The precedence of operators within expressions should be made explicit</t>
  </si>
  <si>
    <t>MISRA.EXPR.PARENS.2012</t>
  </si>
  <si>
    <t>MISRA.EXPR.PARENS.SIZEOF.2012</t>
  </si>
  <si>
    <t>R.12.2</t>
  </si>
  <si>
    <t>The right hand operand of a shift operator shall lie in the range zero to one less than the width in bits of the essential type of the left hand operand</t>
  </si>
  <si>
    <t>MISRA.SHIFT.RANGE.2012</t>
  </si>
  <si>
    <t>MISRAC-87</t>
  </si>
  <si>
    <t>https://jira.itg.ti.com/browse/MISRAC-87</t>
  </si>
  <si>
    <t>R.12.3</t>
  </si>
  <si>
    <t>The comma operator should not be used</t>
  </si>
  <si>
    <t>MISRA.COMMA</t>
  </si>
  <si>
    <t>R.12.4</t>
  </si>
  <si>
    <t>Evaluation of constant expressions should not lead to unsigned integer wrap-around</t>
  </si>
  <si>
    <t>MISRA.COMP.WRAPAROUND</t>
  </si>
  <si>
    <t>MISRAC-74</t>
  </si>
  <si>
    <t>https://jira.itg.ti.com/browse/MISRAC-74</t>
  </si>
  <si>
    <t>R.12.5</t>
  </si>
  <si>
    <t>Mandatory</t>
  </si>
  <si>
    <t>The sizeof operator shall not have an operand which is a function parameter declared as 'array of type'</t>
  </si>
  <si>
    <t>MISRA.EXPR.SIZEOF.ARRAY_PARAM.2012_AMD1</t>
  </si>
  <si>
    <t>R.13.1</t>
  </si>
  <si>
    <t>Initialiser lists shall not contain persistent side effects</t>
  </si>
  <si>
    <t>R.13.2</t>
  </si>
  <si>
    <t>The value of an expression and its persistent side effects shall be the same under all permitted evaluation orders</t>
  </si>
  <si>
    <t>PORTING.VAR.EFFECTS</t>
  </si>
  <si>
    <t>R.13.3</t>
  </si>
  <si>
    <t>A full expression containing an increment (++) or decrement (--) operator should have no other potential side effects other than that caused by the increment or decrement operator</t>
  </si>
  <si>
    <t>MISRA.INCR_DECR.SIDEEFF.2012</t>
  </si>
  <si>
    <t>R.13.4</t>
  </si>
  <si>
    <t>The result of an assignment operator should not be used</t>
  </si>
  <si>
    <t>MISRA.ASSIGN.SUBEXPR.2012</t>
  </si>
  <si>
    <t>R.13.5</t>
  </si>
  <si>
    <t>The right hand operand of a logical &amp; or || operator shall not contain persistent side effects</t>
  </si>
  <si>
    <t>MISRA.LOGIC.SIDEEFF</t>
  </si>
  <si>
    <t>R.13.6</t>
  </si>
  <si>
    <t>The operand of the sizeof operator shall not contain any expression which has potential side effects</t>
  </si>
  <si>
    <t>MISRA.SIZEOF.SIDE_EFFECT</t>
  </si>
  <si>
    <t>R.14.1</t>
  </si>
  <si>
    <t>A loop counter shall not have essentially floating type</t>
  </si>
  <si>
    <t>MISRA.FOR.COUNTER.FLT</t>
  </si>
  <si>
    <t>R.14.2</t>
  </si>
  <si>
    <t>A for loop shall be well-formed</t>
  </si>
  <si>
    <t>R.14.3</t>
  </si>
  <si>
    <t>Controlling expressions shall not be invariant</t>
  </si>
  <si>
    <t>MISRAC-51, MISRAC-75</t>
  </si>
  <si>
    <t>https://jira.itg.ti.com/browse/MISRAC-51, https://jira.itg.ti.com/browse/MISRAC-75</t>
  </si>
  <si>
    <t>MISRAC-50, MISRAC-73</t>
  </si>
  <si>
    <t>https://jira.itg.ti.com/browse/MISRAC-50, https://jira.itg.ti.com/browse/MISRAC-73</t>
  </si>
  <si>
    <t>R.14.4</t>
  </si>
  <si>
    <t>The controlling expression of an if statement and the controlling expression of an iteration-statement shall have essentially Boolean type</t>
  </si>
  <si>
    <t>MISRA.STMT.COND.NOT_BOOLEAN.2012</t>
  </si>
  <si>
    <t>R.15.1</t>
  </si>
  <si>
    <t>The goto statement should not be used</t>
  </si>
  <si>
    <t>MISRA.GOTO</t>
  </si>
  <si>
    <t>R.15.2</t>
  </si>
  <si>
    <t>The goto statement shall jump to a label declared later in the same function</t>
  </si>
  <si>
    <t>MISRA.GOTO.AFTER_LABEL.2012</t>
  </si>
  <si>
    <t>R.15.3</t>
  </si>
  <si>
    <t>Any label referenced by a goto statement shall be declared in the same block; or in any block enclosing the goto statement</t>
  </si>
  <si>
    <t>MISRA.GOTO.NESTED.2012</t>
  </si>
  <si>
    <t>R.15.4</t>
  </si>
  <si>
    <t>There should be no more than one break or goto statement used to terminate any iteration statement</t>
  </si>
  <si>
    <t>MISRA.BREAK_OR_GOTO.MULTIPLE.2012</t>
  </si>
  <si>
    <t>R.15.5</t>
  </si>
  <si>
    <t>A function should have a single point of exit at the end</t>
  </si>
  <si>
    <t>MISRA.RETURN.NOT_LAST</t>
  </si>
  <si>
    <t>R.15.6</t>
  </si>
  <si>
    <t>The body of an iteration-statement or a selection-statement shall be a compound statement</t>
  </si>
  <si>
    <t>MISRA.IF.NO_COMPOUND</t>
  </si>
  <si>
    <t>MISRA.STMT.NO_COMPOUND</t>
  </si>
  <si>
    <t>R.15.7</t>
  </si>
  <si>
    <t>All if . . else if constructs shall be terminated with an else statement</t>
  </si>
  <si>
    <t>MISRA.IF.NO_ELSE</t>
  </si>
  <si>
    <t>R.16.1</t>
  </si>
  <si>
    <t>All switch statements shall be well-formed</t>
  </si>
  <si>
    <t>MISRA.SWITCH.WELL_FORMED.2012</t>
  </si>
  <si>
    <t>R.16.2</t>
  </si>
  <si>
    <t>A switch label shall only be used when the most closely-enclosing compound statement is the body of a switch statement</t>
  </si>
  <si>
    <t>MISRA.SWITCH.WELL_FORMED.NESTED_LABEL.2012</t>
  </si>
  <si>
    <t>R.16.3</t>
  </si>
  <si>
    <t>An unconditional break statement shall terminate every switch-clause</t>
  </si>
  <si>
    <t>MISRA.SWITCH.WELL_FORMED.BREAK.2012</t>
  </si>
  <si>
    <t>R.16.4</t>
  </si>
  <si>
    <t>Every switch statement shall have a default label</t>
  </si>
  <si>
    <t>MISRA.SWITCH.WELL_FORMED.DEFAULT.2012</t>
  </si>
  <si>
    <t>R.16.5</t>
  </si>
  <si>
    <t>A default label shall appear as either the first or the last switch label of a switch statement</t>
  </si>
  <si>
    <t>MISRA.SWITCH.WELL_FORMED.DEFAULT.FIRST_OR_LAST.2012</t>
  </si>
  <si>
    <t>R.16.6</t>
  </si>
  <si>
    <t>Every switch statement shall have at least two switch-clauses</t>
  </si>
  <si>
    <t>MISRA.SWITCH.WELL_FORMED.TWO_CLAUSES.2012</t>
  </si>
  <si>
    <t>R.16.7</t>
  </si>
  <si>
    <t>A switch-expression shall not have essentially Boolean type</t>
  </si>
  <si>
    <t>MISRA.SWITCH.COND.BOOL.2012</t>
  </si>
  <si>
    <t>The features of &amp;lt;stdarg.h&amp;gt; shall not be used</t>
  </si>
  <si>
    <t>https://jira.itg.ti.com/browse/MISRAC-30</t>
  </si>
  <si>
    <t>R.17.2</t>
  </si>
  <si>
    <t>Functions shall not call themselves; either directly or indirectly</t>
  </si>
  <si>
    <t>MISRA.FUNC.RECUR</t>
  </si>
  <si>
    <t>R.17.3</t>
  </si>
  <si>
    <t>A function shall not be declared implicitly</t>
  </si>
  <si>
    <t>MISRA.FUNC.NODECL.CALL.2012</t>
  </si>
  <si>
    <t>R.17.4</t>
  </si>
  <si>
    <t>All exit paths from a function with non-void return type shall have an explicit return statement with an expression</t>
  </si>
  <si>
    <t>FUNCRET.IMPLICIT</t>
  </si>
  <si>
    <t>FUNCRET.GEN</t>
  </si>
  <si>
    <t>R.17.5</t>
  </si>
  <si>
    <t>The function argument corresponding to a parameter declared to have an array type shall have an appropriate number of elements</t>
  </si>
  <si>
    <t>MISRAC-31</t>
  </si>
  <si>
    <t>https://jira.itg.ti.com/browse/MISRAC-31</t>
  </si>
  <si>
    <t>R.17.6</t>
  </si>
  <si>
    <t>The declaration of an array parameter shall not contain the static keyword between the [ ]</t>
  </si>
  <si>
    <t>MISRA.FUNC.ARRAY.PARAM.STATIC.2012</t>
  </si>
  <si>
    <t>The value returned by a function having non-void return type shall be used</t>
  </si>
  <si>
    <t>https://jira.itg.ti.com/browse/MISRAC-32</t>
  </si>
  <si>
    <t>R.17.8</t>
  </si>
  <si>
    <t>A function parameter should not be modified</t>
  </si>
  <si>
    <t>MISRA.FUNC.MODIFIEDPAR.2012</t>
  </si>
  <si>
    <t>R.18.1</t>
  </si>
  <si>
    <t>A pointer resulting from arithmetic on a pointer operand shall address an element of the same array as that pointer operand</t>
  </si>
  <si>
    <t>R.18.2</t>
  </si>
  <si>
    <t>Subtraction between pointers shall only be applied to pointers that address elements of the same array</t>
  </si>
  <si>
    <t>R.18.3</t>
  </si>
  <si>
    <t>The relational operators &amp;gt;; &amp;gt;=; &amp;gt; and &amp;lt;= shall not be applied to objects of pointer type except where they point into the same object</t>
  </si>
  <si>
    <t>The +; -; += and -= operators should not be applied to an expression of pointer type</t>
  </si>
  <si>
    <t>https://jira.itg.ti.com/browse/MISRAC-33</t>
  </si>
  <si>
    <t>R.18.5</t>
  </si>
  <si>
    <t>Declarations should contain no more than two levels of pointer nesting</t>
  </si>
  <si>
    <t>MISRA.PTR.TO_PTR_TO_PTR</t>
  </si>
  <si>
    <t>R.18.6</t>
  </si>
  <si>
    <t>The address of an object with automatic storage shall not be copied to another object that persists after the first object has ceased to exist</t>
  </si>
  <si>
    <t>LOCRET.RET</t>
  </si>
  <si>
    <t>LOCRET.ARG</t>
  </si>
  <si>
    <t>LOCRET.GLOB</t>
  </si>
  <si>
    <t>R.18.7</t>
  </si>
  <si>
    <t>Flexible array members shall not be declared</t>
  </si>
  <si>
    <t>R.18.8</t>
  </si>
  <si>
    <t>Variable-length array types shall not be used</t>
  </si>
  <si>
    <t>MISRA.ARRAY.VAR_LENGTH.2012</t>
  </si>
  <si>
    <t>MISRAC-84</t>
  </si>
  <si>
    <t>https://jira.itg.ti.com/browse/MISRAC-84</t>
  </si>
  <si>
    <t>R.19.1</t>
  </si>
  <si>
    <t>An object shall not be assigned or copied to an overlapping object</t>
  </si>
  <si>
    <t>MISRA.ASSIGN.OVERLAP</t>
  </si>
  <si>
    <t>R.19.2</t>
  </si>
  <si>
    <t>The union keyword should not be used</t>
  </si>
  <si>
    <t>MISRA.UNION</t>
  </si>
  <si>
    <t>MISRAC-43</t>
  </si>
  <si>
    <t>https://jira.itg.ti.com/browse/MISRAC-43</t>
  </si>
  <si>
    <t>R.2.1</t>
  </si>
  <si>
    <t>A project shall not contain unreachable code</t>
  </si>
  <si>
    <t>UNREACH.RETURN</t>
  </si>
  <si>
    <t>MISRAC-44, MISRAC-76</t>
  </si>
  <si>
    <t>https://jira.itg.ti.com/browse/MISRAC-44, https://jira.itg.ti.com/browse/MISRAC-76</t>
  </si>
  <si>
    <t>R.2.2</t>
  </si>
  <si>
    <t>There shall be no dead code</t>
  </si>
  <si>
    <t>VA_UNUSED.INIT</t>
  </si>
  <si>
    <t>VA_UNUSED.GEN</t>
  </si>
  <si>
    <t>MISRAC-12, MISRAC-77</t>
  </si>
  <si>
    <t>https://jira.itg.ti.com/browse/MISRAC-12, https://jira.itg.ti.com/browse/MISRAC-77</t>
  </si>
  <si>
    <t>LV_UNUSED.GEN</t>
  </si>
  <si>
    <t>MISRAC-11</t>
  </si>
  <si>
    <t>https://jira.itg.ti.com/browse/MISRAC-11</t>
  </si>
  <si>
    <t>EFFECT</t>
  </si>
  <si>
    <t>R.2.3</t>
  </si>
  <si>
    <t>A project should not contain unused type declarations</t>
  </si>
  <si>
    <t>MISRAC-13</t>
  </si>
  <si>
    <t>https://jira.itg.ti.com/browse/MISRAC-13</t>
  </si>
  <si>
    <t>R.2.4</t>
  </si>
  <si>
    <t>A project should not contain unused tag declarations</t>
  </si>
  <si>
    <t>MISRAC-14</t>
  </si>
  <si>
    <t>https://jira.itg.ti.com/browse/MISRAC-14</t>
  </si>
  <si>
    <t>R.2.5</t>
  </si>
  <si>
    <t>A project should not contain unused macro declarations</t>
  </si>
  <si>
    <t>MISRAC-15</t>
  </si>
  <si>
    <t>https://jira.itg.ti.com/browse/MISRAC-15</t>
  </si>
  <si>
    <t>R.2.6</t>
  </si>
  <si>
    <t>A function should not contain unused label declarations</t>
  </si>
  <si>
    <t>LA_UNUSED</t>
  </si>
  <si>
    <t>There should be no unused parameters in functions</t>
  </si>
  <si>
    <t>https://jira.itg.ti.com/browse/MISRAC-16</t>
  </si>
  <si>
    <t>#include directives should only be preceded by preprocessor directives or comments</t>
  </si>
  <si>
    <t>https://jira.itg.ti.com/browse/MISRAC-34</t>
  </si>
  <si>
    <t>R.20.10</t>
  </si>
  <si>
    <t>The # and ## preprocessor operators should not be used</t>
  </si>
  <si>
    <t>MISRA.DEFINE.SHARP</t>
  </si>
  <si>
    <t>MISRAC-46</t>
  </si>
  <si>
    <t>https://jira.itg.ti.com/browse/MISRAC-46</t>
  </si>
  <si>
    <t>R.20.11</t>
  </si>
  <si>
    <t>A macro parameter immediately following a # operator shall not immediately be followed by a ## operator</t>
  </si>
  <si>
    <t>MISRA.DEFINE.SHARP.ORDER.2012</t>
  </si>
  <si>
    <t>R.20.12</t>
  </si>
  <si>
    <t>A macro parameter used as an operand to the # or ## operators; which is itself subject to further macro replacement; shall only be used as an operand to these operators</t>
  </si>
  <si>
    <t>MISRA.DEFINE.SHARP.REPLACE.2012</t>
  </si>
  <si>
    <t>R.20.13</t>
  </si>
  <si>
    <t>A line whose first token is # shall be a valid preprocessing directive</t>
  </si>
  <si>
    <t>MISRA.USE.UNKNOWNDIR</t>
  </si>
  <si>
    <t>R.20.14</t>
  </si>
  <si>
    <t>All #else; #elif and #endif preprocessor directives shall reside in the same file as the #if; #ifdef or #ifndef directive to which they are related</t>
  </si>
  <si>
    <t>MISRA.ENDIF.OTHERFILE</t>
  </si>
  <si>
    <t>MISRA.ELSE.OTHERFILE</t>
  </si>
  <si>
    <t>MISRA.ELIF.OTHERFILE</t>
  </si>
  <si>
    <t>R.20.2</t>
  </si>
  <si>
    <t>The ',' or \ characters and the /* or // character sequences shall not occur in a header file name</t>
  </si>
  <si>
    <t>MISRA.INCL.SYMS</t>
  </si>
  <si>
    <t>R.20.3</t>
  </si>
  <si>
    <t>The #include directive shall be followed by either a &amp;lt;filename&amp;gt; or  'filename' sequence</t>
  </si>
  <si>
    <t>MISRA.INCL.BAD</t>
  </si>
  <si>
    <t>R.20.4</t>
  </si>
  <si>
    <t>A macro shall not be defined with the same name as a keyword</t>
  </si>
  <si>
    <t>MISRA.DEFINE.WRONGNAME.C99.2012</t>
  </si>
  <si>
    <t>** already exists**</t>
  </si>
  <si>
    <t>MISRA.DEFINE.WRONGNAME.C90.2012</t>
  </si>
  <si>
    <t>R.20.5</t>
  </si>
  <si>
    <t>#undef should not be used</t>
  </si>
  <si>
    <t>MISRA.UNDEF</t>
  </si>
  <si>
    <t>MISRAC-45</t>
  </si>
  <si>
    <t>https://jira.itg.ti.com/browse/MISRAC-45</t>
  </si>
  <si>
    <t>R.20.6</t>
  </si>
  <si>
    <t>Tokens that look like a preprocessing directive shall not occur within a macro argument</t>
  </si>
  <si>
    <t>MISRA.EXPANSION.DIRECTIVE</t>
  </si>
  <si>
    <t>R.20.7</t>
  </si>
  <si>
    <t>Expressions resulting from the expansion of macro parameters shall be enclosed in parentheses</t>
  </si>
  <si>
    <t>MISRAC-47</t>
  </si>
  <si>
    <t>https://jira.itg.ti.com/browse/MISRAC-47</t>
  </si>
  <si>
    <t>R.20.8</t>
  </si>
  <si>
    <t>The controlling expression of a #if or #elif preprocessing directive shall evaluate to 0 or 1</t>
  </si>
  <si>
    <t>MISRA.ELIF.COND.NOT_BOOL.2012</t>
  </si>
  <si>
    <t>MISRA.IF.COND.NOT_BOOL.2012</t>
  </si>
  <si>
    <t>All identifiers used in the controlling expression of #if or #elif preprocessing directives shall be #define'd before evaluation</t>
  </si>
  <si>
    <t>https://jira.itg.ti.com/browse/MISRAC-36</t>
  </si>
  <si>
    <t>MISRA.ELIF.UNDEF</t>
  </si>
  <si>
    <t>MISRAC-35</t>
  </si>
  <si>
    <t>https://jira.itg.ti.com/browse/MISRAC-35</t>
  </si>
  <si>
    <t>R.21.1</t>
  </si>
  <si>
    <t>#define and #undef shall not be used on a reserved identifier or reserved macro name</t>
  </si>
  <si>
    <t>MISRA.UNDEF.WRONGNAME.UNDERSCORE</t>
  </si>
  <si>
    <t>MISRA.UNDEF.WRONGNAME</t>
  </si>
  <si>
    <t>MISRA.DEFINE.WRONGNAME.UNDERSCORE</t>
  </si>
  <si>
    <t>MISRAC-38</t>
  </si>
  <si>
    <t>https://jira.itg.ti.com/browse/MISRAC-38</t>
  </si>
  <si>
    <t>MISRA.DEFINE.WRONGNAME</t>
  </si>
  <si>
    <t>MISRAC-37</t>
  </si>
  <si>
    <t>https://jira.itg.ti.com/browse/MISRAC-37</t>
  </si>
  <si>
    <t>R.21.10</t>
  </si>
  <si>
    <t>The Standard Library time and date routines shall not be used</t>
  </si>
  <si>
    <t>MISRA.DEFINE.WCSFTIME.2012</t>
  </si>
  <si>
    <t>MISRA.STDLIB.WCSFTIME.2012</t>
  </si>
  <si>
    <t>MISRA.STDLIB.TIME</t>
  </si>
  <si>
    <t>MISRA.INCL.TIME.2012</t>
  </si>
  <si>
    <t>R.21.11</t>
  </si>
  <si>
    <t>The standard header file &amp;lt;tgmath.h&amp;gt; shall not be used</t>
  </si>
  <si>
    <t>MISRA.INCL.TGMATH.2012</t>
  </si>
  <si>
    <t>R.21.12</t>
  </si>
  <si>
    <t>The exception handling features of &amp;lt;fenv.h&amp;gt; should not be used</t>
  </si>
  <si>
    <t>MISRA.STDLIB.FENV.2012</t>
  </si>
  <si>
    <t>MISRA.STDLIB.FENV.MACRO.2012</t>
  </si>
  <si>
    <t>R.21.13</t>
  </si>
  <si>
    <t>Any value passed to a function in &amp;lt;ctype.h&amp;gt; shall be representable as an unsigned char or be the value EOF</t>
  </si>
  <si>
    <t>R.21.14</t>
  </si>
  <si>
    <t>The Standard Library function memcmp shall not be used to compare null terminated strings</t>
  </si>
  <si>
    <t>R.21.15</t>
  </si>
  <si>
    <t>The pointer arguments to the Standard Library functions memcpy; memmove and memcmp shall be pointers to qualified or unqualified versions of compatible types</t>
  </si>
  <si>
    <t>MISRA.STDLIB.INCOMPAT_ARGS.2012_AMD1</t>
  </si>
  <si>
    <t>R.21.16</t>
  </si>
  <si>
    <t>The pointer arguments to the Standard Library function memcmp shall point to either a pointer type; an essentially signed type; an essentially unsigned type; an essentially Boolean type or an essentially enum type</t>
  </si>
  <si>
    <t>R.21.17</t>
  </si>
  <si>
    <t>Use of the string handling functions from &amp;lt;string.h&amp;gt; shall not result in accesses beyond the bounds of the objects referenced by their pointer parameters</t>
  </si>
  <si>
    <t>NNTS.MUST</t>
  </si>
  <si>
    <t>ABV.GENERAL</t>
  </si>
  <si>
    <t>ABV.UNKNOWN_SIZE</t>
  </si>
  <si>
    <t>ABV.MEMBER</t>
  </si>
  <si>
    <t>ABV.ANY_SIZE_ARRAY</t>
  </si>
  <si>
    <t>NNTS.MIGHT</t>
  </si>
  <si>
    <t>R.21.18</t>
  </si>
  <si>
    <t>The size_t argument passed to any function in &amp;lt;string.h&amp;gt; shall have an appropriate value</t>
  </si>
  <si>
    <t>R.21.19</t>
  </si>
  <si>
    <t>The pointers returned by the Standard Library functions localeconv; getenv; setlocale or; strerror shall only be used if they have pointer to const-qualified type</t>
  </si>
  <si>
    <t>R.21.2</t>
  </si>
  <si>
    <t>A reserved identifier or macro name shall not be declared</t>
  </si>
  <si>
    <t>MISRA.STDLIB.WRONGNAME.UNDERSCORE</t>
  </si>
  <si>
    <t>MISRAC-39</t>
  </si>
  <si>
    <t>https://jira.itg.ti.com/browse/MISRAC-39</t>
  </si>
  <si>
    <t>MISRA.STDLIB.WRONGNAME</t>
  </si>
  <si>
    <t>R.21.20</t>
  </si>
  <si>
    <t>The pointer returned by the Stabdard Library functions asctime; ctime; gmtime; localtime; localeconv; getenv; setlocale or strerror shall not be used following a subsequent call to the same function</t>
  </si>
  <si>
    <t>The pointer returned by the Standard Library functions asctime, ctime, gmtime, localtime, localeconv, getenv, setlocale or sterror shall not be used following a subsequent call to the same function.</t>
  </si>
  <si>
    <t>MISRA.STDLIB.ILLEGAL_REUSE.2012_AMD1</t>
  </si>
  <si>
    <t>R.21.3</t>
  </si>
  <si>
    <t>The memory allocation and deallocation functions of &amp;lt;stdlib.h&amp;gt; shall not be used</t>
  </si>
  <si>
    <t>MISRA.STDLIB.MEMORY</t>
  </si>
  <si>
    <t>R.21.4</t>
  </si>
  <si>
    <t>The standard header file &amp;lt;setjmp.h&amp;gt; shall not be used</t>
  </si>
  <si>
    <t>MISRA.STDLIB.LONGJMP</t>
  </si>
  <si>
    <t>R.21.5</t>
  </si>
  <si>
    <t>The standard header file &amp;lt;signal.h&amp;gt; shall not be used</t>
  </si>
  <si>
    <t>MISRA.INCL.SIGNAL.2012</t>
  </si>
  <si>
    <t>MISRA.STDLIB.SIGNAL</t>
  </si>
  <si>
    <t>R.21.6</t>
  </si>
  <si>
    <t>The Standard Library input/output routines shall not be used.</t>
  </si>
  <si>
    <t>MISRA.STDLIB.STDIO.WCHAR.2012</t>
  </si>
  <si>
    <t>MISRA.DEFINE.STDIO.WCHAR.2012</t>
  </si>
  <si>
    <t>MISRA.INCL.STDIO.2012</t>
  </si>
  <si>
    <t>MISRAC-40</t>
  </si>
  <si>
    <t>https://jira.itg.ti.com/browse/MISRAC-40</t>
  </si>
  <si>
    <t>MISRA.STDLIB.STDIO</t>
  </si>
  <si>
    <t>MISRAC-41</t>
  </si>
  <si>
    <t>https://jira.itg.ti.com/browse/MISRAC-41</t>
  </si>
  <si>
    <t>R.21.7</t>
  </si>
  <si>
    <t>The atof; atoi; atol and atoll functions of &amp;lt;stdlib.h&amp;gt; shall not be used</t>
  </si>
  <si>
    <t>MISRA.STDLIB.ATOI</t>
  </si>
  <si>
    <t>R.21.8</t>
  </si>
  <si>
    <t>The library functions abort; exit; getenv and system of &amp;lt;stdlib.h&amp;gt; shall not be used</t>
  </si>
  <si>
    <t>MISRA.STDLIB.ABORT.2012_AMD1</t>
  </si>
  <si>
    <t>R.21.9</t>
  </si>
  <si>
    <t>The library functions bsearch and qsort of &amp;lt;stdlib.h&amp;gt; shall not be used</t>
  </si>
  <si>
    <t>MISRA.STDLIB.BSEARCH.2012</t>
  </si>
  <si>
    <t>R.22.1</t>
  </si>
  <si>
    <t>All resources obtained dynamically by means of Standard Library functions shall be explicitly released</t>
  </si>
  <si>
    <t>MLK.MIGHT</t>
  </si>
  <si>
    <t>MLK.MUST</t>
  </si>
  <si>
    <t>MLK.RET.MUST</t>
  </si>
  <si>
    <t>FREE.INCONSISTENT</t>
  </si>
  <si>
    <t>MLK.RET.MIGHT</t>
  </si>
  <si>
    <t>RH.LEAK</t>
  </si>
  <si>
    <t>R.22.10</t>
  </si>
  <si>
    <t>The value of errno shall only be tested when the last function to be called was an errno-setting-function</t>
  </si>
  <si>
    <t>R.22.2</t>
  </si>
  <si>
    <t>A block of memory shall only be freed if it was allocated by means of a Standard Library function</t>
  </si>
  <si>
    <t>FMM.MUST</t>
  </si>
  <si>
    <t>FNH.MIGHT</t>
  </si>
  <si>
    <t>FUM.GEN.MIGHT</t>
  </si>
  <si>
    <t>FMM.MIGHT</t>
  </si>
  <si>
    <t>FNH.MUST</t>
  </si>
  <si>
    <t>FUM.GEN.MUST</t>
  </si>
  <si>
    <t>R.22.3</t>
  </si>
  <si>
    <t>The same file shall not be open for read and write access at the same time on different streams</t>
  </si>
  <si>
    <t>R.22.4</t>
  </si>
  <si>
    <t>There shall be no attempt to write to a stream which has been opened as read-only</t>
  </si>
  <si>
    <t>MISRA.RESOURCES.FILE.READ_ONLY_WRITE.2012</t>
  </si>
  <si>
    <t>R.22.5</t>
  </si>
  <si>
    <t>A pointer to a FILE object shall not be dereferenced</t>
  </si>
  <si>
    <t>MISRA.FILE_PTR.DEREF.2012</t>
  </si>
  <si>
    <t>MISRA.FILE_PTR.DEREF.RETURN.2012</t>
  </si>
  <si>
    <t>MISRA.FILE_PTR.DEREF.INDIRECT.2012</t>
  </si>
  <si>
    <t>MISRA.FILE_PTR.DEREF.CAST.2012</t>
  </si>
  <si>
    <t>R.22.6</t>
  </si>
  <si>
    <t>The value of a pointer to a FILE shall not be used after the associated stream has been closed</t>
  </si>
  <si>
    <t>MISRA.RESOURCES.FILE.USE_AFTER_CLOSE.2012</t>
  </si>
  <si>
    <t>R.22.7</t>
  </si>
  <si>
    <t>The macro EOF shall only be compared with the unmodified return value from any Standard Library function capable of returning EOF</t>
  </si>
  <si>
    <t>R.22.8</t>
  </si>
  <si>
    <t>The value of errno shall be set to zero prior to a call to an errno-setting-function</t>
  </si>
  <si>
    <t>R.22.9</t>
  </si>
  <si>
    <t>The value of errno shall be tested against zero after calling an errno-setting-function</t>
  </si>
  <si>
    <t>R.3.1</t>
  </si>
  <si>
    <t>The character sequences /* and // shall not be used within a comment</t>
  </si>
  <si>
    <t>MISRA.TOKEN.BADCOM</t>
  </si>
  <si>
    <t>R.3.2</t>
  </si>
  <si>
    <t>Line-splicing shall not be used in // comments</t>
  </si>
  <si>
    <t>MISRA.TOKEN.CPCOM.MULTILINE.2012</t>
  </si>
  <si>
    <t>R.4.1</t>
  </si>
  <si>
    <t>Octal and hexadecimal escape sequences shall be terminated</t>
  </si>
  <si>
    <t>MISRA.TOKEN.UNTERMINATED.ESCAPE.2012</t>
  </si>
  <si>
    <t>R.4.2</t>
  </si>
  <si>
    <t>Trigraphs should not be used</t>
  </si>
  <si>
    <t>MISRA.CHAR.TRIGRAPH</t>
  </si>
  <si>
    <t>R.5.1</t>
  </si>
  <si>
    <t>External identifiers shall be distinct</t>
  </si>
  <si>
    <t>R.5.2</t>
  </si>
  <si>
    <t>Identifiers declared in the same scope and name space shall be distinct</t>
  </si>
  <si>
    <t>MISRA.IDENT.DISTINCT.C99.2012</t>
  </si>
  <si>
    <t>MISRAC-63</t>
  </si>
  <si>
    <t>https://jira.itg.ti.com/browse/MISRAC-63</t>
  </si>
  <si>
    <t>MISRA.IDENT.DISTINCT.C90.2012</t>
  </si>
  <si>
    <t>MISRAC-91</t>
  </si>
  <si>
    <t>https://jira.itg.ti.com/browse/MISRAC-91</t>
  </si>
  <si>
    <t>R.5.3</t>
  </si>
  <si>
    <t>An identifier declared in an inner scope shall not hide an identifier declared in an outer scope</t>
  </si>
  <si>
    <t>MISRA.VAR.HIDDEN</t>
  </si>
  <si>
    <t>R.5.4</t>
  </si>
  <si>
    <t>MISRA.DEFINE.NOT_DISTINCT.C90.2012</t>
  </si>
  <si>
    <t>MISRAC-90</t>
  </si>
  <si>
    <t>https://jira.itg.ti.com/browse/MISRAC-90</t>
  </si>
  <si>
    <t>Macro identifiers shall be distinct</t>
  </si>
  <si>
    <t>MISRA.DEFINE.NOT_DISTINCT.C99.2012</t>
  </si>
  <si>
    <t>MISRAC-17</t>
  </si>
  <si>
    <t>https://jira.itg.ti.com/browse/MISRAC-17</t>
  </si>
  <si>
    <t>R.5.5</t>
  </si>
  <si>
    <t>Identifiers shall be distinct from macro names</t>
  </si>
  <si>
    <t>A typedef name shall be a unique identifier</t>
  </si>
  <si>
    <t>https://jira.itg.ti.com/browse/MISRAC-62</t>
  </si>
  <si>
    <t>A tag name shall be a unique identifier</t>
  </si>
  <si>
    <t>https://jira.itg.ti.com/browse/MISRAC-61</t>
  </si>
  <si>
    <t>R.5.8</t>
  </si>
  <si>
    <t>Identifiers that define objects or functions with external linkage shall be unique</t>
  </si>
  <si>
    <t>R.5.9</t>
  </si>
  <si>
    <t>Identifiers that define objects or functions with internal linkage should be unique</t>
  </si>
  <si>
    <t>MISRAC-18</t>
  </si>
  <si>
    <t>https://jira.itg.ti.com/browse/MISRAC-18</t>
  </si>
  <si>
    <t>R.6.1</t>
  </si>
  <si>
    <t>Bit-fields shall only be declared with an appropriate type</t>
  </si>
  <si>
    <t>MISRA.BITFIELD.TYPE</t>
  </si>
  <si>
    <t>MISRAC-19</t>
  </si>
  <si>
    <t>https://jira.itg.ti.com/browse/MISRAC-19</t>
  </si>
  <si>
    <t>R.6.2</t>
  </si>
  <si>
    <t>Single-bit named bit fields shall not be of a signed type</t>
  </si>
  <si>
    <t>MISRA.BITFIELD.SIGNED</t>
  </si>
  <si>
    <t>R.7.1</t>
  </si>
  <si>
    <t>Octal constants shall not be used</t>
  </si>
  <si>
    <t>MISRA.TOKEN.OCTAL.INT</t>
  </si>
  <si>
    <t>R.7.2</t>
  </si>
  <si>
    <t>A 'u' or 'U' suffix shall be applied to all integer constants that are represented in an unsigned type</t>
  </si>
  <si>
    <t>MISRA.LITERAL.UNSIGNED.SUFFIX</t>
  </si>
  <si>
    <t>R.7.3</t>
  </si>
  <si>
    <t>The lowercase character 'l' shall not be used in a literal suffix</t>
  </si>
  <si>
    <t>MISRA.TOKEN.L.SUFFIX.FLOAT</t>
  </si>
  <si>
    <t>MISRA.TOKEN.L.SUFFIX.INT</t>
  </si>
  <si>
    <t>R.7.4</t>
  </si>
  <si>
    <t>A string literal shall not be assigned to an object unless the object type is 'pointer to const-qualified char'</t>
  </si>
  <si>
    <t>MISRA.STRING_LITERAL.NON_CONST.2012</t>
  </si>
  <si>
    <t>R.8.1</t>
  </si>
  <si>
    <t>Types shall be explicitly specified</t>
  </si>
  <si>
    <t>MISRA.DECL.NO_TYPE</t>
  </si>
  <si>
    <t>R.8.10</t>
  </si>
  <si>
    <t>An inline function shall be declared with the static storage class</t>
  </si>
  <si>
    <t>MISRA.DECL.FUNC.INLINE.STATIC.2012</t>
  </si>
  <si>
    <t>R.8.11</t>
  </si>
  <si>
    <t>When an array with external linkage is declared; its size should be explicitly specified</t>
  </si>
  <si>
    <t>MISRA.DECL.ARRAY_SIZE</t>
  </si>
  <si>
    <t>R.8.12</t>
  </si>
  <si>
    <t>Within an enumerator list; the value of an implicitly-specified enumeration constant shall be unique</t>
  </si>
  <si>
    <t>MISRA.ENUM.IMPLICIT.VAL.NON_UNIQUE.2012</t>
  </si>
  <si>
    <t>MISRAC-23</t>
  </si>
  <si>
    <t>https://jira.itg.ti.com/browse/MISRAC-23</t>
  </si>
  <si>
    <t>A pointer should point to a const-qualified type whenever possible</t>
  </si>
  <si>
    <t>https://jira.itg.ti.com/browse/MISRAC-24</t>
  </si>
  <si>
    <t>R.8.14</t>
  </si>
  <si>
    <t>The restrict type qualifier shall not be used</t>
  </si>
  <si>
    <t>MISRA.TYPE.RESTRICT.QUAL.2012</t>
  </si>
  <si>
    <t>R.8.2</t>
  </si>
  <si>
    <t>Function types shall be in prototype form with named parameters</t>
  </si>
  <si>
    <t>MISRA.FUNC.PROT_FORM.KR.2012</t>
  </si>
  <si>
    <t>MISRA.FUNC.UNMATCHED.PARAMS</t>
  </si>
  <si>
    <t>MISRAC-20</t>
  </si>
  <si>
    <t>https://jira.itg.ti.com/browse/MISRAC-20</t>
  </si>
  <si>
    <t>MISRA.FUNC.UNNAMED.PARAMS</t>
  </si>
  <si>
    <t>MISRA.FUNC.NO_PARAMS</t>
  </si>
  <si>
    <t>R.8.3</t>
  </si>
  <si>
    <t>All declarations of an object or function shall use the same names and type qualifiers</t>
  </si>
  <si>
    <t>R.8.4</t>
  </si>
  <si>
    <t>A compatible declaration shall be visible when an object or function with external linkage is defined</t>
  </si>
  <si>
    <t>MISRA.FUNC.NOPROT.DEF.2012</t>
  </si>
  <si>
    <t>R.8.5</t>
  </si>
  <si>
    <t>An external object or function shall be declared once in one and only one file</t>
  </si>
  <si>
    <t>Checked by linker</t>
  </si>
  <si>
    <t>R.8.6</t>
  </si>
  <si>
    <t>An identifier with external linkage shall have exactly one external definition</t>
  </si>
  <si>
    <t>R.8.7</t>
  </si>
  <si>
    <t>Functions and objects should not be defined with external linkage if they are referenced in only one translation unit</t>
  </si>
  <si>
    <t>MISRAC-21</t>
  </si>
  <si>
    <t>https://jira.itg.ti.com/browse/MISRAC-21</t>
  </si>
  <si>
    <t>R.8.8</t>
  </si>
  <si>
    <t>The static storage class specifier shall be used in all declarations of objects and functions that have internal linkage</t>
  </si>
  <si>
    <t>MISRA.FUNC.STATIC.REDECL</t>
  </si>
  <si>
    <t>R.8.9</t>
  </si>
  <si>
    <t>An object should be defined at block scope if its identifier only appears in a single function</t>
  </si>
  <si>
    <t>MISRAC-22</t>
  </si>
  <si>
    <t>https://jira.itg.ti.com/browse/MISRAC-22</t>
  </si>
  <si>
    <t>R.9.1</t>
  </si>
  <si>
    <t>The value of an object with automatic storage duration shall not be read before it has been set</t>
  </si>
  <si>
    <t>UNINIT.HEAP.MIGHT</t>
  </si>
  <si>
    <t>UNINIT.STACK.MIGHT</t>
  </si>
  <si>
    <t>UNINIT.STACK.ARRAY.PARTIAL.MUST</t>
  </si>
  <si>
    <t>UNINIT.STACK.ARRAY.MUST</t>
  </si>
  <si>
    <t>UNINIT.STACK.ARRAY.MIGHT</t>
  </si>
  <si>
    <t>UNINIT.HEAP.MUST</t>
  </si>
  <si>
    <t>UNINIT.STACK.MUST</t>
  </si>
  <si>
    <t>R.9.2</t>
  </si>
  <si>
    <t>The initializer for an aggregate or union shall be enclosed in braces</t>
  </si>
  <si>
    <t>MISRA.INIT.BRACES.2012</t>
  </si>
  <si>
    <t>R.9.3</t>
  </si>
  <si>
    <t>Arrays shall not be partially initialized</t>
  </si>
  <si>
    <t>MISRA.INIT.PARTIAL.2012</t>
  </si>
  <si>
    <t>R.9.4</t>
  </si>
  <si>
    <t>An element of an object shall not be initialised more than once</t>
  </si>
  <si>
    <t>MISRA.INIT.MULTIPLE.2012</t>
  </si>
  <si>
    <t>R.9.5</t>
  </si>
  <si>
    <t>Where designated initialisers are used to initialize an array object the size of the array shall be specified explicitly</t>
  </si>
  <si>
    <t>MISRA.INIT.SIZE.IMPLICIT.2012</t>
  </si>
  <si>
    <t>Deviation Type | Category</t>
  </si>
  <si>
    <t>Disapplied</t>
  </si>
  <si>
    <t>Total Active Deviation Permits</t>
  </si>
  <si>
    <t>No. of Active Deviation Permits</t>
  </si>
  <si>
    <t>Code Quality (Usability)</t>
  </si>
  <si>
    <t>Waiver Use-Case</t>
  </si>
  <si>
    <t>This directive cannot be checked by tool</t>
  </si>
  <si>
    <t>null</t>
  </si>
  <si>
    <t>The usage of typedefs that do not follow these are are allowed when:
 # Used for the return value of a main() function call as ISO C strictly states that the return type of main should be "int". 
 # GCC compiler gives warning if fixed length data types are used.  
*Use Case 1:*
{code:java}
int main()
{
    int returnValue = 0x0;
    ....
    return returnValue;
}
{code}
All other typedefs used must indicate size and signedness in place of the basic numerical types.
 </t>
  </si>
  <si>
    <t>*Use Case 1:*
This is not possible for library/driver esp for HW macros and interface macros which are typically used in the customer application.
For example the library or component exposes many macros and enums. These are inputs to the library as uint32. The library may use the variable to write to a hardware register or pass it on to other modules without checking for each of the possible macro values that it can receive. In such scenarios the macros are unused
In below example, the macros CSL_DRU_OWNER_DIRECT_TR and CSL_DRU_OWNER_UDMAC_TR are not used by the CSL.
{code:java}
/**
 *  \anchor CSL_DruOwner
 *  \name DRU Owner - Direct TR submission or UDMA-C TR submission
 *
 *  DRU owner.
 *
 *  @{
 */
/** \brief Direct TR - SUBMISSION registers must be written to submit TR */
#define CSL_DRU_OWNER_DIRECT_TR         ((uint64_t) 0x0000U)
/** \brief UDMA-C TR - TR will be received through PSIL */
#define CSL_DRU_OWNER_UDMAC_TR          ((uint64_t) 0x0001U)
/* @} */
/** \brief This structure contains the parameters to setup the DRU channel. */
typedef struct
{
    uint64_t                owner;
    /**&lt; [IN] This field controls how the TR is received by the DRU.
     *   Refer \ref CSL_DruOwner */
} CSL_DruChConfig;
int32_t CSL_druChConfig(const CSL_DRU_t        *pRegs,
                        uint32_t                chId,
                        const CSL_DruChConfig  *chCfg);
int32_t CSL_druChConfig(const CSL_DRU_t        *pRegs,
                        uint32_t                chId,
                        const CSL_DruChConfig  *chCfg)
{
    int32_t     retVal = CSL_PASS;
    uint64_t    regVal;
    if((chId &gt;= CSL_DRU_NUM_CH) ||
       (NULL == chCfg))
    {
        retVal = CSL_EFAIL;
    }
    else
    {
        regVal = CSL_FMK(DRU_CHNRT_CFG_CHAN_TYPE_OWNER, chCfg-&gt;owner);
        CSL_REG64_WR(&amp;pRegs-&gt;CHNRT[chId].CFG, regVal);
    }
    return (retVal);
}
{code}</t>
  </si>
  <si>
    <t>MISRAC-7</t>
  </si>
  <si>
    <t>https://jira.itg.ti.com/browse/MISRAC-7</t>
  </si>
  <si>
    <t xml:space="preserve">*Usecase 1:*
For performance reasons one might want to keep a macro bigger. At the same time complicated big macro usage should be avoided. So to keep a fine balance it is good to keep this rule on case by case.
For example, in below code snippet, macros with reg offset as an argument is used to write to register. These are auto generated based on IP spec.
{code:java}
#define ADC_STEPCONFIG(m)      ((uint32_t)0x64U + ((m) * 0x8U))
HW_WR_FIELD32(baseAddr + ADC_STEPCONFIG(stepId), ADC_STEPCONFIG_MODE, mode);
{code}
</t>
  </si>
  <si>
    <t>MISRAC-8</t>
  </si>
  <si>
    <t>https://jira.itg.ti.com/browse/MISRAC-8</t>
  </si>
  <si>
    <t>*Use Case 1:*
Local assert and print function requries __FILE__ and __LINE__ to be passed. This is not possible with static inline fxns unlike macro which expands in the same line resulting in right line number and file name to be print.
In below code snippet, GT_assert() expands to include the __FILE__ and __LINE__ number at the location this is called. This simplifies the call to the assert function. Note that the assert and prints are wrapped instead of direct printf and assert call to provide configuration options to customers to compile them out when not required
{code:java}
#define GT_assert(y)                                           \
    (GT_assertLocal((uint32_t) (y), (const char *) # y, \
                    (const char *) __FILE__, (int32_t) __LINE__))
static inline void GT_assertLocal(uint32_t    condition,
                                  const char *str,
                                  const char *fileName,
                                  int32_t     lineNum)
{
    if ((!(condition)) != 0)
    {
        printf(" Assertion @ Line: %d in %s: %s : failed !!!\n",
                   lineNum, fileName, str);
        assert((!(condition)) != 0);
    return;
}
/* Usage */
GT_assert(ptr != NULL)
/* Instead of below */
GT_assert(ptr != NULL, __FILE__, __LINE__)
{code}</t>
  </si>
  <si>
    <t>This directive cannot be checked by the tool. Also this is not possible to be mandated by library/driver which are typically used by the customer application</t>
  </si>
  <si>
    <t>This is an Advisary rule and cannot be checked by tool</t>
  </si>
  <si>
    <t xml:space="preserve">*Use Case 1:*
This is waivered for reading HW register (to clear an event) into a local variable but the variable need not be used. The variable will be defined as volatile so that compiler warnings are avoided. See below code snippet.
The MISRAC rule for both https://jira.itg.ti.com/browse/MISRAC-11 and https://jira.itg.ti.com/browse/MISRAC-12 is same - R2.2. The Klocwork has multiple issue code covering this rule. Hence multiple waiver records are created
{code:java}
void fxn_clearStatus(void)
{
    volatile uint32_t status;
    /* Reading the register clears the status */
    status = HW_REG_RD(regOffset);
    return;
}
{code}
</t>
  </si>
  <si>
    <t>MISRAC-12</t>
  </si>
  <si>
    <t>https://jira.itg.ti.com/browse/MISRAC-12</t>
  </si>
  <si>
    <t>*Use Case1:*
This is waivered for reading HW register (to clear an event) into a local variable but the variable need not be used. 
The MISRAC rule for both https://jira.itg.ti.com/browse/MISRAC-11 and https://jira.itg.ti.com/browse/MISRAC-12 is same - R2.2. The Klocwork has multiple issue code covering this rule. Hence multiple waiver records are created. 
Refer MISRAC rule for both https://jira.itg.ti.com/browse/MISRAC-11 for other details.</t>
  </si>
  <si>
    <t>This rule cannot be checked by the tool. Also this is not possible to be mandated by library/driver esp for interface which are typically used by the customer application</t>
  </si>
  <si>
    <t>This rule cannot be checked by the tool. Also this is not possible to be mandated by library/driver esp for interface which are typically used by the customer application.
Also this is an advisory rule</t>
  </si>
  <si>
    <t>This advisory rule is disapplied as it:
 * Cannot be checked by the tool.
 * The library or driver software may define many macros that may be used by the customer application only.</t>
  </si>
  <si>
    <t>*Usecase 1:*
This is a permitted violation for interface and callback functions adhering to a generic set of interface definition like IOCTL or OS interrupt callbacks which always expects a predefined set of parameters to be passed but all may not be used. For example see below code snippet 
{code:java}
int32_t Udma_osalRegisterIntr(Udma_EventHandle eventHandle,
                              uint32_t intrNum,
                              uint32_t intrPriority,
                              HwiP_Handle *hwiHandle)
{
    int32_t                     retVal = UDMA_SOK;
    OsalRegisterIntrParams_t    intrPrms;
    OsalInterruptRetCode_e      osalRetVal;
    Osal_RegisterInterrupt_initParams(&amp;intrPrms);
    /* Populate the interrupt parameters */
    intrPrms.corepacConfig.isrRoutine       = &amp;Udma_eventIsrFxn;     // This callback is a standard function pointer
    intrPrms.corepacConfig.priority         = intrPriority;
    intrPrms.corepacConfig.intVecNum        = intrNum + CSL_GIC0_INTR_NAVSS0_BUS_A53_PEND_0;
    /* Register interrupts */
    osalRetVal = Osal_RegisterInterrupt(&amp;intrPrms, hwiHandle);
    if(OSAL_INT_SUCCESS != osalRetVal)
    {
        retVal = UDMA_EFAIL;
    }
    return (retVal);
}
void Udma_eventIsrFxn(uintptr_t arg)
{
    //Do ISR processing
    //Note: arg is not used but is mandated by the OSAL API
}
{code}</t>
  </si>
  <si>
    <t>The intention of the MISRA-C rule is to ensure the code is portable across multiple compilers.  However TI deliverables that are developed with stated compliance only for specific compilers are immune to this issue:
 # TI CGT -
 # GCC - [https://gcc.gnu.org/onlinedocs/cpp/Implementation-limits.html] 
Macro names will frequently exceed the 31 character rule as they may either:
 # Be manually named and following a TI-mandated naming convention such as when requiring combining the prefix of an IP to the register name.
 # Be automatically named through algorithms in the tool chain for a goal to create machine generated code (e.g. conversions from IP-XACT).
Therefore there is value in allowing a longer length than stated by the MISRA-C rule as both exceptions improve the quality of code and reduce bugs.
*Example:*
Listed here is an example of potential machine generated code that concatenates the IP, register interface, register and bit fields leading to a useful name greater than 31 characters that would otherwise:
{code:java}#define F65OWINT_FLASH_GBL_REG_FLMODECTL_RVMODE_READ       ((uint32_t)0x00000000U)  
#define F65OWINT_FLASH_GBL_REG_FLMODECTL_RVMODE_RDMARG0    ((uint32_t)0x00000002U) 
#define F65OWINT_FLASH_GBL_REG_FLMODECTL_RVMODE_RDMARG1    ((uint32_t)0x00000004U) {code}
{color:#ff0000}*Note: When applying this deviation each specific project shall ensure the supported compilers allow for macro names longer than 31 characters.*{color}</t>
  </si>
  <si>
    <t>This is an advisory rule and cannot be checked by tool</t>
  </si>
  <si>
    <t>*Usecase 1:*
Klocwork is not able to analyze bitfields defined of data type "uint32_t" and thus reporting error. If "unsigned int" is used instead of "uint32_t" it is not reporting this error. But unsigned int (built-in numeric) cannot be used because of D.4.6. Hence this is waivered.
{code:java}
uint32_t       frameLength : 12;       // Reports error
unsigned int   frameLength : 12;       // Does not reports error
{code}</t>
  </si>
  <si>
    <t>*Usecase 1:*
When UInt64 datatype is used in typecast, Klocwork is not able to analyze this properly and reports this error as it considers the typecast as a function call. In this scenario this error is waived off.
{code:java}
UInt64 BspOsal_getTimestamp64(void)
{
    UInt64 timestamp;
    Types_Timestamp64 result;
    Timestamp_get64(&amp;result);
    timestamp = (((UInt64) (result.hi) &lt;&lt; 32U) | (UInt64) (result.lo));    // Error is reported in this line where UInt64 is used for typecast
    return (timestamp);
}
{code}</t>
  </si>
  <si>
    <t>*Usecase 1:*
Big constant or normal arrays scope can not be reduced to function level as it would consume huge stack space, to avoid this exceptions must be taken. Also static variables defined in a function cannot be redirected to a particular memory section using #pragmas. Hence these objects are defined outside function scope even though they are used only in one function.
In below code, gHwUnitBaseAddr is used only in one function but still defined outside the function scope so that it could be redirected to a separate memory section.
{code:java}
/*TI_INSPECTED 25 D : MISRAC_2012_R.8.9
 * "Reason - Need to place the variable global since #pragma to map to a
 * particular section doesn't work for variables inside a funtion." */
#pragma SET_DATA_SECTION("SPI_CONST_UNSPECIFIED_SECTION")
static const uint32 gHwUnitBaseAddr[SPI_HW_UNIT_CNT] =
{
    SOC_QSPI_ADDRSP0_BASE,  /* QSPI */
    SOC_MCSPI1_BASE,        /* McSPI1 */
    SOC_MCSPI2_BASE,        /* McSPI2 */
    SOC_MCSPI3_BASE,        /* McSPI3 */
    SOC_MCSPI4_BASE         /* McSPI4 */
};
uint32 Spi_getHwUnitBaseAddr(Spi_HWUnitType hwUnitId)
{
    return (gHwUnitBaseAddr[hwUnitId]);
}
{code}</t>
  </si>
  <si>
    <t>*Usecase 1:*
Permitted violation for MAX/MIN enum which will have the same value as last and first entry.
In below case the first actual enum and min takes the same value. Similar for max entry
{code:java}
/**
 *  \brief Enum defining different modes of a module.
 */
typedef enum pmhalPrcmModuleSModuleMode
{
    PMHAL_PRCM_MODULE_MODE_MIN = 0x0U,
    /**&lt; Min value of the enum. Can be used for validation. */
    PMHAL_PRCM_MODULE_MODE_DISABLED = PMHAL_PRCM_MODULE_MODE_MIN,
    /**&lt; Disabled: Any access to module registers will result in error */
    PMHAL_PRCM_MODULE_MODE_AUTO = 0x1U,
    /**&lt; Auto: Clocks will be gated automatically when there is no activity and
     *   enabled when there is an activity. */
    PMHAL_PRCM_MODULE_MODE_ENABLED = 0x2U,
    /**&lt; Enabled: Functional and interface clocks are available and access to
     *   module registers are permitted. */
    PMHAL_PRCM_MODULE_MODE_MAX = PMHAL_PRCM_MODULE_MODE_ENABLED
    /**&lt; Max value of the enum. Can be used for validation. */
} pmhalPrcmModuleSModuleMode_t;
{code}</t>
  </si>
  <si>
    <t xml:space="preserve">*Usecase 1:*
This is a permitted violation for interface and callback functions adhering to a generic set of interface definition like IOCTL or OS interrupt callbacks which always expects a predefined set of parameters to be passed but all may not be modified. Bit these parameters are could be modified by other instance of the callback functions. So the function prototype can't be changed to take const pointer.
Another example is control (IOCTL) functions for set parameter. It will only read the arg passed as parameter. But we cant change the prototype of control function as it can be used for get also which modifies the arg.
{code:java}
int32_t Udma_osalRegisterIntr(Udma_EventHandle eventHandle,
                              uint32_t intrNum,
                              uint32_t intrPriority,
                              HwiP_Handle *hwiHandle)
{
    int32_t                     retVal = UDMA_SOK;
    OsalRegisterIntrParams_t    intrPrms;
    OsalInterruptRetCode_e      osalRetVal;
    Osal_RegisterInterrupt_initParams(&amp;intrPrms);
    /* Populate the interrupt parameters */
    intrPrms.corepacConfig.isrRoutine       = &amp;Udma_eventIsrFxn;     // This callback is a standard function pointer
    intrPrms.corepacConfig.priority         = intrPriority;
    intrPrms.corepacConfig.intVecNum        = intrNum + CSL_GIC0_INTR_NAVSS0_BUS_A53_PEND_0;
    /* Register interrupts */
    osalRetVal = Osal_RegisterInterrupt(&amp;intrPrms, hwiHandle);
    if(OSAL_INT_SUCCESS != osalRetVal)
    {
        retVal = UDMA_EFAIL;
    }
    return (retVal);
}
void Udma_eventIsrFxn(void *arg)
{
    //Do ISR processing
    //Note: arg is not modified but cannot be changed const pointer as this is mandated by the OSAL API
}
{code}
</t>
  </si>
  <si>
    <t>The usage of casting between object pointers of different sizes is approved when done required for byte manipulation done at a different level.  
*Use Case 1:* When an existing memory pointer needs to to increase/reduce the size of the data read for the provided region.
_Sample code:_
{code:java}uint32_t * u32Pointer;
uint8_t * u8Pointer;
u8Pointer = (uint8_t *)u32Pointer;
{code}
*Use Case 2:* When an existing memory pointer needs to to increase/reduce the size of the data write for the provided region to avoid additional bit masking to take advantage of processor capabilities.
_Sample code:_ 
{code:java}uint32_t * u32Pointer;
uint8_t * u8Pointer;
u8Pointer = (uint8_t *)u32Pointer;
// Attempt to clear lower 8 bits of a 32b value
*u8Pointer = 0x0;{code}
 </t>
  </si>
  <si>
    <t>Software developed by TI often works at the hardware level where accesses to and from register or memory space requires type conversions.
There are three specific use cases that are defined as exceptions:
 # When defining or converting memory mapped register addresses
 # Performing virtual to physical memory conversions
 # Writing pointers to register space.
*Use Case #1:*
{code:java}
struct {
     uint32_t REGISTER_1;
     uint32_t REGISTER_2;
} IP_REGISTER_STRUCT;
#define IP_REGISTER ((IP_REGISTER_STRUCT*) (0x63800000U)) 
uint32_t function(...)
{
   IP_REGISTER-&gt;REGISTER_1 = 0x0U;
}
{code}
*Use Case #2:*
{code:java}
bool addressCheck (uint32_t * someAddr)
{
    return ((uint32_t)someAddr &gt; 0x40000000U;
}
{code}
*Use Case #3:*
{code:java}
uint32_t function(...) 
{ 
     uint32_t * somePtr;
     IP_REGISTER-&gt;REGISTER_2 = (uint32_t)somePtr; 
}
{code}
 </t>
  </si>
  <si>
    <t>Same reason as https://jira.itg.ti.com/browse/MISRAC-26</t>
  </si>
  <si>
    <t>This waiver allows for const or volatile pointers to be typecast to uint32_t/uint64_t to check pointer alignment.
Typecast to uint32 is required to perform the alignment using bitwise '&amp;' operator on the address as opposed to the data at the pointer location.
*Use Case Example:*
{code}
void Spi_SetupEB(const Spi_DataBufferType *SrcDataBufferPtr)
{
     if(((uint32) SrcDataBufferPtr &amp; 0x03U) != 0U)
     {
          //ERROR
      }
}
{code}</t>
  </si>
  <si>
    <t>MISRAC-29</t>
  </si>
  <si>
    <t>https://jira.itg.ti.com/browse/MISRAC-29</t>
  </si>
  <si>
    <t>_{color:#ff0000}*This waiver *{color:#ff0000}*applies*{color}* to projects required to meet AUTOSAR compliance only.*{color}_
As per AUTOSAR BSW specification NULL_PTR macro should be used (See below). Hence this is permitted for AUTOSAR MCAL modules.
[SWS_BSW_00212] NULL pointer checking
 ⌈If the detection of development errors is active for this BSW Module (see SWS_BSW_00042), then pointer parameters shall be checked against NULL_PTR unless NULL_PTR is explicitly allowed as a valid pointer address value in the API parameter specification. If such a violation is detected a development error shall be raised
*Example Code:*
{code:java}
#define NULL         ( void * ) 0
#define NULL_PTR     ( void * ) 0
#define ZERO          0
void  function() 
{
     int32_t *pointerA = 0;             /* Not Compliant */
     int32_t *pointerB = ( void * ) 0;   /* Compliant * /
     if(pointerA == NULL)               /* Compliant * /
     { ... }
     if(pointerB == NULL_PTR)           /* Compliant in AUTOSAR usage only * /
     { ... }
     if(pointerB == ZERO)               /* Non-Compliant * / 
     { ... }
}
{code}
 </t>
  </si>
  <si>
    <t>*Usecase 1:*
For debug, utility and trace functions, we need to include &lt;stdarg.h&gt; to get variable number of arguments. This is waivered in such cases.
{code:java}
Int32 BspOsal_printf(const Char *format, ...)
{
    va_list vaArgPtr;
    Int32   retVal = BSP_SOK;
    UInt32  cookie;
    Char   *buf = NULL;
    buf    = &amp;gBspOsalPrintBuf[0];
    cookie = BspOsal_disableInterrupt();
    va_start(vaArgPtr, format);
    vsnprintf(buf, BSPOSAL_PRINT_BUF_LEN,
              (const Char *) format, vaArgPtr);
    va_end(vaArgPtr);
    BspOsal_restoreInterrupt(cookie);
    System_printf(buf);
    System_flush();
    return (retVal);
}
{code}</t>
  </si>
  <si>
    <t>The return value of standard library functions like strcpy, memcpy, printf need not be used as the return value is not an error return.
For all other cases if the parameter returned by a function is truly not to be used (for instance when the code will not respond to the result of the return parameter) the requirement is to instead cast the function to a {{void}}. 
Note that doing above is a violation of MISRA R10.5 (MISRA.ETYPE.INAPPR.CAST.2012) but R10.5 is only an advisory rule.
{code:java}main()
{
bool myReturnValue;
// Violation of R17.7 as it is never used
myReturnValue = myFunction();
// Violation of R10.5 as it is cast to a void but not of R17.7.  
(void)myFunction();
}
bool myFunction()
{
... func
}
 {code}
 </t>
  </si>
  <si>
    <t>The usage of pointer arithmetic is approved for use to enable performance improvements as well as in case where there is variable buffer size (like in data read/write functions).
The harmful side effect of violating this rule (accessing outside valid memory) shall be checked by another code checker like Klocwork critical errors and by peer code review.
*Use Case 1: * Function to read/write variable length data.
_Sample Code:_
{code:java}
void QSPIwriteData(uint32_t baseAdd, const uint32_t *data, int32_t length)
{
    const uint32_t *pData;
    pData = data;
    if(pData != ((void *) NULL))
    {
        HW_WR_REG32(baseAdd + QSPI_SPI_DATA_REG, *pData);
        if (length &gt; 1)
        {
            /*TI_INSPECTED 567 S : MISRAC_2012_R.18.1
             * "Reason - Pointer arithmetic needed here" */
            pData++;
            HW_WR_REG32(baseAdd + QSPI_SPI_DATA_REG_1, *pData);
        }
        if (length &gt; 2)
        {
            /*TI_INSPECTED 567 S : MISRAC_2012_R.18.1
             * "Reason - Pointer arithmetic needed here" */
            pData++;
            HW_WR_REG32(baseAdd + QSPI_SPI_DATA_REG_2, *pData);
        }
        if (length &gt; 3)
        {
            /*TI_INSPECTED 567 S : MISRAC_2012_R.18.1
             * "Reason - Pointer arithmetic needed here" */
            pData++;
            HW_WR_REG32(baseAdd + QSPI_SPI_DATA_REG_3, *pData);
        }
    }
}
{code}</t>
  </si>
  <si>
    <t xml:space="preserve">*Use Case 1:* 
As per AUTOSAR specification AUTOSAR_SWS_MemoryMapping.pdf memmap header files are used for mapping the code and data to specific memory sections.
Some of the important use cases are mentioned below.
i. Avoidance of waste of RAM
If different variables (8, 16 and 32 bit) are used within different modules on a 32 bit platform, the linker will leave gaps in RAM when allocating the variables in the RAM.
This is because the microcontroller platform requires a specific alignment of variables and some linkers do not allow an optimization of variable allocation.
This wastage of memory can be avoided if the variables are mapped to specific memory sections depending on their size. This minimizes unused space in RAM.
ii. Usage of specific RAM properties
Some variables (e.g. the RAM mirrors of the NVRAM Manager) must not be initialized after a power-on reset. It shall be possible to map them to a RAM section that is not
initialized after a reset.
iii. Usage of specific ROM properties
In large ECUs with external flash memory there is the requirement to map modules with functions that are called very often to the internal flash memory that allows for fast access and thus higher performance. Modules with functions that are called rarely or that have lower performance requirements are mapped to external flash memory that
has slower access.
To achieve above requirements, each of the global variables and functions needs to be redirected to a separate memory section.
Note that the memory section name is defined by the MCAL/AUTOSAR integrator and hence can't be hard coded by the MCAL driver.
Below is what is recommended in AUTOSAR_SWS_MemoryMapping.pdf specification
AUTOSAR Requirement [SWS_MemMap_00003] states that each AUTOSAR basic software module and software component shall wrap declaration and definition of code, variables
using the following mechanism:
    1. Definition of start symbol for module memory section
    2. Inclusion of the memory mapping header file
    3. Declaration/definition of code, variables or constants belonging to the specified section
    4. Definition of stop symbol for module memory section
    5. Inclusion of the memory mapping header file
Below shows how to redirect global variables gAdcDrvObj and gAdcDrvIsInit to a specific sections.
{code:java}
#define ADC_START_SEC_VAR_NO_INIT_UNSPECIFIED
#include ""Adc_MemMap.h""
/** \brief ADC driver object */
VAR(Adc_DriverObjType, ADC_VAR_ZERO_INIT) gAdcDrvObj;
#define ADC_STOP_SEC_VAR_NO_INIT_UNSPECIFIED
#include ""Adc_MemMap.h""
#define ADC_START_SEC_VAR_INIT_32
#include ""Adc_MemMap.h""
/** \brief ADC driver init status */
static volatile VAR(uint32, ADC_VAR_ZERO_INIT) gAdcDrvIsInit = (uint32) FALSE;
#define ADC_STOP_SEC_VAR_INIT_32
#include ""Adc_MemMap.h""
{code}
Rule R 20.1 states that '#include directives should only be preceded by preprocessor directives or comments' but to enable mapping the code and data to specific memory section to comply AUTOSAR requirement header file Adc_MemMap.h will be included in multiple places and #include won't be only preceded by preprocessor directives or comments.
</t>
  </si>
  <si>
    <t>The usecase details is same as that of https://jira.itg.ti.com/browse/MISRAC-34.
The MISRAC rule for both https://jira.itg.ti.com/browse/MISRAC-35 and https://jira.itg.ti.com/browse/MISRAC-36 is same - R20.9. The Klocwork has multiple issue code covering this rule. Hence multiple waiver records are created</t>
  </si>
  <si>
    <t>As per AUTOSAR spec Memmap header files are used for specifying memory sections.Depending on whether a macro is defined or not, the sections are mapped. The MISRAC rule for both https://jira.itg.ti.com/browse/MISRAC-35 and https://jira.itg.ti.com/browse/MISRAC-36 is same - R20.9. The Klocwork has multiple issue code covering this rule. Hence multiple waiver records are created</t>
  </si>
  <si>
    <t xml:space="preserve">*Usecase 1:*
Allowed in project specific data type define file to check and define the basic types if not defined. See below code snippet. This allows the same code to be build in a non-os as well as in TI RTOS environment (which defines the basic data types)
Note: The MISRAC rule for both https://jira.itg.ti.com/browse/MISRAC-37 and https://jira.itg.ti.com/browse/MISRAC-38 is same - R21.1. The Klocwork has multiple issue code covering this rule. Hence multiple waiver records are created
{code:java}
/* If the CSL header files are getting included through the MAKEFILE builds we don’t want
 * to include XDC TARGETS at all. */
#ifdef MAKEFILE_BUILD
#undef xdc_target_types__
#endif
#ifndef xdc_target_types__
/*
 * Aliases for standard C types
 */
#ifndef Int
typedef int			Int;
#endif
#endif
{code}
</t>
  </si>
  <si>
    <t>For usecase details refer https://jira.itg.ti.com/browse/MISRAC-37.
Note: The MISRAC rule for both https://jira.itg.ti.com/browse/MISRAC-37 and https://jira.itg.ti.com/browse/MISRAC-38 is same - R21.1. The Klocwork has multiple issue code covering this rule. Hence multiple waiver records are created</t>
  </si>
  <si>
    <t>This waiver allows exclusively for usage of predefined macros from the compiler.  These macros may vary between compilers.
*Example Code (Incomplete List):*
{code:java}
   __DATE__
   _c_int00
   _ISRTABLE
   __TI_COMPILER_VERSION__
   __vector_base__
   ... 
{code}</t>
  </si>
  <si>
    <t xml:space="preserve">*Usecase 1:*
This is waived for in OSAL (or similar) library for scanf, printf function which is used only in example applications or used when debug or trace is enabled.
Note: The MISRAC rule for both https://jira.itg.ti.com/browse/MISRAC-40 and https://jira.itg.ti.com/browse/MISRAC-41 is same - R21.6. The Klocwork has multiple issue code covering this rule. Hence multiple waiver records are created
</t>
  </si>
  <si>
    <t xml:space="preserve">For usecase details refer https://jira.itg.ti.com/browse/MISRAC-40.
Note: The MISRAC rule for both https://jira.itg.ti.com/browse/MISRAC-40 and https://jira.itg.ti.com/browse/MISRAC-41 is same - R21.6. The Klocwork has multiple issue code covering this rule. Hence multiple waiver records are created
</t>
  </si>
  <si>
    <t>The usage of the "union" keyword is approved for usage when data is tightly packed and used as:
1. Individual data elements of varying sizes in a uniquely defined struct.
 2. Generic 32bit entities to enable compiler/CPU optimization.
This includes operations where a checksum or CRC is generated over the data element or where tightly packed data may be accessed in 32b values.
Both valid use cases require the sizing to correctly match in the union with appropriate padding where needed.
This method is preferred over casting as it provides unambiguous results for use cases involving these data structures, provides better documentation from the developer's perspective and provides cleaner size/length matching by using derived compile time constants.
*Use Case 1:* Where a checksum or CRCs is used over a unique data structure and by using a union it is possible to but simplify and accelerate the generation of said checksum or CRC.
_Sample Code:_
{code:java}typedef struct elementStruct_{
      uint32_t ....
      &lt;Uniquely named data elements&gt;
       uint32_t ....
 } elementStruct;
#define ELEMENT_STRUCT_LEN ((sizeof(elementStruct))/sizeof(uint32_t)) 
typedef union elementUnion_{
     elementStruct thisStruct;      
     uint32_t idx[ELEMENT_STRUCT_LEN ]; 
}elementUnion;
{code}
_Performance Reason:_
Here a checksum or CRC can be quickly generated through a standard checksum or CRC function by addressing the struct using the "idx" element and unrolling it over the length of the struct.
*Use Case 2:* Where data is tightly packed into a data structure in volatile/non-volatile space and multiple 8 or 16b operations LDR/STR can be simplified into a single 32b LDR/STR operation.
_Sample Code:_
{code:java}union {
      struct{     
        uint8_t A; 
        uint8_t B;
        uint8_t C;
        uint8_t D; 
       } sampleStruct;
      uint32_t sample32b;
}sampleUnion;
{code}
_Performance Reason:_
Here it is much easier and more effective to address the packed data as such:
{code:java}Register[A] = sampleUnion.sample32b;
{code}
Rather than:
{code:java}Register[A] = sampleUnion.sampleStruct.A &lt;&lt; 24 | sampleUnion.sampleStruct.B &lt;&lt; 16 | sampleUnion.sampleStruct.C &lt;&lt; 8 | sampleUnion.sampleStruct.D;
{code}
This method both reduces the opportunity for errors as no manual shifting is required by the developer.</t>
  </si>
  <si>
    <t>MISRAC-44</t>
  </si>
  <si>
    <t>https://jira.itg.ti.com/browse/MISRAC-44</t>
  </si>
  <si>
    <t xml:space="preserve">*Usecase1:*
In cases where value in a if condition is dependent on the return of another module function and currently that function is returning a fixed value, the code in the caller handling the generic implementation (like error check) will become unreachable but as the implementation of the module function changes, it will not be unreachable. This falls under defensive programming and hence better to leave the unreachable code as is.
{code:java}
module1.c
int32_t functionA(void)
{
    //do something. We may return error when the implementation change later on
    return 0;
}
module2.c
int32_t functionB(void)
{
    int32_t retVal;
    retVal = functionA();
    if(retVal != 0)
    {
        //error print
    }
    return retVal;
}
{code}
*Usecase2:*
In case of configurable macro in an if condition and one of the if-else blocks in unreachable
{code:java}
config.h
#define UART_BAUDRATE   (9600)
driver.c
if(UART_BAUDRATE == 9600)
{
   //set 9600 baudrate
}
else if(UART_BAUDRATE == 11500)
{
   //set 11500 baudrate
}
else
{
    // error
}
{code}
*Usecase3:*
Functions called by external entities outside the static analysis checker like ISR or callback will be reported as unreachable code. These functions are used actually
{code:java}
module1.c
int32_t functionA(void)
{
    //do something
    return 0;
}
application.c
void main(void)
{
    functionA();    // But example.c file is not included in static analysis
}
{code}
*Usecase4:*
Assert functions implemented with a while (1) loop to trap the error
{code:java}
static inline void GT_assertLocal(uint32_t    enableMask,
                                  uint32_t    condition,
                                  const char *str,
                                  const char *fileName,
                                  int32_t     lineNum)
{
    if ((!(condition)) != 0)
    {
        Fvid2_printf(" Assertion @ Line: %d in %s: %s : failed !!!\n",
                   lineNum, fileName, str);
 #if defined (FVID2_CFG_USE_STD_ASSERT)
        assert((!(condition)) != 0);
 #else
        while (TRUE)
        {
            ;
        }
 #endif /* #if defined(FVID2_CFG_USE_STD_ASSERT) */
    }
    return;
}
{code}
</t>
  </si>
  <si>
    <t xml:space="preserve">*Use Case 1:* 
Allowed in project specific data type define file to check and define the basic types if not defined. For example. TI RTS BIOS/XDC defines standard data types like UInt32 etc. When building the same library for baremetal build, need to check whether XDC data types are defined and then undefine the macro. Hence undef is required for such scenarios.
{code:java}
#ifdef MAKEFILE_BUILD
#undef xdc_target_types__
#endif
#ifndef xdc_target_types__
#ifndef UInt32
typedef uint32_t      UInt32;
#endif
#endif
{code}
*Use Case 2:* 
As per AUTOSAR specification AUTOSAR_SWS_MemoryMapping.pdf memmap header files are used for mapping the code and data to specific memory sections.
Some of the important use cases are mentioned below.
i. Avoidance of waste of RAM
If different variables (8, 16 and 32 bit) are used within different modules on a 32 bit platform, the linker will leave gaps in RAM when allocating the variables in the RAM.
This is because the microcontroller platform requires a specific alignment of variables and some linkers do not allow an optimization of variable allocation.
This wastage of memory can be avoided if the variables are mapped to specific memory sections depending on their size. This minimizes unused space in RAM.
ii. Usage of specific RAM properties
Some variables (e.g. the RAM mirrors of the NVRAM Manager) must not be initialized after a power-on reset. It shall be possible to map them to a RAM section that is not
initialized after a reset.
iii. Usage of specific ROM properties
In large ECUs with external flash memory there is the requirement to map modules with functions that are called very often to the internal flash memory that allows for fast access and thus higher performance. Modules with functions that are called rarely or that have lower performance requirements are mapped to external flash memory that
has slower access.
To achieve above requirements, each of the global variables and functions needs to be redirected to a separate memory section.
Note that the memory section name is defined by the MCAL/AUTOSAR integrator and hence can't be hard coded by the MCAL driver.
Below is what is recommended in AUTOSAR_SWS_MemoryMapping.pdf specification
AUTOSAR Requirement [SWS_MemMap_00003] states that each AUTOSAR basic software module and software component shall wrap declaration and definition of code, variables
using the following mechanism:
    1. Definition of start symbol for module memory section
    2. Inclusion of the memory mapping header file
    3. Declaration/definition of code, variables or constants belonging to the specified section
    4. Definition of stop symbol for module memory section
    5. Inclusion of the memory mapping header file
Below shows how to redirect global variables gAdcDrvObj and gAdcDrvIsInit to a specific sections.
{code:java}
#define ADC_START_SEC_VAR_NO_INIT_UNSPECIFIED
#include ""Adc_MemMap.h""
/** \brief ADC driver object */
VAR(Adc_DriverObjType, ADC_VAR_ZERO_INIT) gAdcDrvObj;
#define ADC_STOP_SEC_VAR_NO_INIT_UNSPECIFIED
#include ""Adc_MemMap.h""
{code}
After pre-processing it expands like below
{code:java}
#define ADC_START_SEC_VAR_NO_INIT_UNSPECIFIED
#if defined(ADC_START_SEC_VAR_NO_INIT_UNSPECIFIED)
#undef ADC_START_SEC_VAR_NO_INIT_UNSPECIFIED
#pragma SET_DATA_SECTION("ADC_DATA_NO_INIT_UNSPECIFIED_SECTION")
/** \brief ADC driver object */
VAR(Adc_DriverObjType, ADC_VAR_ZERO_INIT) gAdcDrvObj;
#endif
#define ADC_STOP_SEC_VAR_NO_INIT_UNSPECIFIED
#if defined(ADC_STOP_SEC_VAR_NO_INIT_UNSPECIFIED)
#undef ADC_STOP_SEC_VAR_NO_INIT_UNSPECIFIED
#pragma SET_DATA_SECTION(" ")
#endif
{code}
Rule D 4.10 states that 'Precautions shall be taken in order to prevent the contents of a header file being included more than once' but to enable mapping the code and data to specific memory section to comply AUTOSAR requirement header file Adc_MemMap.h will not have include guard.
Rule R 20.5 states that '#undef should not be used' but to enable mapping the code and data to specific memory section to comply AUTOSAR requirement header file Adc_MemMap.h will use #undef to undefine macros.
</t>
  </si>
  <si>
    <t>*Usecase1:*
The places in which order of evaluation has no side effects could be a waiver.
Example: This will be used in CSL REG RD/WR macros to use field SHIFT and MASK value from the field name and trace macros to print the argument as string. Without this multiple parameter needs to be passed to he function resulting in performance overheads
{code:java}
#define HW_WR_FIELD16(regAddr, REG_FIELD, fieldVal)                            \
    (HW_WR_FIELD16_RAW((uint32_t) (regAddr), ((uint16_t) REG_FIELD##_MASK),                   \
                          ((uint32_t) REG_FIELD##_SHIFT), (uint16_t)(fieldVal)))
static inline void HW_WR_FIELD16_RAW(uint32_t addr,
                                     uint16_t mask,
                                     uint32_t shift,
                                     uint16_t value)
{
    uint32_t tempVal;
    uint16_t regVal = *(volatile uint16_t *) addr;
    tempVal = ((uint32_t) regVal);
    tempVal &amp;=  (~((uint32_t) mask));
    tempVal |= (((uint32_t) value) &lt;&lt; shift) &amp; ((uint32_t) mask);
    regVal = (uint16_t) tempVal;
    *(volatile uint16_t *) addr = regVal;
    return;
}
{code}
*Usecase2:*
Permitted in assert/print fxns where the argument needs to be print as string. In below code, the condition "y" is converted to string using #.
{code:java}
#define GT_assert(x, y)                                           \
    (GT_assertLocal((UInt32) (x), (Bool) (y), (const Char *) # y, \
                    (const Char *) __FILE__, (Int32) __LINE__))
static inline void GT_assertLocal(UInt32      enableMask,
                                  Bool        condition,
                                  const Char *str,
                                  const Char *fileName,
                                  Int32       lineNum)
{
}
{code}</t>
  </si>
  <si>
    <t xml:space="preserve">*Usecase1:*
Some of the string operation in MACRO for debug and logger prints can not have () barackets, these MACROs are excluded from violations.  In below code we can't use () when y is converted to string using # as in #y.
{code:java}
#define GT_assert(x, y)                                           \
    (GT_assertLocal((UInt32) (x), (Bool) (y), (const Char *) # y, \
                    (const Char *) __FILE__, (Int32) __LINE__))
static inline void GT_assertLocal(UInt32      enableMask,
                                  Bool        condition,
                                  const Char *str,
                                  const Char *fileName,
                                  Int32       lineNum)
{
}
{code}
*Usecase2:*
Pragma usage for GCC compilers requires macro redirection to __attribute, but () around this is not allowed by GCC compiler.
Example: __attribute__((section(section_name))) and __attribute__((aligned(x))) are required to be defined and using () around this causes compile error
</t>
  </si>
  <si>
    <t>MISRAC-48</t>
  </si>
  <si>
    <t>https://jira.itg.ti.com/browse/MISRAC-48</t>
  </si>
  <si>
    <t xml:space="preserve">*Use Case 1:* 
As per AUTOSAR specification AUTOSAR_SWS_MemoryMapping.pdf memmap header files are used for mapping the code and data to specific memory sections.
Some of the important use cases are mentioned below.
i. Avoidance of waste of RAM
If different variables (8, 16 and 32 bit) are used within different modules on a 32 bit platform, the linker will leave gaps in RAM when allocating the variables in the RAM.
This is because the microcontroller platform requires a specific alignment of variables and some linkers do not allow an optimization of variable allocation.
This wastage of memory can be avoided if the variables are mapped to specific memory sections depending on their size. This minimizes unused space in RAM.
ii. Usage of specific RAM properties
Some variables (e.g. the RAM mirrors of the NVRAM Manager) must not be initialized after a power-on reset. It shall be possible to map them to a RAM section that is not
initialized after a reset.
iii. Usage of specific ROM properties
In large ECUs with external flash memory there is the requirement to map modules with functions that are called very often to the internal flash memory that allows for fast access and thus higher performance. Modules with functions that are called rarely or that have lower performance requirements are mapped to external flash memory that
has slower access.
To achieve above requirements, each of the global variables and functions needs to be redirected to a separate memory section.
Note that the memory section name is defined by the MCAL/AUTOSAR integrator and hence can't be hard coded by the MCAL driver.
Below is what is recommended in AUTOSAR_SWS_MemoryMapping.pdf specification
AUTOSAR Requirement [SWS_MemMap_00003] states that each AUTOSAR basic software module and software component shall wrap declaration and definition of code, variables
using the following mechanism:
    1. Definition of start symbol for module memory section
    2. Inclusion of the memory mapping header file
    3. Declaration/definition of code, variables or constants belonging to the specified section
    4. Definition of stop symbol for module memory section
    5. Inclusion of the memory mapping header file
Below shows how to redirect global variables gAdcDrvObj and gAdcDrvIsInit to a specific sections.
{code:java}
#define ADC_START_SEC_VAR_NO_INIT_UNSPECIFIED
#include ""Adc_MemMap.h""
/** \brief ADC driver object */
VAR(Adc_DriverObjType, ADC_VAR_ZERO_INIT) gAdcDrvObj;
#define ADC_STOP_SEC_VAR_NO_INIT_UNSPECIFIED
#include ""Adc_MemMap.h""
#define ADC_START_SEC_VAR_INIT_32
#include ""Adc_MemMap.h""
/** \brief ADC driver init status */
static volatile VAR(uint32, ADC_VAR_ZERO_INIT) gAdcDrvIsInit = (uint32) FALSE;
#define ADC_STOP_SEC_VAR_INIT_32
#include ""Adc_MemMap.h""
{code}
Rule D 4.10 states that 'Precautions shall be taken in order to prevent the contents of a header file being included more than once' but to enable mapping the code and data to specific memory section to comply AUTOSAR requirement header file Adc_MemMap.h will not have include guard.
The MISRAC rule for both https://jira.itg.ti.com/browse/MISRAC-48 and https://jira.itg.ti.com/browse/MISRAC-49 is same - D4.10. The Klocwork has multiple issue code covering this rule. Hence multiple waiver records are created"
</t>
  </si>
  <si>
    <t>MISRAC-49</t>
  </si>
  <si>
    <t>https://jira.itg.ti.com/browse/MISRAC-49</t>
  </si>
  <si>
    <t>Required for CSL tistdtypes.h
typedef defined in this file are also defined by other TI components.  They are bracketed  with _TI_STD_TYPES to avoid warnings for duplicate definition
The MISRAC rule for both https://jira.itg.ti.com/browse/MISRAC-48 and https://jira.itg.ti.com/browse/MISRAC-49 is same - D4.10. The Klocwork has multiple issue code covering this rule. Hence multiple waiver records are created. Refer https://jira.itg.ti.com/browse/MISRAC-48 for detailed explanation of usecase.</t>
  </si>
  <si>
    <t>MISRAC-50</t>
  </si>
  <si>
    <t>https://jira.itg.ti.com/browse/MISRAC-50</t>
  </si>
  <si>
    <t>For usecase details refer https://jira.itg.ti.com/browse/MISRAC-44.
Note: The MISRAC rule for both https://jira.itg.ti.com/browse/MISRAC-50 and https://jira.itg.ti.com/browse/MISRAC-51 is same - R14.3. The Klocwork has two issue code covering this rule. Hence two waiver records are created</t>
  </si>
  <si>
    <t>MISRAC-51</t>
  </si>
  <si>
    <t>https://jira.itg.ti.com/browse/MISRAC-51</t>
  </si>
  <si>
    <t>For usecase details refer https://jira.itg.ti.com/browse/MISRAC-44. 
Note: The MISRAC rule for both https://jira.itg.ti.com/browse/MISRAC-50 and https://jira.itg.ti.com/browse/MISRAC-51 is same - R14.3. The Klocwork has two issue code covering this rule. Hence two waiver records are created</t>
  </si>
  <si>
    <t>*Usecase 1*:
R5.6 has an exception that states that the name may be the same as the typedef name with which it is associated. However, Klocwork still tags this code:
{code:java}
typedef struct ti_sysbios_knl_Queue_Object__ {
    ti_sysbios_knl_Queue_Elem elem;
} ti_sysbios_knl_Queue_Object__;{code}
See KWSPT-17</t>
  </si>
  <si>
    <t>*Usecase 1*:
R5.7 has an exception that states that the name may be the same as the typedef name with which it is associated.
However, Klocwork has false positives against  code in this format:
{code:java}
typedef struct ti_sysbios_knl_Queue_Object__ {
    ti_sysbios_knl_Queue_Elem elem;
} ti_sysbios_knl_Queue_Object__;{code}
 </t>
  </si>
  <si>
    <t>*Usecase 1*:
R5.2 requires that the identifiers in the code compiled with C99-compatible compiler have the unique first 63 characters.
However due to tooling or other reasons this limit may often be exceeded.  For example in SYS/BIOS:
{code:java}
CT__ti_sysbios_family_arm_v7m_keystone3_MemProtect_Module_diagsIncluded
CT__ti_sysbios_family_arm_v7m_keystone3_MemProtect_Module_diagsEnabled
{code}
This deviation record is to allow allow for analyzed compilers which do not have this restriction to go beyond this limitation.  These are:
||Compiler||Reference||
|TI ARM|[https://e2e.ti.com/support/tools/ccs/f/81/t/580836]|
|GNU (inclusive of Linaro variants)|[https://gcc.gnu.org/onlinedocs/cpp/Implementation-limits.html]|
|IAR|IAR C/C++  Development Guide for Arm:
 "Significant characters in identifiers (5.2.4.1, 6.4.2)
 The number of significant initial characters in an identifier with or without external linkage is guaranteed to be no less than 200."|
|TI LLVM|Per development team.|
*Note: When applying this deviation each specific project shall ensure the supported compilers allow for macro names longer than 63 characters.* </t>
  </si>
  <si>
    <t>*Use Case 1:*
 Software developed by TI often works to port the driver to different SoCs with common API functions and structures where accesses to and from an object requires type conversions from pointer to void to pointer to an object to hide object details from the application. The waiver is only applicable to the use cases that the pointer to void and the pointer to an object are address aligned.
A typical use cases that is defined as exception:
In the top level API header, the following structure is defined:
{code:java}
struct {
 void *object;
 } OBJECT_STRUCT;{code}
In the internal driver API header (it may have different version of the header based on the HW IP version)
IP V0 header:
{code:java}
struct {
 uint32_t object_v0_field0;
 uint32_t object_v0_field1;
 } OBJECT_V0_STRUCT;{code}
IP V1 header:
{code:java}
struct {
 uint32_t object_v1_field0;
 uint32_t object_v1_field1;
 } OBJECT_V1_STRUCT;{code}
In the SoC/IP specific driver, object variable of OBJECT_STRUCT is initialized as:
IP V0 driver:
{code:java}
OBJECT_V0_STRUCT = object_v0;
OBJECT_STRUCT objects = {
 (void *)(&amp;object_v0),
 }
{code}
IP V1 driver:
{code:java}
OBJECT_V1_STRUCT = object_v1;
OBJECT_STRUCT objects = {
 (void *)(&amp;object_v1),
 }
{code}
and when the top level common API functions are called, IP specific driver can convert the void pointer to the pointer to IP specific object structure:
{code:java}
int32_t API_FUNCTION(OBJECT_STRUCT *pObject)
 {
 OBJECT_V0_STRUCT *pObject_v0 = (OBJECT_V0_STRUCT *)pObject ;
 }{code}
or
{code:java}
int32_t API_FUNCTION(OBJECT_STRUCT *pObject)
 {
 OBJECT_V1_STRUCT *pObject_v1 = (OBJECT_V1_STRUCT *)pObject ;
 }{code}
*Use Case 2:*
In the software developed by TI the pointers from the upper layer needs to be passed to lower layers which requires the pointers to typecast to (void *) before passing and needs to typecast back to the corresponding datatype to maintain the same interface model across multiple drivers
Data arguments in the IOCTL/ISR needs to be typecast-ed back to datatype before it can be accessed
{code:java}
Int32 vhwa_m2mDofControl(Fdrv_Handle handle, UInt32 cmd, Ptr cmdArgs,
    Ptr cmdStatusArgs)
{
    confScoreCfg = (Dof_ConfScoreParam *)cmdArgs;
    Fvid2Utils_memcpy(&amp;hObj-&gt;confScoreCfg, confScoreCfg,
                                    sizeof(Dof_ConfScoreParam));
}{code}
 </t>
  </si>
  <si>
    <t>MISRAC-69</t>
  </si>
  <si>
    <t>https://jira.itg.ti.com/browse/MISRAC-69</t>
  </si>
  <si>
    <t>*Usecase 1*:
The Klocwork  C/C++ checker emits MISRA.LITERAL.NULL.PTR.CONST.2012 when processing the attached code.
MISRA.LITERAL.NULL.PTR.CONST.2012 (4:Review) Analyze
 The macro NULL is the only permitted form of integer null pointer constant
 Current status 'Analyze'
There is a Klocwork bug filed about this: KWSPT-51
{code:java}
#include &lt;stdint.h&gt;
typedef uint64_t u64;
typedef int64_t s64;
typedef uint32_t u32;
typedef int32_t s32;
typedef uint16_t u16;
typedef int16_t s16;
typedef uint8_t u8;
typedef int8_t s8;
struct case5_struct_1 {
	u8	test1;
	u8	test2;
	u8	test3;
	u8	test4;
	u8	test5;
	u8	test6;
	u8	test7;
	u8	test8;
} __attribute__((packed));
struct case5_struct_2 {
	struct case5_struct_1	test21;
	u8			test22;
	u16			test23;
} __attribute__((packed));
/*
 * The bellow global struct instantiation triggers false positive
 * MISRA.LITERAL.NULL.PTR.CONST.2012 issue with following text:
 *
 * "The macro NULL is the only permitted form of integer null pointer
 * constant"
 */
struct case5_struct_2 case5_test = {
	{
		.test1 = 1U,
		.test2 = 1U,
		.test3 = 1U,
		.test4 = 1U,
		.test5 = 1U,
		.test6 = 2U,
		.test7 = 1U,
		.test8 = 0U,
	},
	.test22 = 1U,
	.test23 = 0U,
};
{code}</t>
  </si>
  <si>
    <t>MISRAC-72</t>
  </si>
  <si>
    <t>https://jira.itg.ti.com/browse/MISRAC-72</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</si>
  <si>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For example, the last three assignments in the code below give associated warning with the message "An expression value of essential type 'unsigned long long int' is assigned to an object of essential type 'unsigned long int'" but there are no unsigned long long int (a 64-bit datatype on the C28x) values involved.
{code:java}
static const C28x_STL_TG_OBJ_t C28x_STL_testGroup08 =
{
    .tgAddr   = &amp;tg08LoadStart,
    .tgLen    = &amp;tg08LoadSize,
    .addrPsa1 = PSA_TG8_GOLDEN_VALUE_ADDR,
    .dwbPsa2  = PSA_TG8_GOLDEN_VALUE_DATA,
    .tGId     = C28x_STL_VALIDATE_TG_08,
};
{code}
The variables addrPsa1, dwbPsa2, and tGId are all uint32_t and the #defined values are as follows
{code:java}
#define PSA_TG8_GOLDEN_VALUE_ADDR  0x9DFB2DA0U
#define PSA_TG8_GOLDEN_VALUE_DATA  0x22174216U
#define C28x_STL_VALIDATE_TG_08    0xC28FACE9U
{code}</t>
  </si>
  <si>
    <t>MISRAC-73</t>
  </si>
  <si>
    <t>https://jira.itg.ti.com/browse/MISRAC-73</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</si>
  <si>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For example, in the code below, KW treats this statement as always equal to true because it interprets the 32-bit value STL_CLA_T2_HARD_CHECKSUM is a wider type than uint32_t hardChecksum.
{code:java}
    if(STL_CLA_T2_HARD_CHECKSUM != hardChecksum)
    {
        testStatus3 |= STL_CLA_FAIL_REG;
    }
{code}</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</si>
  <si>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For example, the line below where CLA_T2_BASE_ADDR = 0x1380U and CLA_T2_O_MHWADBGCTL = 0x2U does not contain any wraparound. The compiler treats both as 16-bit values and their sum fits within the size of a normal pointer on the C28x.
{code:java}
dbgValue32 = HWREG(CLA_T2_BASE_ADDR + CLA_T2_O_MHWADBGCTL);
{code}</t>
  </si>
  <si>
    <t>MISRAC-75</t>
  </si>
  <si>
    <t>https://jira.itg.ti.com/browse/MISRAC-75</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</si>
  <si>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For example, in the code below, KW treats this statement as always equal to false because it interprets the 32-bit value C28x_STL_SIGNATURE_VALID as a wider type than uint32_t tgArray[testGroup]-&gt;tGId.
{code:java}
    if ((NULL != tgArray) &amp;&amp; (C28x_STL_SIGNATURE_VALID == (tgArray[testGroup]-&gt;tGId &amp; C28x_STL_SIGNATURE_MASK)))
    {
    }
{code}
Related to KWSPT-55.</t>
  </si>
  <si>
    <t>MISRAC-76</t>
  </si>
  <si>
    <t>https://jira.itg.ti.com/browse/MISRAC-76</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</si>
  <si>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In the scenario described in MISRAC-75, Klocwork believes many conditional statements always resolve to false and generates an error about unreachable code.
Related to KWSPT-55.</t>
  </si>
  <si>
    <t>MISRAC-77</t>
  </si>
  <si>
    <t>https://jira.itg.ti.com/browse/MISRAC-77</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</si>
  <si>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In the scenario described in MISRAC-75, Klocwork believes many conditional statements always resolve to false and generates an error about variables that are used within the supposedly unreachable body of the if-statement being unused.
Related to KWSPT-55.</t>
  </si>
  <si>
    <t>MISRAC-78</t>
  </si>
  <si>
    <t>https://jira.itg.ti.com/browse/MISRAC-78</t>
  </si>
  <si>
    <t>MISRA-C 2012 advanced from 2004 to move {{goto}} from *mandatory* to *advisory* category recognizing legitimate use of {{goto}} and restricting in the advisory to such usage.  This deviation record is to disapply this rule to the TI MISRA-C policy for the following reasons.  Additionally, MISRA-C:2012 notes that is is acceptable to not follow advisory rule R.15.1 if MISRA-C:2012 rules R.15.2 and R.15.3 are both still required.  In the case of the TI MISRA-C policy they are both still required.
*Use Case 1:*
Many software products have historically used goto and documented as such in older TI coding standards.  Notably the Telogy (an acquisition of TI for VoIP) coding guidelines and additionally BIOS/xdc standards.
The Linux coding standard also allows for such {{goto}} usage [https://www.kernel.org/doc/html/v4.10/process/coding-style.html], #7 .
The goto statement comes in handy when a function exits from multiple locations and some common work such as cleanup has to be done. If there is no cleanup needed then just return directly.
The rationale for using gotos is:
 * unconditional statements are easier to understand and follow
 * nesting is reduced
 * errors by not updating individual exit points when making modifications are prevented
 * saves the compiler work to optimize redundant code away
Such industry usage is assumed to have led MISRA-C to move goto usage to only an advisory rule.
A frequent usage pattern is error handling code that is commonly done before the real body of the function which is seen frequently in driver software pre-configuration.
*Use Case 2:*
Avoiding additional, deeper nesting in code.
Were R.15.1 a mandatory requirement for our MISRA-C compliance the result would be extra nesting in the main body of the code where most maintenance is done thus requiring this code to be indented by at least one more level.  The loss of this indentation is both an opportunity for error when doing maintenance work and a detriment to coding quality.  Often times the same copies of code are kept side by side to copy+paste during development, 3 versions of the file are open during merging, and more horizontal scrolling is needed.
 </t>
  </si>
  <si>
    <t>MISRAC-80</t>
  </si>
  <si>
    <t>https://jira.itg.ti.com/browse/MISRAC-80</t>
  </si>
  <si>
    <t>There is a bug in KW 2018.1 where klocwork is incorrectly determining the size of constants when analyzing assignments containing a bitwise NOT for the C28x compiler resulting in MISRA.ETYPE.ASSIGN.2012 errors.
For more details about the issue, see the support record KWSPT-56.
*Use Case 1*
For example, in the line below, tgRunStatus is of type uint32_t and C28x_STL_FAIL_PSA2_DATAWB is defined as 0x00000002U, but Klocwork reports, "An expression value of essential type 'unsigned long long int' is assigned to an object of essential type 'unsigned long int'," incorrectly interpreting the constant as a unsigned long long int (a 64 bits on C28x).
{code:java}
tgRunStatus  &amp;= ~C28x_STL_FAIL_PSA2_DATAWB;
{code}</t>
  </si>
  <si>
    <t>Klockwork gives a false positive MISRA.ARRAY.VAR_LENGTH.2012 when a macro with compile time known value is used to define the array size. See the ARRAY_SIZE-macro in the example bellow:
{code:c}
#include &lt;stdint.h&gt;
typedef uint32_t u32;
#define ARRAY_SIZE(arr) (sizeof(arr) / sizeof((arr)[0]))
#define TEST_WE_WANT_4
static const u32 test_array[] = {
	1,
#ifdef TEST_WE_WANT_2
	2,
#endif
	3,
#ifdef TEST_WE_WANT_4
	4,
#endif	
};
void do_something(u32 *array);
void test(void);
void test(void)	
{	
	u32 copy_array[ARRAY_SIZE(test_array)];
	u32 i;
	for (i = 0U; i &lt; ARRAY_SIZE(copy_array); i++) {
		copy_array[i] = test_array[i];
	}	
        do_something(copy_array);
}
 {code}</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</si>
  <si>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In this scenario the issue raised is MISRA.ETYPE.COMP.CAST.IMPL.WIDER.2012.
ex:
{code:java}
 ZSBBase = (DCSMBANK0_Z2OTP_BASE + (((uint32_t)bitPos + 2U) * 0x20U));
{code}
{code:java}
    switch(modPrescale)
    {
        case 0U:
            dValue = 7U;
            break;
        case 1U:
            dValue = 6U;
            break;
        default:
            dValue = 5U;
            break;
    }
    //
    // Set the divider for the time low
    //
    divider = (10000000U / bitRate) - (uint32_t)(2U * dValue);
{code}
klocwork is considering the second operand of the addition as an unsigned long long int in both the cases mentioned above.
Related to KWSPT-55.</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</si>
  <si>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In this scenario the issue raised is MISRA.SHIFT.RANGE.2012
ex:
{code:java}
    uint16_t keyValue;
    //
    // Transmit first byte of Serial Memory address
    //
    (void)SPIA_Transmit_Receive(0x0000U);
    //
    // Transmit second byte of Serial Memory address
    //
    (void)SPIA_Transmit_Receive(0x0000U);
    //
    // Transmit third byte of  Serial Memory address (0x00) if using Serial
    // Flash or receive first byte of key value if using Serial EEPROM.
    //
    keyValue = SPIA_Transmit_Receive(0x0000U);
    //
    // If previously received LSB of key value (Serial EEPROM), then fetch
    // MSB of key value
    //
    if(keyValue == 0x00AAU)
    {
        keyValue |= (SPIA_Transmit_Receive(0x0000U) &lt;&lt; 8U);
    }
{code}
klocwork is raising this issue for last line of code
Right operand of shift operation is out of range - its value 8 is greater or equal to the size 8 (bits) of the essential type 'unsigned int' of the left operand, or is negative 
Related to KWSPT-55.</t>
  </si>
  <si>
    <t>Note: This is the C90 Version of MISRAC-17.
The intention of the MISRA-C rule is to ensure the code is portable across multiple compilers.  However TI deliverables that are developed with stated compliance only for specific compilers are immune to this issue:
 # TI CGT -
 # GCC - [https://gcc.gnu.org/onlinedocs/cpp/Implementation-limits.html] 
Macro names will frequently exceed the 31 character rule as they may either:
 # Be manually named and following a TI-mandated naming convention such as when requiring combining the prefix of an IP to the register name.
 # Be automatically named through algorithms in the tool chain for a goal to create machine generated code (e.g. conversions from IP-XACT).
Therefore there is value in allowing a longer length than stated by the MISRA-C rule as both exceptions improve the quality of code and reduce bugs.
*Example:*
Listed here is an example of defines that concatenates the module, device, core, ip, feature single/double bit error leading to useful names greater than 31 characters (but not unique in the first 31 characters).
{code:java}
/**
 * @brief   *Group1*: DSS to MSS Mailbox Single bit detection/repair error
 */
#define CSL_XWR68XX_R4F_ESM_MAILBOX_DSS_TO_MSS_SINGLE_BIT      (52U)
/**
 * @brief   *Group1*: DSS to MSS Mailbox Double bit detection error
 */
#define CSL_XWR68XX_R4F_ESM_MAILBOX_DSS_TO_MSS_DOUBLE_BIT      (53U)
{code}
 Another example of defines that concatenate the instance ID only leading to a useful name that are same for the initial 31 characters:
{code:java}
/** \brief Symbolic name for GPIO channel #11 WKUP_GPIO0_B01_Ch11 */
#define DioConf_DioChannel_WKUP_GPIO0_B01_Ch11 ((Dio_ChannelType) 11U)
/** \brief Symbolic name for GPIO channel #12 WKUP_GPIO0_B01_Ch12 */
#define DioConf_DioChannel_WKUP_GPIO0_B01_Ch12 ((Dio_ChannelType) 12U){code}
 </t>
  </si>
  <si>
    <t>Note: This is the C90 Version of MISRA-63. It is also similar to https://jira.itg.ti.com/browse/MISRAC-90.
The intention of the MISRA-C rule is to ensure the code is portable across multiple compilers.  However TI deliverables that are developed with stated compliance only for specific compilers are immune to this issue:
 # TI CGT -
 # GCC - [https://gcc.gnu.org/onlinedocs/cpp/Implementation-limits.html] 
Identifier names will frequently exceed the 31 character rule as they may either:
 # Be manually named and following a TI-mandated naming convention such as when requiring combining the prefix of an IP to the register name.
 # Be automatically named through algorithms in the tool chain for a goal to create machine generated code (e.g. conversions from IP-XACT).
Therefore there is value in allowing a longer length than stated by the MISRA-C rule as both exceptions improve the quality of code and reduce bugs.
*Example:*
Listed here is an example of identifiers that concatenates the module, device, core, ip, instance leading to useful names greater than 31 characters (but not unique in the first 31 characters). The declaration and extern usage are required.
In header file:
{code:java}
/** \brief Reference to channel group structure for WKUP_GPIO0_B23
  *  created at config time */
extern P2CONST(void, AUTOMATIC, DIO_CONST) DioConfig_WKUP_GPIO0_B23_ChannelGroupRef[0];
{code}
In source file:
{code:java}
DIO_CONFIG_DATA_SECTION_CONST CONST(Dio_ChannelGroupType, DIO_CONST)
    DioConfig_WKUP_GPIO0_B23_ChannelGroup[0] = {};
DIO_CONFIG_DATA_SECTION_NON_CONST P2CONST(void,AUTOMATIC,  DIO_CONST)
    DioConfig_WKUP_GPIO0_B23_ChannelGroupRef[0] = {};
{code}
 </t>
  </si>
  <si>
    <t>enabled</t>
  </si>
  <si>
    <t>name</t>
  </si>
  <si>
    <t>supportLevel</t>
  </si>
  <si>
    <t>Taxonomy Name</t>
  </si>
  <si>
    <t>Buffer Overflow - Array Index Out of Bounds</t>
  </si>
  <si>
    <t>No taxonomy parameter provided. Hence, all taxonomies included.</t>
  </si>
  <si>
    <t>ABV.ITERATOR</t>
  </si>
  <si>
    <t>Buffer Overflow - Array Index may be out of Bounds</t>
  </si>
  <si>
    <t>Buffer Overflow - Local Array Index Out of Bounds</t>
  </si>
  <si>
    <t>Buffer Overflow from Unvalidated Input</t>
  </si>
  <si>
    <t>ABV.UNICODE.BOUND_MAP</t>
  </si>
  <si>
    <t>Buffer overflow in mapping character function</t>
  </si>
  <si>
    <t>ABV.UNICODE.FAILED_MAP</t>
  </si>
  <si>
    <t>Mapping function failed</t>
  </si>
  <si>
    <t>ABV.UNICODE.NNTS_MAP</t>
  </si>
  <si>
    <t>ABV.UNICODE.SELF_MAP</t>
  </si>
  <si>
    <t>ANDROID.LIFECYCLE.SV.FRAGMENTINJ</t>
  </si>
  <si>
    <t>Unvalidated fragment class name</t>
  </si>
  <si>
    <t>ANDROID.LIFECYCLE.SV.GETEXTRA</t>
  </si>
  <si>
    <t>Unvalidated external data</t>
  </si>
  <si>
    <t>ANDROID.NPE</t>
  </si>
  <si>
    <t>Dereference of a null value in an Android application</t>
  </si>
  <si>
    <t>ANDROID.RLK.MEDIAPLAYER</t>
  </si>
  <si>
    <t>Media player is not released on exit</t>
  </si>
  <si>
    <t>ANDROID.RLK.MEDIARECORDER</t>
  </si>
  <si>
    <t>Media recorder is not released on exit</t>
  </si>
  <si>
    <t>ANDROID.RLK.SQLCON</t>
  </si>
  <si>
    <t>Sql connection is not closed on exit</t>
  </si>
  <si>
    <t>ANDROID.RLK.SQLOBJ</t>
  </si>
  <si>
    <t>Sql object is not closed on exit</t>
  </si>
  <si>
    <t>ANDROID.UF.BITMAP</t>
  </si>
  <si>
    <t>Usage of recycled bitmap</t>
  </si>
  <si>
    <t>ANDROID.UF.CAMERA</t>
  </si>
  <si>
    <t>Usage of released camera</t>
  </si>
  <si>
    <t>ANDROID.UF.MEDIAPLAYER</t>
  </si>
  <si>
    <t>Usage of released media player</t>
  </si>
  <si>
    <t>ANDROID.UF.MEDIARECORDER</t>
  </si>
  <si>
    <t>Usage of released media recorder</t>
  </si>
  <si>
    <t>ASSIGCOND.CALL</t>
  </si>
  <si>
    <t>Assignment in condition (call)</t>
  </si>
  <si>
    <t>ASSIGCOND.GEN</t>
  </si>
  <si>
    <t>Assignment in condition</t>
  </si>
  <si>
    <t>AUTOSAR.ARRAY.CSTYLE</t>
  </si>
  <si>
    <t>C-style arrays shall not be used</t>
  </si>
  <si>
    <t>AUTOSAR.ASM</t>
  </si>
  <si>
    <t>The asm declaration shall not be used</t>
  </si>
  <si>
    <t>AUTOSAR.ASSIGN.REF_QUAL</t>
  </si>
  <si>
    <t>Assignment operators should be declared with the ref-qualifier &amp;</t>
  </si>
  <si>
    <t>AUTOSAR.ASSIGN.RETURN</t>
  </si>
  <si>
    <t>An assignment operator shall return a reference to "this"</t>
  </si>
  <si>
    <t>AUTOSAR.AUTO_PTR</t>
  </si>
  <si>
    <t>The std::auto_ptr type shall not be used</t>
  </si>
  <si>
    <t>AUTOSAR.BUILTIN_NUMERIC</t>
  </si>
  <si>
    <t>Fixed width integer types from &lt;cstdint&gt; shall be used in place of the basic numerical types</t>
  </si>
  <si>
    <t>AUTOSAR.CAST.CSTYLE</t>
  </si>
  <si>
    <t>Traditional C-style casts shall not be used</t>
  </si>
  <si>
    <t>AUTOSAR.CAST.DYNAMIC</t>
  </si>
  <si>
    <t>dynamic_cast should not be used</t>
  </si>
  <si>
    <t>AUTOSAR.CAST.REINTERPRET</t>
  </si>
  <si>
    <t>reinterpret_cast shall not be used</t>
  </si>
  <si>
    <t>AUTOSAR.CTOR.MOVE.COPY_SEMANTICS</t>
  </si>
  <si>
    <t>Move constructor shall not initialize its class members and base classes using copy semantics</t>
  </si>
  <si>
    <t>AUTOSAR.CTOR.NO_EXPLICIT</t>
  </si>
  <si>
    <t>All constructors that are callable with a single argument of fundamental type shall be declared explicit</t>
  </si>
  <si>
    <t>AUTOSAR.CTOR.NSDMI_INIT_LIST</t>
  </si>
  <si>
    <t>Both NSDMI and a non-static member initializer in a constructor shall not be used in the same type</t>
  </si>
  <si>
    <t>AUTOSAR.DECL.IN_DEFN</t>
  </si>
  <si>
    <t>A class, structure, or enumeration shall not be declared in the definition of its type</t>
  </si>
  <si>
    <t>AUTOSAR.DECL.NONTYPE_SPECIFIER</t>
  </si>
  <si>
    <t>A non-type specifier shall be placed before a type specifier in a declaration</t>
  </si>
  <si>
    <t>AUTOSAR.DIGIT_SEPARATORS</t>
  </si>
  <si>
    <t>Digit sequences separators ' shall only be used as follows (1) for decimal, every 3 digits, (2) for hexadecimal, every 2 digits, (3) for binary, every 4 digits</t>
  </si>
  <si>
    <t>AUTOSAR.DO</t>
  </si>
  <si>
    <t>Do statements should not be used</t>
  </si>
  <si>
    <t>AUTOSAR.DTOR.NON_VIRTUAL</t>
  </si>
  <si>
    <t>If a public destructor of a class is non-virtual, then the class should be declared final</t>
  </si>
  <si>
    <t>AUTOSAR.ENUM.EXPLICIT_BASE_TYPE</t>
  </si>
  <si>
    <t>Enumeration underlying base type shall be explicitly defined</t>
  </si>
  <si>
    <t>AUTOSAR.ENUM.UNSCOPED</t>
  </si>
  <si>
    <t>Enumerations shall be declared as scoped enum classes</t>
  </si>
  <si>
    <t>AUTOSAR.EXCPT.DYNAMIC_SPEC</t>
  </si>
  <si>
    <t>Dynamic exception-specification shall not be used</t>
  </si>
  <si>
    <t>AUTOSAR.EXCPT.NOEXCPT_THROW</t>
  </si>
  <si>
    <t>If a function is declared to be noexcept, noexcept(true) or noexcept(&lt;true condition&gt;), then it shall not exit with an exception</t>
  </si>
  <si>
    <t>AUTOSAR.EXCPT.SPECIAL_MEMBER_THROW</t>
  </si>
  <si>
    <t>All user-provided class destructors, deallocation functions, move constructors, move assignment operators and swap functions shall not exit with an exception</t>
  </si>
  <si>
    <t>AUTOSAR.FORWARD</t>
  </si>
  <si>
    <t>Forwarding values to other functions shall be done via: (1) std::move if the value is an rvalue reference, (2) std::forward if the value is forwarding reference</t>
  </si>
  <si>
    <t>AUTOSAR.FRIEND_DECL</t>
  </si>
  <si>
    <t>Friend declarations shall not be used</t>
  </si>
  <si>
    <t>AUTOSAR.FUNC.INLINE_DEF</t>
  </si>
  <si>
    <t>A function definition shall only be placed in a class definition if (1) the function is intended to be inlined (2); it is a member function template; (3) it is a member function of a class template</t>
  </si>
  <si>
    <t>AUTOSAR.FUNC.TMPL.EXPLICIT_SPEC</t>
  </si>
  <si>
    <t>Explicit specializations of function templates shall not be used</t>
  </si>
  <si>
    <t>AUTOSAR.GOTO</t>
  </si>
  <si>
    <t>The goto statement shall not be used</t>
  </si>
  <si>
    <t>AUTOSAR.HEX.UPPER</t>
  </si>
  <si>
    <t>Hexadecimal constants should be upper case</t>
  </si>
  <si>
    <t>AUTOSAR.LAMBDA.IMPLICIT_CAPTURE</t>
  </si>
  <si>
    <t>Variables shall not be implicitly captured in a lambda expression</t>
  </si>
  <si>
    <t>AUTOSAR.LAMBDA.IMPLICIT_RETURN_TYPE</t>
  </si>
  <si>
    <t>Return type of a non-void return type lambda expression should be explicitly specified</t>
  </si>
  <si>
    <t>AUTOSAR.LAMBDA.NESTED</t>
  </si>
  <si>
    <t>Lambda expressions should not be defined inside another lambda expression</t>
  </si>
  <si>
    <t>AUTOSAR.LAMBDA.NO_PARAM_LIST</t>
  </si>
  <si>
    <t>Parameter list (possibly empty) shall be included in every lambda expression</t>
  </si>
  <si>
    <t>AUTOSAR.LAMBDA.REF_LIFETIME</t>
  </si>
  <si>
    <t>A lambda expression object shall not outlive any of its reference-captured objects</t>
  </si>
  <si>
    <t>AUTOSAR.LAMBDA.TYPE_OPERAND</t>
  </si>
  <si>
    <t>A lambda shall not be an operand to decltype or typeid</t>
  </si>
  <si>
    <t>AUTOSAR.MEMB.VIRTUAL.FINAL</t>
  </si>
  <si>
    <t>Virtual functions shall not be introduced in a final class</t>
  </si>
  <si>
    <t>AUTOSAR.MEMB.VIRTUAL.SPEC</t>
  </si>
  <si>
    <t>Virtual function declaration shall contain exactly one of the three specifiers: (1) virtual, (2) override, (3) final.</t>
  </si>
  <si>
    <t>AUTOSAR.OP.BINARY.RETVAL</t>
  </si>
  <si>
    <t>A binary arithmetic operator and a bitwise operator shall return a "prvalue"</t>
  </si>
  <si>
    <t>AUTOSAR.OP.COMPARE.MEMBER</t>
  </si>
  <si>
    <t>Comparison operators shall be non-member functions</t>
  </si>
  <si>
    <t>AUTOSAR.OP.COMPARE.NON_NOEXCEPT</t>
  </si>
  <si>
    <t>Comparison operators shall be noexcept</t>
  </si>
  <si>
    <t>AUTOSAR.OP.COMPARE.PARAMS</t>
  </si>
  <si>
    <t>Comparison operators shall have identical parameter types</t>
  </si>
  <si>
    <t>AUTOSAR.OP.CONV</t>
  </si>
  <si>
    <t>User-defined conversion operators should not be used</t>
  </si>
  <si>
    <t>AUTOSAR.OP.CONV.NON_EXPLICIT</t>
  </si>
  <si>
    <t>All user-defined conversion operators shall be defined explicit</t>
  </si>
  <si>
    <t>AUTOSAR.OP.DELETE.MISSING_VERSION</t>
  </si>
  <si>
    <t>If a project has sized or unsized version of operator "delete" globally defined, then both sized and unsized versions shall be defined</t>
  </si>
  <si>
    <t>AUTOSAR.OP.INDEX.NON_CONST</t>
  </si>
  <si>
    <t>If "operator[]" is to be overloaded with a non-const version, const version shall also be implemented</t>
  </si>
  <si>
    <t>AUTOSAR.OP.LITERAL.SUFFIX</t>
  </si>
  <si>
    <t>User defined suffixes of the user defined literal operators shall start with underscore followed by one or more letters</t>
  </si>
  <si>
    <t>AUTOSAR.OP.NEW_DELETE</t>
  </si>
  <si>
    <t>Non-placement new or delete expressions shall not be used</t>
  </si>
  <si>
    <t>AUTOSAR.OP.NEW_NO_DELETE</t>
  </si>
  <si>
    <t>"operator new" and "operator delete" shall be defined together</t>
  </si>
  <si>
    <t>AUTOSAR.OP.RELATIONAL.RETVAL</t>
  </si>
  <si>
    <t>A relational operator shall return a boolean value</t>
  </si>
  <si>
    <t>AUTOSAR.OP.TMPL.NON_MEMBER</t>
  </si>
  <si>
    <t>A non-member generic operator shall only be declared in a namespace that does not contain class (struct) type, enum type or union type declarations</t>
  </si>
  <si>
    <t>AUTOSAR.REGISTER</t>
  </si>
  <si>
    <t>The register keyword shall not be used</t>
  </si>
  <si>
    <t>AUTOSAR.SETLOCALE</t>
  </si>
  <si>
    <t>The library &lt;clocale&gt; (locale.h) and the setlocale function shall not be used</t>
  </si>
  <si>
    <t>AUTOSAR.STDLIB.BIND</t>
  </si>
  <si>
    <t>The std::bind shall not be used</t>
  </si>
  <si>
    <t>AUTOSAR.STDLIB.CCTYPE.UCHAR</t>
  </si>
  <si>
    <t>Arguments to character-handling functions defined in &lt;cctype&gt; shall be representable as an unsigned char</t>
  </si>
  <si>
    <t>AUTOSAR.STDLIB.MEMORY</t>
  </si>
  <si>
    <t>Functions malloc, calloc, realloc and free shall not be used</t>
  </si>
  <si>
    <t>AUTOSAR.STDLIB.MOVE.CONST</t>
  </si>
  <si>
    <t>The std::move shall not be used on objects declared const or const&amp;</t>
  </si>
  <si>
    <t>AUTOSAR.STDLIB.RAND</t>
  </si>
  <si>
    <t>Pseudorandom numbers shall not be generated using std::rand()</t>
  </si>
  <si>
    <t>AUTOSAR.STDLIB.RANDOM.NBR_GEN_DEFAULT_INIT</t>
  </si>
  <si>
    <t>Random number engines shall not be default-initialized</t>
  </si>
  <si>
    <t>AUTOSAR.STDLIB.RANDOM_SHUFFLE</t>
  </si>
  <si>
    <t>AUTOSAR.STYLE.SINGLE_DECL_PER_LINE</t>
  </si>
  <si>
    <t>Each expression statement and identifier declaration shall be placed on a separate line</t>
  </si>
  <si>
    <t>AUTOSAR.STYLE.SINGLE_STMT_PER_LINE</t>
  </si>
  <si>
    <t>AUTOSAR.SWITCH.CASECOUNT</t>
  </si>
  <si>
    <t>A switch statement shall have at least two case-clauses, distinct from the default label</t>
  </si>
  <si>
    <t>AUTOSAR.TERNARY.NESTED</t>
  </si>
  <si>
    <t>The ternary conditional operator shall not be used as a sub-expression</t>
  </si>
  <si>
    <t>AUTOSAR.TYPE.LONG_DOUBLE</t>
  </si>
  <si>
    <t>Type long double shall not be used</t>
  </si>
  <si>
    <t>AUTOSAR.TYPE.QUAL.VOLATILE</t>
  </si>
  <si>
    <t>The volatile type qualifier shall not be used</t>
  </si>
  <si>
    <t>AUTOSAR.TYPE.WCHAR_T</t>
  </si>
  <si>
    <t>Type wchar_t shall not be used</t>
  </si>
  <si>
    <t>AUTOSAR.TYPEDEF</t>
  </si>
  <si>
    <t>The typedef specifier shall not be used</t>
  </si>
  <si>
    <t>AUTOSAR.TYPEDEF.CVQ_EAST</t>
  </si>
  <si>
    <t>CV-qualifiers shall be placed on the right hand side of the type that is a typedef or a using name</t>
  </si>
  <si>
    <t>AUTOSAR.UNION</t>
  </si>
  <si>
    <t>Unions shall not be used</t>
  </si>
  <si>
    <t>AUTOSAR.VECTOR.BOOL</t>
  </si>
  <si>
    <t>The std::vector&lt;bool&gt; specialization shall not be used</t>
  </si>
  <si>
    <t>AUTOSAR.VIRTUAL.PTR_COMPARE</t>
  </si>
  <si>
    <t>A pointer to member virtual function shall only be tested for equality with null-pointer-constant</t>
  </si>
  <si>
    <t>BSTR.CAST.C</t>
  </si>
  <si>
    <t>C style type cast to BSTR</t>
  </si>
  <si>
    <t>BSTR.CAST.CPP</t>
  </si>
  <si>
    <t>C++ style type cast to BSTR</t>
  </si>
  <si>
    <t>BSTR.FUNC.ALLOC</t>
  </si>
  <si>
    <t>Incorrect call to BSTR allocating function</t>
  </si>
  <si>
    <t>BSTR.FUNC.FREE</t>
  </si>
  <si>
    <t>Incorrect call to BSTR freeing function</t>
  </si>
  <si>
    <t>BSTR.FUNC.LEN</t>
  </si>
  <si>
    <t>Trying to get length of non-BSTR string using BSTR-related functions</t>
  </si>
  <si>
    <t>BSTR.FUNC.REALLOC</t>
  </si>
  <si>
    <t>Incorrect call to BSTR reallocating function</t>
  </si>
  <si>
    <t>BSTR.IA.ASSIGN</t>
  </si>
  <si>
    <t>BSTR variable is assigned a non-BSTR value</t>
  </si>
  <si>
    <t>BSTR.IA.INIT</t>
  </si>
  <si>
    <t>BSTR variable is initialized with a non-BSTR value</t>
  </si>
  <si>
    <t>BSTR.OPS.ARITHM</t>
  </si>
  <si>
    <t>Illegal arithmetic operations with BSTR values</t>
  </si>
  <si>
    <t>BSTR.OPS.COMP</t>
  </si>
  <si>
    <t>Illegal comparison of BSTR values</t>
  </si>
  <si>
    <t>BSTR.OPS.EQS</t>
  </si>
  <si>
    <t>Illegal equality comparison of BSTR values</t>
  </si>
  <si>
    <t>BYTEORDER.HTON.SEND</t>
  </si>
  <si>
    <t>Missed conversion from host to network byte order</t>
  </si>
  <si>
    <t>BYTEORDER.HTON.WRITE</t>
  </si>
  <si>
    <t>BYTEORDER.NTOH.READ</t>
  </si>
  <si>
    <t>Missed conversion from network to host byte order</t>
  </si>
  <si>
    <t>BYTEORDER.NTOH.RECV</t>
  </si>
  <si>
    <t>CERT.CONC.MUTEX.DESTROY_WHILE_LOCKED</t>
  </si>
  <si>
    <t>Do not destroy a mutex while it is locked</t>
  </si>
  <si>
    <t>CERT.CONC.UNSAFE_COND_VAR</t>
  </si>
  <si>
    <t>Preserve thread safety and liveness when using condition variables</t>
  </si>
  <si>
    <t>CERT.CONC.WAKE_IN_LOOP</t>
  </si>
  <si>
    <t>Wrap functions that can spuriously wake up in a loop</t>
  </si>
  <si>
    <t>CERT.DCL.AMBIGUOUS_DECL</t>
  </si>
  <si>
    <t>Do not write syntactically ambiguous declarations</t>
  </si>
  <si>
    <t>CERT.DCL.REF_TYPE.CONST_OR_VOLATILE</t>
  </si>
  <si>
    <t>Never qualify a reference type with const or volatile</t>
  </si>
  <si>
    <t>CERT.DCL.SAME_SCOPE_ALLOC_DEALLOC</t>
  </si>
  <si>
    <t>Overload allocation and deallocation functions as a pair in the same scope</t>
  </si>
  <si>
    <t>CERT.DCL.STD_NS_MODIFIED</t>
  </si>
  <si>
    <t>Do not modify the standard namespaces</t>
  </si>
  <si>
    <t>CERT.ERR.ABRUPT_TERM</t>
  </si>
  <si>
    <t>Do not abruptly terminate the program</t>
  </si>
  <si>
    <t>CERT.ERR.CONV.STR_TO_NUM</t>
  </si>
  <si>
    <t>Detect errors when converting a string to a number</t>
  </si>
  <si>
    <t>CERT.EXPR.DELETE_ARR.BASE_PTR</t>
  </si>
  <si>
    <t>Do not delete an array through a pointer of the incorrect type</t>
  </si>
  <si>
    <t>CERT.EXPR.DELETE_PTR.INCOMPLETE_TYPE</t>
  </si>
  <si>
    <t>Do not delete a pointer to an incomplete type</t>
  </si>
  <si>
    <t>CERT.EXPR.VOLATILE.ADDR</t>
  </si>
  <si>
    <t>Do not access a volatile object through a nonvolatile pointer</t>
  </si>
  <si>
    <t>CERT.EXPR.VOLATILE.ADDR.PARAM</t>
  </si>
  <si>
    <t>Do not pass a volatile object to a function through a nonvolatile pointer</t>
  </si>
  <si>
    <t>CERT.EXPR.VOLATILE.PTRPTR</t>
  </si>
  <si>
    <t>Do not assign a reference to a non-volatile pointer to a volatile pointer-to-pointer</t>
  </si>
  <si>
    <t>CERT.MEM.OVERRIDE.DELETE</t>
  </si>
  <si>
    <t>Honor replacement dynamic storage management requirements for 'delete'</t>
  </si>
  <si>
    <t>CERT.MEM.OVERRIDE.NEW</t>
  </si>
  <si>
    <t>Honor replacement dynamic storage management requirements for 'new'</t>
  </si>
  <si>
    <t>CERT.MSC.NORETURN_FUNC_RETURNS</t>
  </si>
  <si>
    <t>Do not return from a function declared [[noreturn]]</t>
  </si>
  <si>
    <t>CERT.MSC.SIG_HANDLER.POF</t>
  </si>
  <si>
    <t>A signal handler must be a plain old function</t>
  </si>
  <si>
    <t>CERT.MSC.STD_RAND_CALL</t>
  </si>
  <si>
    <t>Do not use std::rand() for generating pseudorandom numbers</t>
  </si>
  <si>
    <t>CERT.OOP.COPY_MUTATES</t>
  </si>
  <si>
    <t>Copy operations must not mutate the source object</t>
  </si>
  <si>
    <t>CERT.OOP.CSTD_FUNC_USE</t>
  </si>
  <si>
    <t>Prefer special member functions and overloaded operators to C Standard Library functions</t>
  </si>
  <si>
    <t>CERT.OOP.CTOR.INIT_ORDER</t>
  </si>
  <si>
    <t>Write constructor member initializers in the canonical order</t>
  </si>
  <si>
    <t>CERT.OOP.PTR_MEMBER.NO_MEMBER</t>
  </si>
  <si>
    <t>Do not use pointer-to-member operators to access nonexistent members</t>
  </si>
  <si>
    <t>CERT.POS.THREAD.ASYNC_CANCEL</t>
  </si>
  <si>
    <t>Do not use threads that can be canceled asynchronously</t>
  </si>
  <si>
    <t>CL.ASSIGN.NON_CONST_ARG</t>
  </si>
  <si>
    <t>Assignment operator declares non-constant reference argument</t>
  </si>
  <si>
    <t>CL.ASSIGN.RETURN_CONST</t>
  </si>
  <si>
    <t>Assignment operator returns constant reference</t>
  </si>
  <si>
    <t>CL.ASSIGN.VOID</t>
  </si>
  <si>
    <t>Assignment operator returns void</t>
  </si>
  <si>
    <t>CL.FFM.ASSIGN</t>
  </si>
  <si>
    <t>Use of free memory (double free) - no operator=</t>
  </si>
  <si>
    <t>CL.FFM.COPY</t>
  </si>
  <si>
    <t>Use of free memory (double free) - no copy constructor</t>
  </si>
  <si>
    <t>CL.FMM</t>
  </si>
  <si>
    <t>Freeing Mismatched Memory - in destructor</t>
  </si>
  <si>
    <t>CL.MLK</t>
  </si>
  <si>
    <t>Memory Leak - in destructor</t>
  </si>
  <si>
    <t>CL.MLK.ASSIGN</t>
  </si>
  <si>
    <t>Memory Leak - in assignment operator</t>
  </si>
  <si>
    <t>CL.MLK.VIRTUAL</t>
  </si>
  <si>
    <t>Memory Leak - possible in destructor</t>
  </si>
  <si>
    <t>CL.SELF-ASSIGN</t>
  </si>
  <si>
    <t>Use of free memory (double free) - in operator=</t>
  </si>
  <si>
    <t>CL.SHALLOW.ASSIGN</t>
  </si>
  <si>
    <t>Use of free memory (double free) - shallow copy in operator=</t>
  </si>
  <si>
    <t>CL.SHALLOW.COPY</t>
  </si>
  <si>
    <t>Use of free memory (double free) - shallow copy in copy constructor</t>
  </si>
  <si>
    <t>CMP.CLASS</t>
  </si>
  <si>
    <t>Comparing by classname</t>
  </si>
  <si>
    <t>CMP.OBJ</t>
  </si>
  <si>
    <t>Comparing objects with ==</t>
  </si>
  <si>
    <t>CMP.STR</t>
  </si>
  <si>
    <t>Comparing strings with ==</t>
  </si>
  <si>
    <t>CMPF.FLOAT</t>
  </si>
  <si>
    <t>Equality checks on floating point types should be avoided</t>
  </si>
  <si>
    <t>CONC.DL</t>
  </si>
  <si>
    <t>Deadlock</t>
  </si>
  <si>
    <t>CONC.NO_UNLOCK</t>
  </si>
  <si>
    <t>Missing unlock for variable</t>
  </si>
  <si>
    <t>CONC.SLEEP</t>
  </si>
  <si>
    <t>Function may block in critical section</t>
  </si>
  <si>
    <t>COV.CMP</t>
  </si>
  <si>
    <t>Method compareTo() should have signature 'public int compareTo(Object)'</t>
  </si>
  <si>
    <t>CS.ASSIGN.SELF</t>
  </si>
  <si>
    <t>Assignment of expression to itself</t>
  </si>
  <si>
    <t>CS.BANNED.CONSOLE_WRITE</t>
  </si>
  <si>
    <t>Avoid System.Console 'Write()' or 'WriteLine()' statements</t>
  </si>
  <si>
    <t>CS.BANNED.GC_COLLECT</t>
  </si>
  <si>
    <t>Do not explicitly call 'System.GC.Collect()' or 'System.GC.Collect(int)'</t>
  </si>
  <si>
    <t>CS.BANNED.INVOKE</t>
  </si>
  <si>
    <t>Prefer asynchronous calls to synchronized calls</t>
  </si>
  <si>
    <t>CS.BANNED.PARSE</t>
  </si>
  <si>
    <t>Do not use Parse</t>
  </si>
  <si>
    <t>CS.BOXING</t>
  </si>
  <si>
    <t>Avoid boxing/unboxing when possible</t>
  </si>
  <si>
    <t>CS.CMP.VAL.NULL</t>
  </si>
  <si>
    <t>Possible comparing value type expression with 'null'</t>
  </si>
  <si>
    <t>CS.CONSTCOND.DO</t>
  </si>
  <si>
    <t>'do' controlling expression is always true or always false</t>
  </si>
  <si>
    <t>CS.CONSTCOND.IF</t>
  </si>
  <si>
    <t>'if' controlling expression is always true or always false</t>
  </si>
  <si>
    <t>CS.CONSTCOND.SWITCH</t>
  </si>
  <si>
    <t>'switch' selector expression is constant</t>
  </si>
  <si>
    <t>CS.CONSTCOND.TERNARY</t>
  </si>
  <si>
    <t>Controlling condition in conditional expression is always true or always false</t>
  </si>
  <si>
    <t>CS.CONSTCOND.WHILE</t>
  </si>
  <si>
    <t>'while' controlling expression is always true or always false</t>
  </si>
  <si>
    <t>CS.CTOR.VIRTUAL</t>
  </si>
  <si>
    <t>Virtual member call in constructor</t>
  </si>
  <si>
    <t>CS.DB.CLOSE.FINALLY</t>
  </si>
  <si>
    <t>Close data base connections in 'finally' block</t>
  </si>
  <si>
    <t>CS.DBZ.CONST</t>
  </si>
  <si>
    <t>Division by a zero constant occurs</t>
  </si>
  <si>
    <t>CS.DBZ.CONST.CALL</t>
  </si>
  <si>
    <t>The value '0' is passed to function that can use this value as divisor</t>
  </si>
  <si>
    <t>CS.DBZ.GENERAL</t>
  </si>
  <si>
    <t>Division by zero might occur</t>
  </si>
  <si>
    <t>CS.DBZ.ITERATOR</t>
  </si>
  <si>
    <t>Division by zero might occur in a loop iterator</t>
  </si>
  <si>
    <t>CS.EMPTY.CATCH</t>
  </si>
  <si>
    <t>Empty catch clause</t>
  </si>
  <si>
    <t>CS.EXCEPT.NO_LOG</t>
  </si>
  <si>
    <t>Ensure all exceptions are either logged with a standard logger or rethrown</t>
  </si>
  <si>
    <t>CS.EXCEPT.RETHROW</t>
  </si>
  <si>
    <t>Avoid clearing stack trace while rethrowing exceptions</t>
  </si>
  <si>
    <t>CS.EXPR.EQ.STR</t>
  </si>
  <si>
    <t>Use String.IsNullOrEmpty to check if a string is null or empty</t>
  </si>
  <si>
    <t>CS.FLOAT.EQCHECK</t>
  </si>
  <si>
    <t>Equality check on floating point type</t>
  </si>
  <si>
    <t>CS.FRACTION.LOSS</t>
  </si>
  <si>
    <t>Possible loss of fraction</t>
  </si>
  <si>
    <t>CS.HIDDEN.MEMBER.LOCAL.CLASS</t>
  </si>
  <si>
    <t>Member is hidden by a local variable</t>
  </si>
  <si>
    <t>CS.HIDDEN.MEMBER.LOCAL.STRUCT</t>
  </si>
  <si>
    <t>CS.HIDDEN.MEMBER.PARAM.CLASS</t>
  </si>
  <si>
    <t>Member is hidden by a parameter</t>
  </si>
  <si>
    <t>CS.HIDDEN.MEMBER.PARAM.STRUCT</t>
  </si>
  <si>
    <t>CS.IDISP.DISPOSE</t>
  </si>
  <si>
    <t>Implement Dispose(bool) as a virtual method if IDisposable is implemented</t>
  </si>
  <si>
    <t>CS.IDISP.DTOR</t>
  </si>
  <si>
    <t>Provide a destructor (finalizer) when you implement IDisposable</t>
  </si>
  <si>
    <t>CS.IDISP.USING</t>
  </si>
  <si>
    <t>Using statement should be used for constructing objects that implement IDisposable</t>
  </si>
  <si>
    <t>CS.IFACE.EMPTY</t>
  </si>
  <si>
    <t>Empty interface</t>
  </si>
  <si>
    <t>CS.INFORMATION_EXPOSURE.ALL</t>
  </si>
  <si>
    <t>Potential information exposure</t>
  </si>
  <si>
    <t>CS.INFORMATION_EXPOSURE.ATTR</t>
  </si>
  <si>
    <t>Potential security information exposure</t>
  </si>
  <si>
    <t>CS.LA_UNUSED</t>
  </si>
  <si>
    <t>Unused label</t>
  </si>
  <si>
    <t>CS.LOOP.STR.CONCAT</t>
  </si>
  <si>
    <t>String concatenation in a loop</t>
  </si>
  <si>
    <t>CS.LV_UNUSED.GEN</t>
  </si>
  <si>
    <t>Unused local variable</t>
  </si>
  <si>
    <t>CS.MAGIC.CHAR</t>
  </si>
  <si>
    <t>Magic number used: char</t>
  </si>
  <si>
    <t>CS.MAGIC.NUMBER</t>
  </si>
  <si>
    <t>Magic number used: number</t>
  </si>
  <si>
    <t>CS.MAGIC.STRING</t>
  </si>
  <si>
    <t>Magic number used: string</t>
  </si>
  <si>
    <t>CS.MEMB.NOT_SERIALIZABLE</t>
  </si>
  <si>
    <t>Ensure entire graph of object can be serialized</t>
  </si>
  <si>
    <t>CS.METHOD.EMPTY</t>
  </si>
  <si>
    <t>Avoid empty methods</t>
  </si>
  <si>
    <t>CS.METHOD.NEW</t>
  </si>
  <si>
    <t>Avoid use of new keyword for hiding methods</t>
  </si>
  <si>
    <t>CS.METHOD.RETURN.REF_MEMBER</t>
  </si>
  <si>
    <t>Member variable with reference type returned in method</t>
  </si>
  <si>
    <t>CS.METHOD.STRUCT.NO_REF_OUT</t>
  </si>
  <si>
    <t>Method parameter with struct type has no ref or out specifier</t>
  </si>
  <si>
    <t>CS.METHOD.UNUSED_PRIVATE</t>
  </si>
  <si>
    <t>Avoid unused private methods</t>
  </si>
  <si>
    <t>CS.NPS</t>
  </si>
  <si>
    <t>No permissions set for resource before accessing it</t>
  </si>
  <si>
    <t>CS.NRE.CHECK.CALL.MIGHT</t>
  </si>
  <si>
    <t>Reference may be passed to function that can dereference it after it was positively checked for null</t>
  </si>
  <si>
    <t>CS.NRE.CHECK.CALL.MUST</t>
  </si>
  <si>
    <t>Reference will be passed to function that may dereference it after it was positively checked for null</t>
  </si>
  <si>
    <t>CS.NRE.CHECK.MIGHT</t>
  </si>
  <si>
    <t>Reference may be dereferenced after it was positively checked for null</t>
  </si>
  <si>
    <t>CS.NRE.CHECK.MUST</t>
  </si>
  <si>
    <t>Reference will be dereferenced after it was positively checked for null</t>
  </si>
  <si>
    <t>CS.NRE.CONST.CALL</t>
  </si>
  <si>
    <t>Constant null is passed to function that can dereference it</t>
  </si>
  <si>
    <t>CS.NRE.CONST.DEREF</t>
  </si>
  <si>
    <t>Constant null is dereferenced</t>
  </si>
  <si>
    <t>CS.NRE.FUNC.CALL.MIGHT</t>
  </si>
  <si>
    <t>Result of function that may return null may be passed to another function that may dereference it</t>
  </si>
  <si>
    <t>CS.NRE.FUNC.CALL.MUST</t>
  </si>
  <si>
    <t>Result of function that may return null will be passed to another function that may dereference it</t>
  </si>
  <si>
    <t>CS.NRE.FUNC.MIGHT</t>
  </si>
  <si>
    <t>Result of function that can return null may be dereferenced</t>
  </si>
  <si>
    <t>CS.NRE.FUNC.MUST</t>
  </si>
  <si>
    <t>Result of function that may return null will be dereferenced</t>
  </si>
  <si>
    <t>CS.NRE.GEN.CALL.MIGHT</t>
  </si>
  <si>
    <t>Null reference may be passed to function that may dereference it</t>
  </si>
  <si>
    <t>CS.NRE.GEN.CALL.MUST</t>
  </si>
  <si>
    <t>Null reference will be passed to function that may dereference it</t>
  </si>
  <si>
    <t>CS.NRE.GEN.MIGHT</t>
  </si>
  <si>
    <t>Null reference may be dereferenced</t>
  </si>
  <si>
    <t>CS.NRE.GEN.MUST</t>
  </si>
  <si>
    <t>Null reference will be dereferenced</t>
  </si>
  <si>
    <t>CS.OVRD.EQUALS</t>
  </si>
  <si>
    <t>Overriding 'Equals' operator on a reference type</t>
  </si>
  <si>
    <t>CS.PROP.LOCK</t>
  </si>
  <si>
    <t>Lock both when either set or get is locked for a property</t>
  </si>
  <si>
    <t>CS.RCA</t>
  </si>
  <si>
    <t>Risky cryptographic algorithm used</t>
  </si>
  <si>
    <t>CS.RESOURCE.AUTOBOXING</t>
  </si>
  <si>
    <t>Autoboxing during operation inside a loop</t>
  </si>
  <si>
    <t>CS.RESOURCE.LOOP</t>
  </si>
  <si>
    <t>Object Allocation inside a loop</t>
  </si>
  <si>
    <t>CS.RESOURCE.UNBOXING</t>
  </si>
  <si>
    <t>Unboxing during operation inside a loop</t>
  </si>
  <si>
    <t>CS.RLK</t>
  </si>
  <si>
    <t>Resource leak</t>
  </si>
  <si>
    <t>CS.RNRE</t>
  </si>
  <si>
    <t>Suspicious dereference before null check</t>
  </si>
  <si>
    <t>CS.SQL.INJECT.LOCAL</t>
  </si>
  <si>
    <t>SQL Injection</t>
  </si>
  <si>
    <t>CS.STMT.CONTROL.EMPTY</t>
  </si>
  <si>
    <t>Avoid control statements with empty bodies</t>
  </si>
  <si>
    <t>CS.STMT.DO.BLOCK</t>
  </si>
  <si>
    <t>Body for do statement should be a block</t>
  </si>
  <si>
    <t>CS.STMT.FOR.BLOCK</t>
  </si>
  <si>
    <t>Body for for statement should be a block</t>
  </si>
  <si>
    <t>CS.STMT.IFELSE.BLOCK</t>
  </si>
  <si>
    <t>Body for If/Else statement should be a block</t>
  </si>
  <si>
    <t>CS.STMT.WHILE.BLOCK</t>
  </si>
  <si>
    <t>Body for while statement should be a block</t>
  </si>
  <si>
    <t>CS.SV.CRITICAL_CONST</t>
  </si>
  <si>
    <t>Security critical constants should be transparent</t>
  </si>
  <si>
    <t>CS.SV.CRITICAL_LVL</t>
  </si>
  <si>
    <t>Types must be at least as critical as their base types and interfaces</t>
  </si>
  <si>
    <t>CS.SV.EXPOSED_FIELD</t>
  </si>
  <si>
    <t>Secured types should not expose fields</t>
  </si>
  <si>
    <t>CS.SV.HIDDEN_FORM</t>
  </si>
  <si>
    <t>Avoid using hidden form fields to store content with potential security impact</t>
  </si>
  <si>
    <t>CS.SV.LINK_DEMAND.INHERITANCE</t>
  </si>
  <si>
    <t>Type link demands require inheritance demands</t>
  </si>
  <si>
    <t>CS.SV.LINK_DEMAND.LEVEL2</t>
  </si>
  <si>
    <t>Level 2 assemblies should not contain LinkDemands</t>
  </si>
  <si>
    <t>CS.SV.LINK_DEMAND.TRANSP</t>
  </si>
  <si>
    <t>Transparent code should not be protected with LinkDemands</t>
  </si>
  <si>
    <t>CS.SV.SER_CTOR</t>
  </si>
  <si>
    <t>Secure serialization constructors</t>
  </si>
  <si>
    <t>CS.SV.SQL_QUERY</t>
  </si>
  <si>
    <t>Review SQL queries for security vulnerabilities</t>
  </si>
  <si>
    <t>CS.SV.TAINTED.ALLOC_SIZE</t>
  </si>
  <si>
    <t>Use of Unvalidated Integer in Memory Allocation</t>
  </si>
  <si>
    <t>CS.SV.TAINTED.BINOP</t>
  </si>
  <si>
    <t>Use of Unvalidated Integer in Binary Operation</t>
  </si>
  <si>
    <t>CS.SV.TAINTED.CALL.BINOP</t>
  </si>
  <si>
    <t>CS.SV.TAINTED.CALL.GLOBAL</t>
  </si>
  <si>
    <t>Use of Unvalidated Integer in an Assignment Operation</t>
  </si>
  <si>
    <t>CS.SV.TAINTED.CALL.INDEX_ACCESS</t>
  </si>
  <si>
    <t>Use of Unvalidated Integer as Array Index by Function Call</t>
  </si>
  <si>
    <t>CS.SV.TAINTED.CALL.LOOP_BOUND</t>
  </si>
  <si>
    <t>Use of Unvalidated Integer in Loop Condition through a Function Call</t>
  </si>
  <si>
    <t>CS.SV.TAINTED.CALL.LOOP_BOUND.RESOURCE</t>
  </si>
  <si>
    <t>Resource Allocation in a Loop Controlled by Tainted Data through a Function Call</t>
  </si>
  <si>
    <t>CS.SV.TAINTED.DESERIALIZATION</t>
  </si>
  <si>
    <t>Use of Unvalidated Integer during deserialization in object creation</t>
  </si>
  <si>
    <t>CS.SV.TAINTED.FMTSTR</t>
  </si>
  <si>
    <t>Use of Unvalidated Data in a Format String</t>
  </si>
  <si>
    <t>CS.SV.TAINTED.GLOBAL</t>
  </si>
  <si>
    <t>CS.SV.TAINTED.INDEX_ACCESS</t>
  </si>
  <si>
    <t>Use of Unvalidated Integer as Array Index</t>
  </si>
  <si>
    <t>CS.SV.TAINTED.INJECTION</t>
  </si>
  <si>
    <t>Command Injection IN C#</t>
  </si>
  <si>
    <t>CS.SV.TAINTED.LOOP_BOUND</t>
  </si>
  <si>
    <t>Use of Unvalidated Integer in Loop Condition</t>
  </si>
  <si>
    <t>CS.SV.TAINTED.LOOP_BOUND.RESOURCE</t>
  </si>
  <si>
    <t>Resource Allocation in a Loop Controlled by Tainted Data</t>
  </si>
  <si>
    <t>CS.SV.TAINTED.PATH_TRAVERSAL</t>
  </si>
  <si>
    <t>Use of Unvalidated Data in a Path Traversal</t>
  </si>
  <si>
    <t>CS.SV.TRANSP.ASSEMBLY_LOAD</t>
  </si>
  <si>
    <t>Transparent code should not load assemblies from byte arrays</t>
  </si>
  <si>
    <t>CS.SV.TRANSP.ASSERT</t>
  </si>
  <si>
    <t>Transparent methods may not use security asserts</t>
  </si>
  <si>
    <t>CS.SV.TRANSP.CONFLICT</t>
  </si>
  <si>
    <t>Members should not have conflicting transparency annotations</t>
  </si>
  <si>
    <t>CS.SV.TRANSP.HPCE</t>
  </si>
  <si>
    <t>Transparent methods may not use the HandleProcessCorruptingExceptions attribute</t>
  </si>
  <si>
    <t>CS.SV.TRANSP.SEC_DMD</t>
  </si>
  <si>
    <t>Transparent methods should not use security demands</t>
  </si>
  <si>
    <t>CS.SV.TRANSP.SUCSA</t>
  </si>
  <si>
    <t>Transparent methods should not be decorated with the SuppressUnmanagedCodeSecurityAttribute</t>
  </si>
  <si>
    <t>CS.SV.TYPE_EQVL</t>
  </si>
  <si>
    <t>Security critical types may not participate in type equivalence</t>
  </si>
  <si>
    <t>CS.SV.USAGERULES.PERMISSIONS</t>
  </si>
  <si>
    <t>Use of Privilege Elevation</t>
  </si>
  <si>
    <t>CS.SWITCH.DEFAULT.POSITION</t>
  </si>
  <si>
    <t>Default label does not appear as the first or the last label in switch statement</t>
  </si>
  <si>
    <t>CS.SWITCH.NODEFAULT</t>
  </si>
  <si>
    <t>Provide 'default:' for each 'switch' statement</t>
  </si>
  <si>
    <t>CS.UNCHECKED.CAST</t>
  </si>
  <si>
    <t>Object with type 'Object' is incorrectly cast to another object</t>
  </si>
  <si>
    <t>CS.UNCHECKED.LOOPITER.CAST</t>
  </si>
  <si>
    <t>Object with type 'Object' is incorrectly cast to another object in a loop</t>
  </si>
  <si>
    <t>CS.UNINIT.LOCAL_VAR</t>
  </si>
  <si>
    <t>Uninitialized local variable</t>
  </si>
  <si>
    <t>CS.UNINIT.LOOP_COUNTER</t>
  </si>
  <si>
    <t>Uninitialized loop counter in for statement</t>
  </si>
  <si>
    <t>CS.WRONG.CAST</t>
  </si>
  <si>
    <t>Object is incorrectly cast to another object</t>
  </si>
  <si>
    <t>CS.WRONG.CAST.MIGHT</t>
  </si>
  <si>
    <t>Object may be incorrectly cast to another object</t>
  </si>
  <si>
    <t>CS.WRONGSIG.CMPTO</t>
  </si>
  <si>
    <t>Wrong signature of 'CompareTo' method</t>
  </si>
  <si>
    <t>CS.WRONGUSE.REFEQ</t>
  </si>
  <si>
    <t>Improper usage of Object.ReferenceEquals</t>
  </si>
  <si>
    <t>CWARN.ALIGNMENT</t>
  </si>
  <si>
    <t>Incorrect pointer scaling is used</t>
  </si>
  <si>
    <t>CWARN.BAD.PTR.ARITH</t>
  </si>
  <si>
    <t>Bad pointer arithmetic</t>
  </si>
  <si>
    <t>CWARN.BITOP.SIZE</t>
  </si>
  <si>
    <t>Operands of different size in bitwise operation</t>
  </si>
  <si>
    <t>CWARN.BOOLOP.INC</t>
  </si>
  <si>
    <t>A boolean is incremented or decremented</t>
  </si>
  <si>
    <t>CWARN.CAST.VIRTUAL_INHERITANCE</t>
  </si>
  <si>
    <t>C-style cast of pointer to object with virtual methods to pointer to its derived class</t>
  </si>
  <si>
    <t>CWARN.CMPCHR.EOF</t>
  </si>
  <si>
    <t>A 'char' expression compared with EOF constant</t>
  </si>
  <si>
    <t>CWARN.CONSTCOND.DO</t>
  </si>
  <si>
    <t>'do' controlling expression is constant</t>
  </si>
  <si>
    <t>CWARN.CONSTCOND.IF</t>
  </si>
  <si>
    <t>'if' controlling expression is constant</t>
  </si>
  <si>
    <t>CWARN.CONSTCOND.SWITCH</t>
  </si>
  <si>
    <t>CWARN.CONSTCOND.TERNARY</t>
  </si>
  <si>
    <t>Controlling condition in conditional expression is constant</t>
  </si>
  <si>
    <t>CWARN.CONSTCOND.WHILE</t>
  </si>
  <si>
    <t>'while' controlling expression is constant</t>
  </si>
  <si>
    <t>CWARN.COPY.NOASSIGN</t>
  </si>
  <si>
    <t>Class defines copy constructor, but no assignment operator</t>
  </si>
  <si>
    <t>CWARN.DTOR.NONVIRT.DELETE</t>
  </si>
  <si>
    <t>Delete expression for an object of a class with virtual methods and no virtual destructor</t>
  </si>
  <si>
    <t>CWARN.DTOR.NONVIRT.NOTEMPTY</t>
  </si>
  <si>
    <t>Class has virtual functions inherited from a base class, but its destructor is not virtual and not empty</t>
  </si>
  <si>
    <t>CWARN.DTOR.VOIDPTR</t>
  </si>
  <si>
    <t>Delete expression with an object of type pointer to void</t>
  </si>
  <si>
    <t>CWARN.EMPTY.LABEL</t>
  </si>
  <si>
    <t>Empty label statement</t>
  </si>
  <si>
    <t>CWARN.EMPTY.TYPEDEF</t>
  </si>
  <si>
    <t>Missing typedef name</t>
  </si>
  <si>
    <t>CWARN.FUNCADDR</t>
  </si>
  <si>
    <t>Function address is used instead of a call to this function</t>
  </si>
  <si>
    <t>CWARN.HIDDEN.PARAM</t>
  </si>
  <si>
    <t>Parameter hidden by local variable</t>
  </si>
  <si>
    <t>CWARN.IMPLICITINT</t>
  </si>
  <si>
    <t>Anachronistic 'implicit int'</t>
  </si>
  <si>
    <t>CWARN.INCL.ABSOLUTE</t>
  </si>
  <si>
    <t>Absolute path is used in include directive</t>
  </si>
  <si>
    <t>Source file does not include its interface header</t>
  </si>
  <si>
    <t>CWARN.INLINE.NONFUNC</t>
  </si>
  <si>
    <t>'inline' used with non-function</t>
  </si>
  <si>
    <t>CWARN.MEM.NONPOD</t>
  </si>
  <si>
    <t>Memory manipulation routine applied to a non-POD object</t>
  </si>
  <si>
    <t>CWARN.MEMBER.INIT.ORDER</t>
  </si>
  <si>
    <t>Members of the initialization list are not listed in the order in which they are declared in the class</t>
  </si>
  <si>
    <t>CWARN.MEMSET.SIZEOF.PTR</t>
  </si>
  <si>
    <t>Memset-like function is called for 'sizeof' applied to pointer</t>
  </si>
  <si>
    <t>CWARN.MOVE.CONST</t>
  </si>
  <si>
    <t>Const value used as argument for std::move</t>
  </si>
  <si>
    <t>CWARN.NOEFFECT.OUTOFRANGE</t>
  </si>
  <si>
    <t>Value outside of range</t>
  </si>
  <si>
    <t>CWARN.NOEFFECT.SELF_ASSIGN</t>
  </si>
  <si>
    <t>A variable is assigned to self</t>
  </si>
  <si>
    <t>CWARN.NOEFFECT.UCMP.GE</t>
  </si>
  <si>
    <t>Comparison of unsigned value against 0 is always true</t>
  </si>
  <si>
    <t>CWARN.NOEFFECT.UCMP.GE.MACRO</t>
  </si>
  <si>
    <t>Comparison of unsigned value against 0 within a macro is always true</t>
  </si>
  <si>
    <t>CWARN.NOEFFECT.UCMP.LT</t>
  </si>
  <si>
    <t>Comparison of unsigned value against 0 is always false</t>
  </si>
  <si>
    <t>CWARN.NOEFFECT.UCMP.LT.MACRO</t>
  </si>
  <si>
    <t>Comparison of unsigned value against 0 within a macro is always false</t>
  </si>
  <si>
    <t>CWARN.NULLCHECK.FUNCNAME</t>
  </si>
  <si>
    <t>Function address was directly compared against 0</t>
  </si>
  <si>
    <t>CWARN.OVERRIDE.CONST</t>
  </si>
  <si>
    <t>Function overriding fails due to mismatch of 'const' qualifiers</t>
  </si>
  <si>
    <t>CWARN.PACKED.TYPEDEF</t>
  </si>
  <si>
    <t>'packed' attribute ignored in typedef</t>
  </si>
  <si>
    <t>CWARN.PASSBYVALUE.ARG</t>
  </si>
  <si>
    <t>Function argument passed by value is too large</t>
  </si>
  <si>
    <t>CWARN.PASSBYVALUE.EXC</t>
  </si>
  <si>
    <t>Exception object passed by value is too large</t>
  </si>
  <si>
    <t>CWARN.RET.MAIN</t>
  </si>
  <si>
    <t>Bad return type of main</t>
  </si>
  <si>
    <t>CWARN.SIGNEDBIT</t>
  </si>
  <si>
    <t>Signed one bit field</t>
  </si>
  <si>
    <t>CXX.BSTR.LITERAL</t>
  </si>
  <si>
    <t>Do not pass string literal or casted CString to COM function expecting BSTR parameter</t>
  </si>
  <si>
    <t>CXX.CWARN.DTOR.NONVIRT</t>
  </si>
  <si>
    <t>Destructors should be declared as virtual</t>
  </si>
  <si>
    <t>CXX.CWARN.HARDCODED_LOOP_BOUND</t>
  </si>
  <si>
    <t>Hard-coded loop used for array index</t>
  </si>
  <si>
    <t>CXX.CWARN.ITER.EXTERN</t>
  </si>
  <si>
    <t>Externally declared loop iterator variables are forbidden</t>
  </si>
  <si>
    <t>CXX.CWINAPP.INIT</t>
  </si>
  <si>
    <t>Incorrect or missing InitInstance override for class derived from CWinApp</t>
  </si>
  <si>
    <t>CXX.FUNC.CSTRING.FORMAT</t>
  </si>
  <si>
    <t>CString cannot call CString.Format() on itself</t>
  </si>
  <si>
    <t>CXX.FUNC.MEMSET.BUILTIN</t>
  </si>
  <si>
    <t>Calls to memset must not pass a reference to a structure containing non-builtin types</t>
  </si>
  <si>
    <t>CXX.FUNC.T2OLE.LOOP</t>
  </si>
  <si>
    <t>Do not call T2OLE or OLE2CT within a loop</t>
  </si>
  <si>
    <t>CXX.FUNC.T2OLE.RETURN</t>
  </si>
  <si>
    <t>Do not call T2OLE or OLE2CT within a return statement</t>
  </si>
  <si>
    <t>DBZ.CONST</t>
  </si>
  <si>
    <t>DBZ.CONST.CALL</t>
  </si>
  <si>
    <t>DBZ.GENERAL</t>
  </si>
  <si>
    <t>DBZ.ITERATOR</t>
  </si>
  <si>
    <t>ECC.EMPTY</t>
  </si>
  <si>
    <t>Statement has no effect</t>
  </si>
  <si>
    <t>EHC.EQ</t>
  </si>
  <si>
    <t>Class defines hashCode() but does not define equals()</t>
  </si>
  <si>
    <t>EHC.HASH</t>
  </si>
  <si>
    <t>Class defines equals() but does not define hashCode()</t>
  </si>
  <si>
    <t>ESCMP.EMPTYSTR</t>
  </si>
  <si>
    <t>Inefficient empty string comparison</t>
  </si>
  <si>
    <t>EXC.BROADTHROWS</t>
  </si>
  <si>
    <t>Method has an overly broad throws declaration</t>
  </si>
  <si>
    <t>FIN.EMPTY</t>
  </si>
  <si>
    <t>Empty finalize() method should be removed</t>
  </si>
  <si>
    <t>FIN.NOSUPER</t>
  </si>
  <si>
    <t>Implementation of the finalize() method should call super.finalize()</t>
  </si>
  <si>
    <t>Freeing Mismatched Memory - possible</t>
  </si>
  <si>
    <t>Freeing Mismatched Memory</t>
  </si>
  <si>
    <t>Freeing Non-Heap Memory - possible</t>
  </si>
  <si>
    <t>Freeing Non-Heap Memory</t>
  </si>
  <si>
    <t>Inconsistent Freeing of Memory</t>
  </si>
  <si>
    <t>FSC.PRT</t>
  </si>
  <si>
    <t>Class and its superclass have protected fields with the same name</t>
  </si>
  <si>
    <t>FSC.PRV</t>
  </si>
  <si>
    <t>Class and its superclass have private fields with the same name</t>
  </si>
  <si>
    <t>FSC.PUB</t>
  </si>
  <si>
    <t>Class and its superclass have public fields with the same name</t>
  </si>
  <si>
    <t>Freeing Unallocated Memory - possible</t>
  </si>
  <si>
    <t>Freeing Unallocated Memory</t>
  </si>
  <si>
    <t>Non-void function does not return value</t>
  </si>
  <si>
    <t>Non-void function implicitly returning int does not return value</t>
  </si>
  <si>
    <t>HCC</t>
  </si>
  <si>
    <t>Use of hardcoded credentials</t>
  </si>
  <si>
    <t>HCC.PWD</t>
  </si>
  <si>
    <t>Use of a hardcoded password</t>
  </si>
  <si>
    <t>HCC.USER</t>
  </si>
  <si>
    <t>Use of a hardcoded user name</t>
  </si>
  <si>
    <t>INCONSISTENT.LABEL</t>
  </si>
  <si>
    <t>Inconsistent Case Labels</t>
  </si>
  <si>
    <t>INCORRECT.ALLOC_SIZE</t>
  </si>
  <si>
    <t>Incorrect Allocation Size</t>
  </si>
  <si>
    <t>INFINITE_LOOP.GLOBAL</t>
  </si>
  <si>
    <t>Infinite loop</t>
  </si>
  <si>
    <t>INFINITE_LOOP.LOCAL</t>
  </si>
  <si>
    <t>INFINITE_LOOP.MACRO</t>
  </si>
  <si>
    <t>Invariant expression in a condition</t>
  </si>
  <si>
    <t>ITER.CONTAINER.MODIFIED</t>
  </si>
  <si>
    <t>Use of invalid iterator</t>
  </si>
  <si>
    <t>ITER.END.DEREF.MIGHT</t>
  </si>
  <si>
    <t>Dereference of 'end' iterator</t>
  </si>
  <si>
    <t>ITER.END.DEREF.MUST</t>
  </si>
  <si>
    <t>ITER.INAPPROPRIATE</t>
  </si>
  <si>
    <t>Use of iterator with inappropriate container object</t>
  </si>
  <si>
    <t>ITER.INAPPROPRIATE.MULTIPLE</t>
  </si>
  <si>
    <t>JAVA.DANGEROUS_CAST</t>
  </si>
  <si>
    <t>Dangerous cast used</t>
  </si>
  <si>
    <t>JAVA.HIDDEN.MEMBER.LOCAL</t>
  </si>
  <si>
    <t>Class data member is hidden by a local variable</t>
  </si>
  <si>
    <t>JAVA.HIDDEN.PARAM.LOCAL</t>
  </si>
  <si>
    <t>Class data member is hidden by a method parameter</t>
  </si>
  <si>
    <t>JAVA.MAGIC.CHAR</t>
  </si>
  <si>
    <t>Magic number used:Char</t>
  </si>
  <si>
    <t>JAVA.MAGIC.NUMBER</t>
  </si>
  <si>
    <t>Magic number used:Number</t>
  </si>
  <si>
    <t>JAVA.MAGIC.STRING</t>
  </si>
  <si>
    <t>Magic number used:String</t>
  </si>
  <si>
    <t>JAVA.STMT.DO.BLOCK</t>
  </si>
  <si>
    <t>JAVA.STMT.FOR.BLOCK</t>
  </si>
  <si>
    <t>JAVA.STMT.IFELSE.BLOCK</t>
  </si>
  <si>
    <t>JAVA.STMT.WHILE.BLOCK</t>
  </si>
  <si>
    <t>JAVA.SWITCH.DEFAULT.POSITION</t>
  </si>
  <si>
    <t>default label not appear in the first or the last in switch statement</t>
  </si>
  <si>
    <t>JAVA.SWITCH.NOBREAK</t>
  </si>
  <si>
    <t>Switch case phrase should be ends with break</t>
  </si>
  <si>
    <t>JAVA.SWITCH.NODEFAULT</t>
  </si>
  <si>
    <t>No default label in switch statement</t>
  </si>
  <si>
    <t>JAVA.UNINIT.LOCAL_VAR</t>
  </si>
  <si>
    <t>Unitinalized local variable</t>
  </si>
  <si>
    <t>JAVA.UNINIT.LOOP_COUNTER</t>
  </si>
  <si>
    <t>JD.BITCMP</t>
  </si>
  <si>
    <t>Using non short-circuit logic in expression</t>
  </si>
  <si>
    <t>JD.BITMASK</t>
  </si>
  <si>
    <t>Possible error in bit operations</t>
  </si>
  <si>
    <t>JD.BITR</t>
  </si>
  <si>
    <t>Redundant expression</t>
  </si>
  <si>
    <t>JD.CALL.WRONGSTATIC</t>
  </si>
  <si>
    <t>Call to static method via instance reference</t>
  </si>
  <si>
    <t>JD.CAST.COL.MIGHT</t>
  </si>
  <si>
    <t>Possible ClassCastException for collection</t>
  </si>
  <si>
    <t>JD.CAST.COL.MUST</t>
  </si>
  <si>
    <t>ClassCastException for collection</t>
  </si>
  <si>
    <t>JD.CAST.DOWNCAST</t>
  </si>
  <si>
    <t>Possible ClassCastException for subtypes</t>
  </si>
  <si>
    <t>JD.CAST.KEY</t>
  </si>
  <si>
    <t>Suspicious key type used to retrieve an element from collection</t>
  </si>
  <si>
    <t>JD.CAST.SUSP.MIGHT</t>
  </si>
  <si>
    <t>Possible ClassCastException for different types</t>
  </si>
  <si>
    <t>JD.CAST.SUSP.MUST</t>
  </si>
  <si>
    <t>ClassCastException for different types</t>
  </si>
  <si>
    <t>JD.CAST.UPCAST</t>
  </si>
  <si>
    <t>JD.CATCH</t>
  </si>
  <si>
    <t>Catching runtime exception</t>
  </si>
  <si>
    <t>JD.CONCUR</t>
  </si>
  <si>
    <t>Possible ConcurrentModificationException</t>
  </si>
  <si>
    <t>JD.EQ.ARR</t>
  </si>
  <si>
    <t>Calling 'equals' on array</t>
  </si>
  <si>
    <t>JD.EQ.UTA</t>
  </si>
  <si>
    <t>Calling 'equals' on incompatible types (array and non-array)</t>
  </si>
  <si>
    <t>JD.EQ.UTC</t>
  </si>
  <si>
    <t>Calling equals on incompatible types</t>
  </si>
  <si>
    <t>JD.FINRET</t>
  </si>
  <si>
    <t>Return inside finally</t>
  </si>
  <si>
    <t>JD.IFBAD</t>
  </si>
  <si>
    <t>Redundant 'if' statement</t>
  </si>
  <si>
    <t>JD.IFEMPTY</t>
  </si>
  <si>
    <t>Redundant 'if' statement. Unfinished code</t>
  </si>
  <si>
    <t>JD.INF.ALLOC</t>
  </si>
  <si>
    <t>Allocation within infinite loop</t>
  </si>
  <si>
    <t>JD.INF.AREC</t>
  </si>
  <si>
    <t>Apparent infinite recursion</t>
  </si>
  <si>
    <t>JD.INST.TRUE</t>
  </si>
  <si>
    <t xml:space="preserve"> Redundant 'instanceof' condition</t>
  </si>
  <si>
    <t>JD.LIST.ADD</t>
  </si>
  <si>
    <t>Container added to itself</t>
  </si>
  <si>
    <t>JD.LOCK</t>
  </si>
  <si>
    <t>Lock without unlock</t>
  </si>
  <si>
    <t>JD.LOCK.NOTIFY</t>
  </si>
  <si>
    <t>Method 'notify' called with locks held</t>
  </si>
  <si>
    <t>JD.LOCK.SLEEP</t>
  </si>
  <si>
    <t>Method 'sleep' called with locks held</t>
  </si>
  <si>
    <t>JD.LOCK.WAIT</t>
  </si>
  <si>
    <t>Method 'wait' called with locks held</t>
  </si>
  <si>
    <t>JD.METHOD.CBS</t>
  </si>
  <si>
    <t>Method can be static</t>
  </si>
  <si>
    <t>JD.NEXT</t>
  </si>
  <si>
    <t>Possible 'NoSuchElementException'</t>
  </si>
  <si>
    <t>JD.OVER</t>
  </si>
  <si>
    <t>Mismatched override</t>
  </si>
  <si>
    <t>JD.RC.EXPR.CHECK</t>
  </si>
  <si>
    <t>Test expression is always true</t>
  </si>
  <si>
    <t>JD.RC.EXPR.DEAD</t>
  </si>
  <si>
    <t>Redundant check causing dead code</t>
  </si>
  <si>
    <t>JD.ST.POS</t>
  </si>
  <si>
    <t>Incorrect check for method 'indexOf'</t>
  </si>
  <si>
    <t>JD.SYNC.DCL</t>
  </si>
  <si>
    <t>Double-checked locking</t>
  </si>
  <si>
    <t>JD.SYNC.IN</t>
  </si>
  <si>
    <t>Inconsistent synchronization</t>
  </si>
  <si>
    <t>JD.THREAD.RUN</t>
  </si>
  <si>
    <t>Explicit call to a 'Thread.run' method</t>
  </si>
  <si>
    <t>JD.UMC.FINALIZE</t>
  </si>
  <si>
    <t>Explicit call to method 'Object.finalize'</t>
  </si>
  <si>
    <t>JD.UMC.RUNFIN</t>
  </si>
  <si>
    <t>runFinalizersOnExit() is called</t>
  </si>
  <si>
    <t>JD.UMC.WAIT</t>
  </si>
  <si>
    <t>Wait called on incorrect object</t>
  </si>
  <si>
    <t>JD.UN.MET</t>
  </si>
  <si>
    <t>Unused non-private method</t>
  </si>
  <si>
    <t>JD.UN.PMET</t>
  </si>
  <si>
    <t>Unused private method</t>
  </si>
  <si>
    <t>JD.UNCAUGHT</t>
  </si>
  <si>
    <t>Uncaught exception</t>
  </si>
  <si>
    <t>JD.UNMOD</t>
  </si>
  <si>
    <t>Modification of unmodifiable collection</t>
  </si>
  <si>
    <t>JD.VNU</t>
  </si>
  <si>
    <t>Variable was never read after being assigned</t>
  </si>
  <si>
    <t>JD.VNU.NULL</t>
  </si>
  <si>
    <t>Variable was never read after null being assigned</t>
  </si>
  <si>
    <t>Label unused</t>
  </si>
  <si>
    <t>Function returns address of local variable</t>
  </si>
  <si>
    <t>LS.CALL</t>
  </si>
  <si>
    <t>Suspicious use of non-localized string in GUI function</t>
  </si>
  <si>
    <t>LS.CALL.STRING</t>
  </si>
  <si>
    <t>Local variable unused</t>
  </si>
  <si>
    <t>METRICS.E.HIS_Metrics___Comment_density_COMF</t>
  </si>
  <si>
    <t>METRICS.E.HIS_Metrics___Language_scope_VOCF</t>
  </si>
  <si>
    <t>METRICS.E.HIS_Metrics___Number_of_calls_CALLS</t>
  </si>
  <si>
    <t>METRICS.E.HIS_Metrics___Number_of_instructions_per_func_STMT</t>
  </si>
  <si>
    <t>METRICS.E.HIS_Metrics___Number_of_return_points_RETURN</t>
  </si>
  <si>
    <t>METRICS.W.HIS_Metrics___Comment_density_COMF</t>
  </si>
  <si>
    <t>METRICS.W.HIS_Metrics___Cyclomatic_v_G_</t>
  </si>
  <si>
    <t>METRICS.W.HIS_Metrics___Language_scope_VOCF</t>
  </si>
  <si>
    <t>METRICS.W.HIS_Metrics___Max_nesting_level_LEVEL</t>
  </si>
  <si>
    <t>METRICS.W.HIS_Metrics___Number_of_calls_CALLS</t>
  </si>
  <si>
    <t>METRICS.W.HIS_Metrics___Number_of_instructions_per_func_STMT</t>
  </si>
  <si>
    <t>METRICS.W.HIS_Metrics___Number_of_parameters_PARAM</t>
  </si>
  <si>
    <t>METRICS.W.HIS_Metrics___Number_of_paths_PATH</t>
  </si>
  <si>
    <t>METRICS.W.HIS_Metrics___Number_of_return_points_RETURN</t>
  </si>
  <si>
    <t>MISRA.ADDR.REF.PARAM</t>
  </si>
  <si>
    <t>Function returns reference to parameter passed by reference</t>
  </si>
  <si>
    <t>MISRA.ADDR.REF.PARAM.PTR</t>
  </si>
  <si>
    <t>Function returns address of parameter passed by reference</t>
  </si>
  <si>
    <t>MISRA.ARRAY.ARG_SIZE</t>
  </si>
  <si>
    <t>Array argument should be appropriate size</t>
  </si>
  <si>
    <t>MISRA.ARRAY.ARG_SIZE.MIGHT</t>
  </si>
  <si>
    <t>Assembly language is not isolated.</t>
  </si>
  <si>
    <t>MISRA.ASSIGN.COND</t>
  </si>
  <si>
    <t>Assignment operator is used in a condition</t>
  </si>
  <si>
    <t>Object is assigned to an overlapping object</t>
  </si>
  <si>
    <t>MISRA.ASSIGN.SUBEXPR</t>
  </si>
  <si>
    <t>Assignment operator is used in a sub-expression outside a condition</t>
  </si>
  <si>
    <t>The result of an assignment operator is used</t>
  </si>
  <si>
    <t>MISRA.BASE.IDS.UNIQUE</t>
  </si>
  <si>
    <t>Member name is used twice in inheritance hierarchy</t>
  </si>
  <si>
    <t>MISRA.BASE.MANYDEFS</t>
  </si>
  <si>
    <t>Both overriding and overridden virtual functions have definitions</t>
  </si>
  <si>
    <t>MISRA.BASE.VIRTUAL.NOTVIRTUAL</t>
  </si>
  <si>
    <t>Base class is used as both virtual and not virtual in inheritance hierarchy</t>
  </si>
  <si>
    <t>MISRA.BIN_OP.OVERLOAD</t>
  </si>
  <si>
    <t>Comma, || or &amp;&amp; operator overloaded</t>
  </si>
  <si>
    <t>Length of a named signed bit-field is less than 2</t>
  </si>
  <si>
    <t>MISRA.BITFIELD.SIGNED.UNNAMED</t>
  </si>
  <si>
    <t>Length of an unnamed signed bit-field is less than 2</t>
  </si>
  <si>
    <t>Type of bit-field is not signed/unsigned integer</t>
  </si>
  <si>
    <t>MISRA.BITFIELD.TYPE.CPP</t>
  </si>
  <si>
    <t>Type of bit-field is neither bool, nor signed/unsigned integer</t>
  </si>
  <si>
    <t>MISRA.BITS.NOT_UNSIGNED</t>
  </si>
  <si>
    <t>Operand of bitwise operation is not unsigned integer</t>
  </si>
  <si>
    <t>MISRA.BITS.NOT_UNSIGNED.PREP</t>
  </si>
  <si>
    <t>MISRA.BITS.OPERAND</t>
  </si>
  <si>
    <t>Operands of bitwise operation have different underlying types</t>
  </si>
  <si>
    <t>Iteration statement has more than one break or goto for loop termination.</t>
  </si>
  <si>
    <t>Builtin numeric type is used</t>
  </si>
  <si>
    <t>MISRA.CAST.FLOAT</t>
  </si>
  <si>
    <t>Non-trivial float expression is cast to a wider type</t>
  </si>
  <si>
    <t>MISRA.CAST.FLOAT.WIDER</t>
  </si>
  <si>
    <t>Cast of floating point expression to a wider floating point type</t>
  </si>
  <si>
    <t>MISRA.CAST.FLOAT_INT</t>
  </si>
  <si>
    <t>Cast of floating point expression to integral type</t>
  </si>
  <si>
    <t>MISRA.CAST.FUNC_PTR</t>
  </si>
  <si>
    <t>Cast between a function pointer and a non-integral type</t>
  </si>
  <si>
    <t>Conversion performed between a pointer to a function and another incompatible type</t>
  </si>
  <si>
    <t>MISRA.CAST.FUNC_PTR.CPP</t>
  </si>
  <si>
    <t>Cast converts function pointer to other pointer type</t>
  </si>
  <si>
    <t>Conversion performed between a pointer to an incomplete type and a different type</t>
  </si>
  <si>
    <t>MISRA.CAST.INT</t>
  </si>
  <si>
    <t>Non-trivial integer expression is cast to a wider type, or type with a different signedness</t>
  </si>
  <si>
    <t>MISRA.CAST.INT.SIGN</t>
  </si>
  <si>
    <t>Non-trivial integral expression is cast to type with different signedness</t>
  </si>
  <si>
    <t>MISRA.CAST.INT.WIDER</t>
  </si>
  <si>
    <t>Cast of integral expression to a wider integral type</t>
  </si>
  <si>
    <t>MISRA.CAST.INT_FLOAT</t>
  </si>
  <si>
    <t>Cast of integral expression to floating point type</t>
  </si>
  <si>
    <t>MISRA.CAST.INT_TO_PTR</t>
  </si>
  <si>
    <t>Object with integer type or pointer to void cast to pointer type</t>
  </si>
  <si>
    <t>Conversion performed between a pointer to an object and an integer type</t>
  </si>
  <si>
    <t>A cast between a pointer to object and a non-integer arithmetic type</t>
  </si>
  <si>
    <t>Cast between a pointer to object type and a pointer to a different object type</t>
  </si>
  <si>
    <t>MISRA.CAST.POLY.TYPE</t>
  </si>
  <si>
    <t>Cast from a polymorphic base class to a derived class</t>
  </si>
  <si>
    <t>MISRA.CAST.PTR</t>
  </si>
  <si>
    <t>Cast between a pointer to object type and a different pointer to object type</t>
  </si>
  <si>
    <t>MISRA.CAST.PTR.UNRELATED</t>
  </si>
  <si>
    <t>Object of pointer type cast to unrelated type</t>
  </si>
  <si>
    <t>MISRA.CAST.PTR.VRCLASS</t>
  </si>
  <si>
    <t>A cast form pointer to a virtual base class to pointer to a derived class does not use 'dynamic_cast'</t>
  </si>
  <si>
    <t>MISRA.CAST.PTR_TO_INT</t>
  </si>
  <si>
    <t>Cast between a pointer and an integral type</t>
  </si>
  <si>
    <t>MISRA.CAST.UNSIGNED_BITS</t>
  </si>
  <si>
    <t>The result of bitwise operation on unsigned char or short is not cast back to original type</t>
  </si>
  <si>
    <t>Conversion performed from a pointer to void to a pointer to an object</t>
  </si>
  <si>
    <t>MISRA.CATCH.ALL</t>
  </si>
  <si>
    <t>No ellipsis exception handler in a try-catch block</t>
  </si>
  <si>
    <t>MISRA.CATCH.BY_VALUE</t>
  </si>
  <si>
    <t>Exception object of class type is caught by value</t>
  </si>
  <si>
    <t>MISRA.CATCH.NOALL</t>
  </si>
  <si>
    <t>Ellipsis exception handler is not the last one in a try-catch block</t>
  </si>
  <si>
    <t>MISRA.CATCH.WRONGORD</t>
  </si>
  <si>
    <t>Handler for a base exception class precedes to a handler for a derived exception class in a try-catch block</t>
  </si>
  <si>
    <t>MISRA.CHAR.DIGRAPH</t>
  </si>
  <si>
    <t>Digraph usage</t>
  </si>
  <si>
    <t>MISRA.CHAR.NOT_CHARACTER</t>
  </si>
  <si>
    <t>'char' is used for non-character value</t>
  </si>
  <si>
    <t>MISRA.CHAR.OPERAND</t>
  </si>
  <si>
    <t>Expression of type 'char' or 'wchar_t' is used as non-character operand</t>
  </si>
  <si>
    <t>Trigraph usage</t>
  </si>
  <si>
    <t>Comma operator is used</t>
  </si>
  <si>
    <t>Wrap-around in a condition</t>
  </si>
  <si>
    <t>MISRA.CONST.RET.NON_CONST</t>
  </si>
  <si>
    <t>Constant member function returns non-const pointer to member variable</t>
  </si>
  <si>
    <t>MISRA.CONTINUE</t>
  </si>
  <si>
    <t>Continue statement is used</t>
  </si>
  <si>
    <t>MISRA.CONTINUE.ILL</t>
  </si>
  <si>
    <t>Continue statement is used in an ill-formed for loop</t>
  </si>
  <si>
    <t>MISRA.CONV.FLOAT</t>
  </si>
  <si>
    <t>Implicit floating-point conversion</t>
  </si>
  <si>
    <t>MISRA.CONV.INT.SIGN</t>
  </si>
  <si>
    <t>Implicit integral conversion changes signedness</t>
  </si>
  <si>
    <t>MISRA.CONV.NUM.NARROWER</t>
  </si>
  <si>
    <t>Implicit numeric conversion to narrower type</t>
  </si>
  <si>
    <t>MISRA.COPY.CSTR.TMPL</t>
  </si>
  <si>
    <t>Class has a template constructor with a single generic parameter, but has no copy constructor defined</t>
  </si>
  <si>
    <t>MISRA.COPYASSIGN.ABSTRACT</t>
  </si>
  <si>
    <t>Copy assignment should be declared protected or private in an abstract class</t>
  </si>
  <si>
    <t>MISRA.COPYASSIGN.TMPL</t>
  </si>
  <si>
    <t>A copy ssignment operator should be defined when class has a template copy assignment operator with a single  generic parameter</t>
  </si>
  <si>
    <t>Identifier clashes with type name</t>
  </si>
  <si>
    <t>MISRA.CTOR.BASE</t>
  </si>
  <si>
    <t>Constructor does not explicitly call constructor of its base class</t>
  </si>
  <si>
    <t>MISRA.CTOR.DYNAMIC</t>
  </si>
  <si>
    <t>Object's dynamic type is used from the body of its constructor</t>
  </si>
  <si>
    <t>MISRA.CTOR.NOT_EXPLICIT</t>
  </si>
  <si>
    <t>Constructor with one argument of built-in type is not declared 'explicit'</t>
  </si>
  <si>
    <t>MISRA.CTOR.TRY.NON_STATIC</t>
  </si>
  <si>
    <t>Function try/catch block of constructor or destructor references non-static members</t>
  </si>
  <si>
    <t>MISRA.CVALUE.IMPL.CAST</t>
  </si>
  <si>
    <t>The value of an expression implicitly converted to a different type</t>
  </si>
  <si>
    <t>MISRA.CVALUE.IMPL.CAST.CPP</t>
  </si>
  <si>
    <t>MISRA.C_CAST</t>
  </si>
  <si>
    <t>C-style cast to non-void type</t>
  </si>
  <si>
    <t>Declaration of array with unknown size</t>
  </si>
  <si>
    <t>MISRA.DECL.EXCPT.SPEC</t>
  </si>
  <si>
    <t>Function is declared with different exception specifications</t>
  </si>
  <si>
    <t>Declaration of inline function without static storage class</t>
  </si>
  <si>
    <t>MISRA.DECL.FUNC_LOCAL</t>
  </si>
  <si>
    <t>Function is declared locally</t>
  </si>
  <si>
    <t>MISRA.DECL.MANY_DCLS</t>
  </si>
  <si>
    <t>More than one declarator in one declaration</t>
  </si>
  <si>
    <t>Declaration without a type</t>
  </si>
  <si>
    <t>MISRA.DEFINE.BADEXP</t>
  </si>
  <si>
    <t>Inappropriate macro expansion</t>
  </si>
  <si>
    <t>MISRA.DEFINE.BADEXP.CPP</t>
  </si>
  <si>
    <t>Inappropriate macro expansion in a C++ source</t>
  </si>
  <si>
    <t>MISRA.DEFINE.LONGNAME</t>
  </si>
  <si>
    <t>Macro name is too long</t>
  </si>
  <si>
    <t>MISRA.DEFINE.NOPARS</t>
  </si>
  <si>
    <t>Macro parameter with no parentheses</t>
  </si>
  <si>
    <t>MISRA.DEFINE.NOTGLOBAL</t>
  </si>
  <si>
    <t>Define not at the global level</t>
  </si>
  <si>
    <t>Identifier name is too long</t>
  </si>
  <si>
    <t># or ## operator in a macro definition</t>
  </si>
  <si>
    <t>MISRA.DEFINE.SHARP.MANY</t>
  </si>
  <si>
    <t>Several # or ## operators in a macro definition</t>
  </si>
  <si>
    <t>Unspecified order of evaluation of multiple '#' or '##'</t>
  </si>
  <si>
    <t>A macro parameter used as an operand to the '#' or '##' operators, which is itself subject to further macro replacement, shall only be used as an operand to these operators</t>
  </si>
  <si>
    <t>No macro with 'wcsftime' name shall be expanded</t>
  </si>
  <si>
    <t>Usage of a name from the standard library for naming a macro</t>
  </si>
  <si>
    <t>Usage of a reserved name for naming a macro</t>
  </si>
  <si>
    <t>MISRA.DERIVE.VIRTUAL</t>
  </si>
  <si>
    <t>Class is derived from virtual base</t>
  </si>
  <si>
    <t>MISRA.DTOR.DYNAMIC</t>
  </si>
  <si>
    <t>Object's dynamic type is used from the body of its destructor</t>
  </si>
  <si>
    <t>MISRA.DTOR.THROW</t>
  </si>
  <si>
    <t>Throw in destructor</t>
  </si>
  <si>
    <t>#elif condition is not 0 or 1</t>
  </si>
  <si>
    <t>MISRA.ELIF.DEFINED</t>
  </si>
  <si>
    <t>Incorrect 'defined' usage in #elif directive</t>
  </si>
  <si>
    <t>#elif in an improper file</t>
  </si>
  <si>
    <t>Undefined macros in #elif directive</t>
  </si>
  <si>
    <t>MISRA.ELIF.WRAPAROUND</t>
  </si>
  <si>
    <t>Wrap-around in #elif directive</t>
  </si>
  <si>
    <t>#else in an improper file</t>
  </si>
  <si>
    <t>#endif in an improper file</t>
  </si>
  <si>
    <t>Implicit enumerator value is not unique</t>
  </si>
  <si>
    <t>MISRA.ENUM.INIT</t>
  </si>
  <si>
    <t>Non-first enumerator is explicitly initialized, but not all elements are explicitly initialized.</t>
  </si>
  <si>
    <t>MISRA.ENUM.OPERAND</t>
  </si>
  <si>
    <t>Expression of enum type is used in arithmetic context</t>
  </si>
  <si>
    <t>Assignment to an object of a narrower essential type or a different essential type category</t>
  </si>
  <si>
    <t>The operands of an operator in which the usual arithmetic conversions are performed do not have the same essential type category</t>
  </si>
  <si>
    <t>The value of a composite expression is assigned to an object with a wider essential type</t>
  </si>
  <si>
    <t>The value of a composite expression is cast to a different essential type category</t>
  </si>
  <si>
    <t>The value of a composite expression is cast to a wider essential type</t>
  </si>
  <si>
    <t>A composite expression used as an operand of an operator in which the usual arithmetic conversions are performed has its other operand having a wider essential type</t>
  </si>
  <si>
    <t>The value of an expression is cast to an inappropriate essential type</t>
  </si>
  <si>
    <t>Inappropriate usage of Essentially Character type in an addition or subtraction operation</t>
  </si>
  <si>
    <t>Operand(s) to a binary operator have inappropriate essential type</t>
  </si>
  <si>
    <t>Index expression has inappropriate essential type</t>
  </si>
  <si>
    <t>First operand to a ternary operator has inappropriate essential type</t>
  </si>
  <si>
    <t>Operand to a unary operator has inappropriate essential type</t>
  </si>
  <si>
    <t>Directive-like tokens within a macro argument</t>
  </si>
  <si>
    <t>MISRA.EXPANSION.NARGS</t>
  </si>
  <si>
    <t>Missing macro argument</t>
  </si>
  <si>
    <t>MISRA.EXPANSION.UNSAFE</t>
  </si>
  <si>
    <t>Unsafe macro usage</t>
  </si>
  <si>
    <t>MISRA.EXPR.COND.NOT_BOOLEAN</t>
  </si>
  <si>
    <t>First operand of conditional expression is not a boolean expression</t>
  </si>
  <si>
    <t>The precedence of operators within expressions should be made explicit.</t>
  </si>
  <si>
    <t>MISRA.EXPR.PARENS.INSUFFICIENT</t>
  </si>
  <si>
    <t>Limited dependence required for operator precedence rules in expressions</t>
  </si>
  <si>
    <t>MISRA.EXPR.PARENS.REDUNDANT</t>
  </si>
  <si>
    <t>The operand of the sizeof operator should be parenthesized.</t>
  </si>
  <si>
    <t>The sizeof operator has an operand which is a function parameter declared as "array of type"</t>
  </si>
  <si>
    <t>MISRA.FIELD.BIT.ENUM</t>
  </si>
  <si>
    <t>Bit-field has enum type.</t>
  </si>
  <si>
    <t>Object is casted to a FILE pointer, and it shall not be dereferenced</t>
  </si>
  <si>
    <t>A pointer to a FILE object shall not be indirectly dereferenced by a system function</t>
  </si>
  <si>
    <t>A pointer to a FILE object (returned by function) shall not be dereferenced</t>
  </si>
  <si>
    <t>MISRA.FLOAT.BIT.REPR</t>
  </si>
  <si>
    <t>Use of bit manipulations of floating-point values which rely on storage layout</t>
  </si>
  <si>
    <t>MISRA.FLOAT_EQUAL</t>
  </si>
  <si>
    <t>Floating point expression is tested for equality</t>
  </si>
  <si>
    <t>MISRA.FOR.BODY.LOOP_CTR_MODIFIED</t>
  </si>
  <si>
    <t>The loop counter should not be modified in the loop body</t>
  </si>
  <si>
    <t>MISRA.FOR.BODY.LOOP_CTR_MODIFIED.MIGHT</t>
  </si>
  <si>
    <t>MISRA.FOR.COND</t>
  </si>
  <si>
    <t>For loop condition does not depend on loop counter</t>
  </si>
  <si>
    <t>MISRA.FOR.COND.CHANGE</t>
  </si>
  <si>
    <t>For loop counter is modified within the loop condition section</t>
  </si>
  <si>
    <t>MISRA.FOR.COND.COUNTER_UNUSED</t>
  </si>
  <si>
    <t>Loop second clause shall use the loop counter</t>
  </si>
  <si>
    <t>MISRA.FOR.COND.EQ</t>
  </si>
  <si>
    <t>++ or -- operations are not used to change loop counter, but condition tests loop counter for equality</t>
  </si>
  <si>
    <t>MISRA.FOR.COND.FLT</t>
  </si>
  <si>
    <t>Floating point object is used in the condition section of a 'for' loop</t>
  </si>
  <si>
    <t>MISRA.FOR.COND.INVALID_USE</t>
  </si>
  <si>
    <t>Loop second clause shall not used any object that is modified in the loop body</t>
  </si>
  <si>
    <t>MISRA.FOR.COND.INVALID_USE.MIGHT</t>
  </si>
  <si>
    <t>MISRA.FOR.COND.PURE</t>
  </si>
  <si>
    <t>Loop second clause shall be a single expression with no persistent side effects</t>
  </si>
  <si>
    <t>MISRA.FOR.COND.SINGLE_PURE</t>
  </si>
  <si>
    <t>For loop counter has a floating point type</t>
  </si>
  <si>
    <t>MISRA.FOR.COUNTER.MANY</t>
  </si>
  <si>
    <t>Many counters in a for loop</t>
  </si>
  <si>
    <t>MISRA.FOR.INCR</t>
  </si>
  <si>
    <t>For loop counter is modified in an inappropriate way</t>
  </si>
  <si>
    <t>MISRA.FOR.INCR.CHANGE</t>
  </si>
  <si>
    <t>For loop increment expression does not change loop counter</t>
  </si>
  <si>
    <t>MISRA.FOR.ITER_EXPR.INVALID_USE</t>
  </si>
  <si>
    <t>Loop third clause shall not used any object that is modified in the loop body</t>
  </si>
  <si>
    <t>MISRA.FOR.ITER_EXPR.INVALID_USE.MIGHT</t>
  </si>
  <si>
    <t>MISRA.FOR.ITER_EXPR.MULTI_SIDE_EFFECTS</t>
  </si>
  <si>
    <t>Loop third clause shall only contain persistent side effect to the loop counter</t>
  </si>
  <si>
    <t>MISRA.FOR.ITER_EXPR.ONE_EXPR</t>
  </si>
  <si>
    <t>Loop third clause shall be a single expression</t>
  </si>
  <si>
    <t>MISRA.FOR.LOOP_CONTROL.CHANGE.COND</t>
  </si>
  <si>
    <t>Loop control variable is modified in condition section of a for loop</t>
  </si>
  <si>
    <t>MISRA.FOR.LOOP_CONTROL.CHANGE.EXPR</t>
  </si>
  <si>
    <t>Loop control variable is modified in expression section of a for loop</t>
  </si>
  <si>
    <t>MISRA.FOR.LOOP_CONTROL.NOT_BOOLEAN</t>
  </si>
  <si>
    <t>Loop control variable is not boolean</t>
  </si>
  <si>
    <t>MISRA.FOR.MULTI_INIT</t>
  </si>
  <si>
    <t>Loop first clause shall be empty or assign a value to the loop counter</t>
  </si>
  <si>
    <t>MISRA.FOR.STMT.CHANGE</t>
  </si>
  <si>
    <t>For loop counter is modified within the loop statement</t>
  </si>
  <si>
    <t>MISRA.FOR.UNINIT_COUNTER</t>
  </si>
  <si>
    <t>MISRA.FUNC.ADDR</t>
  </si>
  <si>
    <t>Address of a function is used without &amp; operator</t>
  </si>
  <si>
    <t>The declaration of an array parameter shall not contain the static keyword between the []</t>
  </si>
  <si>
    <t>MISRA.FUNC.ARRAY.PARAMS</t>
  </si>
  <si>
    <t>Function argument with array type decay to a pointer</t>
  </si>
  <si>
    <t>MISRA.FUNC.DECL.AFTERUSE</t>
  </si>
  <si>
    <t>Function chosen by overload resolution when instantiating a template is declared after its usage</t>
  </si>
  <si>
    <t>Function was declared implicitly</t>
  </si>
  <si>
    <t>MISRA.FUNC.NOPROT.CALL</t>
  </si>
  <si>
    <t>Function is called but has no prototype</t>
  </si>
  <si>
    <t>MISRA.FUNC.NOPROT.DEF</t>
  </si>
  <si>
    <t>Function has a definition but no prototype</t>
  </si>
  <si>
    <t>Function without parameters is missing void parameter type</t>
  </si>
  <si>
    <t>MISRA.FUNC.PARAMS.IDENT</t>
  </si>
  <si>
    <t>Identifiers used in declaration and definition of function are not identical</t>
  </si>
  <si>
    <t>Function types shall be in prototype form</t>
  </si>
  <si>
    <t>Recursive function</t>
  </si>
  <si>
    <t>MISRA.FUNC.SPEC.NOTSPEC</t>
  </si>
  <si>
    <t>Viable function set for a function call contains both specializations and non-specializations</t>
  </si>
  <si>
    <t>MISRA.FUNC.SPEC.OVRLD</t>
  </si>
  <si>
    <t>Viable function set for a function call contains an overloaded template and its explicit specialization</t>
  </si>
  <si>
    <t>Function or object redeclaration does not include 'static' modifier</t>
  </si>
  <si>
    <t>Number of formal and actual parameters passed to function do not match</t>
  </si>
  <si>
    <t>Function declaration has unnamed parameters</t>
  </si>
  <si>
    <t>MISRA.FUNC.UNUSEDPAR</t>
  </si>
  <si>
    <t>Formal parameter of a non-virtual function is not used</t>
  </si>
  <si>
    <t>Unused parameters in functions</t>
  </si>
  <si>
    <t>MISRA.FUNC.UNUSEDPAR.UNNAMED</t>
  </si>
  <si>
    <t>Unnamed formal parameter of a non-virtual function is not used</t>
  </si>
  <si>
    <t>MISRA.FUNC.UNUSEDRET</t>
  </si>
  <si>
    <t>Return value of a non-void function is not used</t>
  </si>
  <si>
    <t>The return value of a non-void function shall be used.</t>
  </si>
  <si>
    <t>MISRA.FUNC.VIRTUAL.UNUSEDPAR</t>
  </si>
  <si>
    <t>Formal parameter of a virtual function set is not used</t>
  </si>
  <si>
    <t>MISRA.FUNC_CAST</t>
  </si>
  <si>
    <t>Functional notation cast different from explicit constructor call</t>
  </si>
  <si>
    <t>MISRA.GENFU.ASSOC</t>
  </si>
  <si>
    <t>Generic function is declared in an associated namespace</t>
  </si>
  <si>
    <t>Goto statement is used</t>
  </si>
  <si>
    <t>MISRA.GOTO.AFTER.LABEL</t>
  </si>
  <si>
    <t>Unconstrained use of goto</t>
  </si>
  <si>
    <t>Goto jumps to label declared before in same function.</t>
  </si>
  <si>
    <t>MISRA.GOTO.NESTED</t>
  </si>
  <si>
    <t>Goto to a label declared in a nested compound statement</t>
  </si>
  <si>
    <t>Label referenced by goto is not in this or enclosing block.</t>
  </si>
  <si>
    <t>Identifiers declared in the same scope or name space are not distinct</t>
  </si>
  <si>
    <t>MISRA.IDENT.LONG</t>
  </si>
  <si>
    <t>Identifier is longer than 31 characters</t>
  </si>
  <si>
    <t>MISRA.IDENT.NONUNIQUE.EXTERNAL.2012</t>
  </si>
  <si>
    <t>Identifiers that define objects or functions with external linkage shall be unique.</t>
  </si>
  <si>
    <t>MISRA.IDENT.NONUNIQUE.INTERNAL.2012</t>
  </si>
  <si>
    <t>Identifiers that define objects or functions with internal linkage should be unique.</t>
  </si>
  <si>
    <t>#if condition is not 0 or 1</t>
  </si>
  <si>
    <t>MISRA.IF.DEFINED</t>
  </si>
  <si>
    <t>Incorrect 'defined' usage in #if directive</t>
  </si>
  <si>
    <t>The body of if/else statement is not a compound statement</t>
  </si>
  <si>
    <t>A chain of if/else-if statements is not terminated with else or is terminated with an empty else clause</t>
  </si>
  <si>
    <t>MISRA.IF.WRAPAROUND</t>
  </si>
  <si>
    <t>Wrap-around in #if directive</t>
  </si>
  <si>
    <t>Include guard is not provided</t>
  </si>
  <si>
    <t>Non-standard include directive</t>
  </si>
  <si>
    <t>The standard header file signal.h shall not be used</t>
  </si>
  <si>
    <t>The standard header files stdio.h shall not be used</t>
  </si>
  <si>
    <t>Non-standard characters in header file names</t>
  </si>
  <si>
    <t>The standard header file tgmath.h shall not be used</t>
  </si>
  <si>
    <t>The standard header file time.h shall not be used</t>
  </si>
  <si>
    <t>MISRA.INCL.UNSAFE</t>
  </si>
  <si>
    <t>Unsafe header inclusion</t>
  </si>
  <si>
    <t>MISRA.INCOMPLETE.STRUCT</t>
  </si>
  <si>
    <t>Incomplete struct type is used</t>
  </si>
  <si>
    <t>MISRA.INCOMPLETE.STRUCT.UNNAMED</t>
  </si>
  <si>
    <t>Incomplete unnamed struct type is used</t>
  </si>
  <si>
    <t>MISRA.INCOMPLETE.UNION</t>
  </si>
  <si>
    <t>Incomplete union type is used</t>
  </si>
  <si>
    <t>MISRA.INCOMPLETE.UNION.UNNAMED</t>
  </si>
  <si>
    <t>Incomplete unnamed union type is used</t>
  </si>
  <si>
    <t>MISRA.INCR_DECR.OTHER</t>
  </si>
  <si>
    <t>Increment or decrement operator is mixed with other operators in expression</t>
  </si>
  <si>
    <t>MISRA.INIT.BRACES</t>
  </si>
  <si>
    <t>Incorrect initializer braces placement.</t>
  </si>
  <si>
    <t>The initializer for an aggregate or union is not enclosed in braces</t>
  </si>
  <si>
    <t>An element of an object is initialized more than once</t>
  </si>
  <si>
    <t>Array is partially initialized</t>
  </si>
  <si>
    <t>MISRA.INIT.SIDE_EFFECT</t>
  </si>
  <si>
    <t>Initializer list value contains persistent side effects</t>
  </si>
  <si>
    <t>A designated initializer is used to initialize an array object when the size of the array is not specified explicitly</t>
  </si>
  <si>
    <t>MISRA.ITER.ONETERM</t>
  </si>
  <si>
    <t>MISRA.LINKAGE.EXTERN</t>
  </si>
  <si>
    <t>Object or function declaration with external linkage not in header file</t>
  </si>
  <si>
    <t>MISRA.LITERAL.NULL.INT</t>
  </si>
  <si>
    <t>NULL used as an integer value.</t>
  </si>
  <si>
    <t>MISRA.LITERAL.NULL.PTR</t>
  </si>
  <si>
    <t>Literal zero used as the null-pointer-constant.</t>
  </si>
  <si>
    <t>MISRA.LITERAL.SUFFIX.CASE</t>
  </si>
  <si>
    <t>Literal suffix in lower case.</t>
  </si>
  <si>
    <t>Unsigned integer literal without 'U' suffix</t>
  </si>
  <si>
    <t>MISRA.LOGIC.NOT_BOOL</t>
  </si>
  <si>
    <t>Operand of logical operation is not boolean</t>
  </si>
  <si>
    <t>MISRA.LOGIC.OPERAND.NOT_BOOL</t>
  </si>
  <si>
    <t>Operand of logical operator is not effectively boolean</t>
  </si>
  <si>
    <t>MISRA.LOGIC.OPERATOR.NOT_BOOL</t>
  </si>
  <si>
    <t>Operand of non-logical operator is effectively boolean</t>
  </si>
  <si>
    <t>MISRA.LOGIC.POSTFIX</t>
  </si>
  <si>
    <t>Operand in a logical 'and' or 'or' expression is not a postfix expression</t>
  </si>
  <si>
    <t>MISRA.LOGIC.PRIMARY</t>
  </si>
  <si>
    <t>Operand in a logical 'and' or 'or' expression is not a primary expression</t>
  </si>
  <si>
    <t>Right operand in a logical 'and' or 'or' expression contains side effects</t>
  </si>
  <si>
    <t>MISRA.LOGIC.SIDEEFF.COND</t>
  </si>
  <si>
    <t>Branch expression in a conditional expression contains side effects</t>
  </si>
  <si>
    <t>Flexible array member shall not be declared</t>
  </si>
  <si>
    <t>MISRA.MEMB.NON_CONST</t>
  </si>
  <si>
    <t>Non-const member function does not change any member variables</t>
  </si>
  <si>
    <t>MISRA.MEMB.NON_STATIC</t>
  </si>
  <si>
    <t>Non-static member function does not use other non-static members of the same class</t>
  </si>
  <si>
    <t>MISRA.MEMB.NOT_PRIVATE</t>
  </si>
  <si>
    <t>Member variable in non-POD class is not private</t>
  </si>
  <si>
    <t>MISRA.NAMESPACE.DECL</t>
  </si>
  <si>
    <t>Using-declaration in header file</t>
  </si>
  <si>
    <t>MISRA.NAMESPACE.DIR</t>
  </si>
  <si>
    <t>Using-directive in header file</t>
  </si>
  <si>
    <t>MISRA.NAMESPACE.UNMD</t>
  </si>
  <si>
    <t>Unnamed namespace in header file</t>
  </si>
  <si>
    <t>MISRA.NS.GLOBAL</t>
  </si>
  <si>
    <t>Function, variable or type declaration in global namespace</t>
  </si>
  <si>
    <t>MISRA.NS.GLOBAL.USING</t>
  </si>
  <si>
    <t>Using directive or declaration in global namespace</t>
  </si>
  <si>
    <t>MISRA.NS.MAIN</t>
  </si>
  <si>
    <t>Non-global function with name 'main' is defined</t>
  </si>
  <si>
    <t>MISRA.NS.USING.HEADER</t>
  </si>
  <si>
    <t>Using directive or declaration is used in a header file</t>
  </si>
  <si>
    <t>MISRA.NS.USING_DECL</t>
  </si>
  <si>
    <t>Multiple declarations for an identifier in the same namespace should not straddle a using-declaration for that identifier</t>
  </si>
  <si>
    <t>MISRA.NS.USING_DIR</t>
  </si>
  <si>
    <t>Using directive</t>
  </si>
  <si>
    <t>MISRA.NULL.STMT</t>
  </si>
  <si>
    <t>Null statement is not the only statement on line or comments are placed incorrectly</t>
  </si>
  <si>
    <t>MISRA.OBJ.TYPE.COMPAT</t>
  </si>
  <si>
    <t>Type not compatible with type of other declaration</t>
  </si>
  <si>
    <t>MISRA.OBJ.TYPE.IDENT</t>
  </si>
  <si>
    <t>Type not identical with type of other declaration</t>
  </si>
  <si>
    <t>MISRA.ONEDEFRULE.FUNC</t>
  </si>
  <si>
    <t>Global function definition in a header file</t>
  </si>
  <si>
    <t>MISRA.ONEDEFRULE.VAR</t>
  </si>
  <si>
    <t>Global variable definition in a header file</t>
  </si>
  <si>
    <t>Pointer parameter is not used to modify the addressed object but is not declared as a pointer to const</t>
  </si>
  <si>
    <t>MISRA.PRAGMA</t>
  </si>
  <si>
    <t>Non-documented pragma directive</t>
  </si>
  <si>
    <t>MISRA.PRAGMA.ASM</t>
  </si>
  <si>
    <t>Incorrect assembler instruction</t>
  </si>
  <si>
    <t>MISRA.PTR.ARITH</t>
  </si>
  <si>
    <t>Pointer is used in arithmetic or array index expression</t>
  </si>
  <si>
    <t>MISRA.PTR.ARITH.NOT_SAME.2008</t>
  </si>
  <si>
    <t>MISRA.PTR.ARITH.NOT_SAME.2012</t>
  </si>
  <si>
    <t>Pointer declaration has more than two levels of indirection</t>
  </si>
  <si>
    <t>MISRA.PUREVIRT.OVRD</t>
  </si>
  <si>
    <t>Pure virtual function overrides a non pure virtual function</t>
  </si>
  <si>
    <t>MISRA.RET.REF.NON_CONST</t>
  </si>
  <si>
    <t>Member function returns non-const handle to member variable</t>
  </si>
  <si>
    <t>Return is not the last statement in a function</t>
  </si>
  <si>
    <t>MISRA.SAME.DEFPARAMS</t>
  </si>
  <si>
    <t>Overriding virtual function and the function it overrides have different default arguments</t>
  </si>
  <si>
    <t>MISRA.SHIFT.RANGE</t>
  </si>
  <si>
    <t>Right operand of shift operation is out of range - greater or equal to max bit-length of left operand, or negative</t>
  </si>
  <si>
    <t>Right operand of shift operation is out of range - greater or equal to the essential type size of left operand, or is negative</t>
  </si>
  <si>
    <t>MISRA.SIGNED_CHAR.NOT_NUMERIC</t>
  </si>
  <si>
    <t>'signed char' or 'unsigned char' is used for non-numeric value</t>
  </si>
  <si>
    <t>Operand of sizeof has side effects</t>
  </si>
  <si>
    <t>MISRA.SPEC.ILL</t>
  </si>
  <si>
    <t>Explicit instantiation of a template makes the code ill-formed</t>
  </si>
  <si>
    <t>MISRA.SPEC.SAMEFILE</t>
  </si>
  <si>
    <t>Template specialization and its primary template are declared in different files</t>
  </si>
  <si>
    <t>MISRA.STDLIB.ABORT</t>
  </si>
  <si>
    <t>Use of 'abort', 'exit', 'getenv' or 'system' from library stdlib.h</t>
  </si>
  <si>
    <t>Use of 'abort', 'exit', or 'system' from library stdlib.h</t>
  </si>
  <si>
    <t>Use of 'atof', 'atoi' or 'atol' from library stdlib.h</t>
  </si>
  <si>
    <t>Use of 'bsearch' or 'qsort' from library stdlib.h</t>
  </si>
  <si>
    <t>MISRA.STDLIB.CSTRING</t>
  </si>
  <si>
    <t>Function from 'cstring' library is used</t>
  </si>
  <si>
    <t>MISRA.STDLIB.CSTRING.MACRO</t>
  </si>
  <si>
    <t>Macro from 'cstring' library is used</t>
  </si>
  <si>
    <t>MISRA.STDLIB.CTYPE.ARG_VAL</t>
  </si>
  <si>
    <t>Any value passed to a function in &lt;ctype.h&gt; shall be representable as an unsigned char or be the value of EOF</t>
  </si>
  <si>
    <t>MISRA.STDLIB.CTYPE.RANGE.2012_AMD1</t>
  </si>
  <si>
    <t>Any value passed to a function in ctype.h shall be representable as an unsigned char or be the value EOF</t>
  </si>
  <si>
    <t>MISRA.STDLIB.ERRNO</t>
  </si>
  <si>
    <t>Use of error indicator 'errno'</t>
  </si>
  <si>
    <t>Floating-point exception feature from fenv.h is used</t>
  </si>
  <si>
    <t>The pointer returned by the Standard Library functions asctime and similar shall not be used following a subsequent call to the same function</t>
  </si>
  <si>
    <t>MISRA.STDLIB.ILLEGAL_WRITE.2012_AMD1</t>
  </si>
  <si>
    <t>The pointers returned by the Standard Library functions localeconv, getenv, setlocale or, strerror shall only be used as if they have pointer to const-qualified type</t>
  </si>
  <si>
    <t>The pointer arguments to memcpy, memmove, or memcmp are not pointers to compatible types</t>
  </si>
  <si>
    <t>Use of setjmp macro or longjmp function</t>
  </si>
  <si>
    <t>MISRA.STDLIB.MEMCMP.PTR_ARG_TYPES</t>
  </si>
  <si>
    <t>The pointer arguments to the Standard Library function memcmp shall point to either a pointer type, an essentially signed type, an essentially unsigned type, an essentially Boolean type or an essentially enum type</t>
  </si>
  <si>
    <t>Use of dynamic heap memory allocation</t>
  </si>
  <si>
    <t>MISRA.STDLIB.RET.NONCONST_PTR.LOCAL</t>
  </si>
  <si>
    <t>The pointers returned by the Standard Library functions localeconv, getenv, setlocale or, strerror shall only be used as if they have the pointer to const-qualified type</t>
  </si>
  <si>
    <t>Use of the signal handling facilities of signal.h</t>
  </si>
  <si>
    <t>Use of input/output library stdio.h in production code</t>
  </si>
  <si>
    <t>Wide-character equivalent identifiers from stdio.h shall not be used</t>
  </si>
  <si>
    <t>Use of the time handling functions of library time.h</t>
  </si>
  <si>
    <t>The identifier 'wcsftime' shall not be used</t>
  </si>
  <si>
    <t>Reused name of standard library macro, object or function</t>
  </si>
  <si>
    <t>Usage of a reserved name for naming a language entity</t>
  </si>
  <si>
    <t>MISRA.STMT.COND.NOT_BOOLEAN</t>
  </si>
  <si>
    <t>Condition of if or loop statement is not a boolean expression</t>
  </si>
  <si>
    <t>The controlling expression of an if statement or loop statement is not 'Essentially Boolean' type</t>
  </si>
  <si>
    <t>The body of switch, while, do/while or for statement is not a compound statement</t>
  </si>
  <si>
    <t>MISRA.STMT.NO_EFFECT</t>
  </si>
  <si>
    <t>The statement has no side effects, and does not change control flow</t>
  </si>
  <si>
    <t>MISRA.STRINGS.CONCAT</t>
  </si>
  <si>
    <t>Narrow and wide string literals concatenated</t>
  </si>
  <si>
    <t>A string literal shall not be assigned to an object unless the object's type is pointer to const-qualified char</t>
  </si>
  <si>
    <t>MISRA.SWITCH.BOOL</t>
  </si>
  <si>
    <t>Condition of switch statement is boolean expression</t>
  </si>
  <si>
    <t>A switch-expression shall not have essentially Boolean type.</t>
  </si>
  <si>
    <t>MISRA.SWITCH.LABEL</t>
  </si>
  <si>
    <t>A switch label belongs to nested compound statement inside switch body</t>
  </si>
  <si>
    <t>MISRA.SWITCH.NODEFAULT</t>
  </si>
  <si>
    <t>No default clause at the end of a switch statement</t>
  </si>
  <si>
    <t>MISRA.SWITCH.NOT_WELL_FORMED</t>
  </si>
  <si>
    <t>Switch statement is not well-formed</t>
  </si>
  <si>
    <t>MISRA.SWITCH.NO_BREAK</t>
  </si>
  <si>
    <t>No break or throw statement at the end of switch-clause</t>
  </si>
  <si>
    <t>MISRA.SWITCH.NO_CASE</t>
  </si>
  <si>
    <t>No case-clause in a switch statement</t>
  </si>
  <si>
    <t>All switch statements shall be well-formed.</t>
  </si>
  <si>
    <t>An unconditional break statement shall terminate every switch-clause.</t>
  </si>
  <si>
    <t>Every switch statement shall have a default label.</t>
  </si>
  <si>
    <t>A default label shall appear as either the first or the last switch label of a switch statement.</t>
  </si>
  <si>
    <t>A switch label shall only be used when the most closely-enclosing compound statement is the body of the switch statement.</t>
  </si>
  <si>
    <t>Every switch statement shall have at least two switch-clauses.</t>
  </si>
  <si>
    <t>MISRA.TEMPLMEM.NOQUAL</t>
  </si>
  <si>
    <t>In an instantiated template a member declared in a dependant base is used without a qualificator or 'this'</t>
  </si>
  <si>
    <t>MISRA.TERMINATE</t>
  </si>
  <si>
    <t>terminate() function is called explicitly</t>
  </si>
  <si>
    <t>MISRA.THROW.EMPTY</t>
  </si>
  <si>
    <t>Empty throw expression does not belong to a catch block</t>
  </si>
  <si>
    <t>MISRA.THROW.NULL</t>
  </si>
  <si>
    <t>NULL is thrown explicitly</t>
  </si>
  <si>
    <t>MISRA.THROW.PTR</t>
  </si>
  <si>
    <t>Exception object is a pointer</t>
  </si>
  <si>
    <t>Inappropriate character sequence in a comment</t>
  </si>
  <si>
    <t>MISRA.TOKEN.CPCOM</t>
  </si>
  <si>
    <t>C++ style comments</t>
  </si>
  <si>
    <t>Line-splicing used in a // comment</t>
  </si>
  <si>
    <t>Usage of lowercase character "l" suffix in floating constant</t>
  </si>
  <si>
    <t>Usage of lowercase character "l" suffix in integer constant</t>
  </si>
  <si>
    <t>MISRA.TOKEN.OCTAL.ESCAPE</t>
  </si>
  <si>
    <t>Usage of octal escape sequences</t>
  </si>
  <si>
    <t>Usage of octal integer constants</t>
  </si>
  <si>
    <t>Unterminated escape sequence in a string literal</t>
  </si>
  <si>
    <t>MISRA.TOKEN.WRONGESC</t>
  </si>
  <si>
    <t>Incorrect escape sequence in a literal</t>
  </si>
  <si>
    <t>MISRA.TRY.JUMP</t>
  </si>
  <si>
    <t>Control can be transferred into a try block with goto or switch statement</t>
  </si>
  <si>
    <t>MISRA.TYPE.NAMECLASH.C.2004</t>
  </si>
  <si>
    <t>Identifier in one name space has same spelling as identifier in other name space</t>
  </si>
  <si>
    <t>MISRA.TYPE.NAMECLASH.CPP.2008</t>
  </si>
  <si>
    <t>Typedef name is used for another entity</t>
  </si>
  <si>
    <t>MISRA.UMINUS.UNSIGNED</t>
  </si>
  <si>
    <t>Operand of unary minus is unsigned</t>
  </si>
  <si>
    <t>Undef usage</t>
  </si>
  <si>
    <t>MISRA.UNDEF.NOTGLOBAL</t>
  </si>
  <si>
    <t>Undef not at the global level</t>
  </si>
  <si>
    <t>Undefinition of a name from the standard library</t>
  </si>
  <si>
    <t>Undefinition of a reserved name</t>
  </si>
  <si>
    <t>Union is used</t>
  </si>
  <si>
    <t>MISRA.UNUSED.ENUM_TAG</t>
  </si>
  <si>
    <t>MISRA.UNUSED.LOCAL_TYPE</t>
  </si>
  <si>
    <t>MISRA.UN_OP.OVERLOAD</t>
  </si>
  <si>
    <t>Unary &amp; operator is overloaded</t>
  </si>
  <si>
    <t>MISRA.USE.DEFINE</t>
  </si>
  <si>
    <t>Non-guarding macro definition</t>
  </si>
  <si>
    <t>MISRA.USE.EXPANSION</t>
  </si>
  <si>
    <t>Macro expansion</t>
  </si>
  <si>
    <t>Unknown preprocessor directive is used</t>
  </si>
  <si>
    <t>MISRA.USE.WRONGDIR</t>
  </si>
  <si>
    <t>Improper preprocessor directive</t>
  </si>
  <si>
    <t>Identifier declared in an inner scope hides identifier in outer scope</t>
  </si>
  <si>
    <t>MISRA.VAR.MIN.VIS</t>
  </si>
  <si>
    <t>Name visibility is too wide</t>
  </si>
  <si>
    <t>MISRA.VAR.NEEDS.CONST</t>
  </si>
  <si>
    <t>Variable is not modified but is declared without const qualifier</t>
  </si>
  <si>
    <t>MISRA.VAR.UNIQUE</t>
  </si>
  <si>
    <t>Identifier clashes with other identifier</t>
  </si>
  <si>
    <t>MISRA.VAR.UNIQUE.STATIC</t>
  </si>
  <si>
    <t>Identifier with static storage specifier clashes with other identifier</t>
  </si>
  <si>
    <t>MISRA.VIRTUAL.BASE.DIAMOND</t>
  </si>
  <si>
    <t>Base class is used as virtual not in diamond hierarchy</t>
  </si>
  <si>
    <t>MISRA.VIRTUAL.NOVIRTUAL</t>
  </si>
  <si>
    <t>Overriding virtual function declared with no 'virtual' keyword</t>
  </si>
  <si>
    <t>MISRA.ZERO_EQ.IMPLICIT</t>
  </si>
  <si>
    <t>Non-boolean expression is implicitly tested against zero</t>
  </si>
  <si>
    <t>Memory Leak - possible</t>
  </si>
  <si>
    <t>Memory Leak</t>
  </si>
  <si>
    <t>MNA.CAP</t>
  </si>
  <si>
    <t>Method name should start with non-capital letter</t>
  </si>
  <si>
    <t>MNA.CNS</t>
  </si>
  <si>
    <t>Method name is same as constructor name but it is not a constructor</t>
  </si>
  <si>
    <t>MNA.SUS</t>
  </si>
  <si>
    <t>Suspicious method name</t>
  </si>
  <si>
    <t>Buffer Overflow - Non-null Terminated String</t>
  </si>
  <si>
    <t>Unvalidated User Input Causing Buffer Overflow - Non-Null Terminated String</t>
  </si>
  <si>
    <t>NPD.CHECK.CALL.MIGHT</t>
  </si>
  <si>
    <t>Pointer may be passed to function that can dereference it after it was positively checked for NULL</t>
  </si>
  <si>
    <t>NPD.CHECK.CALL.MUST</t>
  </si>
  <si>
    <t>Pointer will be passed to function that may dereference it after it was positively checked for NULL</t>
  </si>
  <si>
    <t>NPD.CHECK.MIGHT</t>
  </si>
  <si>
    <t>Pointer may be dereferenced after it was positively checked for NULL</t>
  </si>
  <si>
    <t>NPD.CHECK.MUST</t>
  </si>
  <si>
    <t>Pointer will be dereferenced after it was positively checked for NULL</t>
  </si>
  <si>
    <t>NPD.CONST.CALL</t>
  </si>
  <si>
    <t>NULL is passed to function that can dereference it</t>
  </si>
  <si>
    <t>NPD.CONST.DEREF</t>
  </si>
  <si>
    <t>NULL is dereferenced</t>
  </si>
  <si>
    <t>NPD.FUNC.CALL.MIGHT</t>
  </si>
  <si>
    <t>Result of function that may return NULL may be passed to another function that may dereference it</t>
  </si>
  <si>
    <t>NPD.FUNC.CALL.MUST</t>
  </si>
  <si>
    <t>Result of function that may return NULL will be passed to another function that may dereference it</t>
  </si>
  <si>
    <t>NPD.FUNC.MIGHT</t>
  </si>
  <si>
    <t>Result of function that can return NULL may be dereferenced</t>
  </si>
  <si>
    <t>NPD.FUNC.MUST</t>
  </si>
  <si>
    <t>Result of function that may return NULL will be dereferenced</t>
  </si>
  <si>
    <t>NPD.GEN.CALL.MIGHT</t>
  </si>
  <si>
    <t>Null pointer may be passed to function that may dereference it</t>
  </si>
  <si>
    <t>NPD.GEN.CALL.MUST</t>
  </si>
  <si>
    <t>Null pointer will be passed to function that may dereference it</t>
  </si>
  <si>
    <t>NPD.GEN.MIGHT</t>
  </si>
  <si>
    <t>Null pointer may be dereferenced</t>
  </si>
  <si>
    <t>NPD.GEN.MUST</t>
  </si>
  <si>
    <t>Null pointer will be dereferenced</t>
  </si>
  <si>
    <t>NPE.COND</t>
  </si>
  <si>
    <t>Null pointer dereference where null comes from condition</t>
  </si>
  <si>
    <t>NPE.CONST</t>
  </si>
  <si>
    <t>Null pointer dereference where null comes from constant</t>
  </si>
  <si>
    <t>NPE.RET</t>
  </si>
  <si>
    <t>Dereference of a null value which is returned from a method</t>
  </si>
  <si>
    <t>NPE.RET.UTIL</t>
  </si>
  <si>
    <t>Dereference of a null value which is returned from a map or a collection</t>
  </si>
  <si>
    <t>NPE.STAT</t>
  </si>
  <si>
    <t>Null pointer dereference of a return value (statistical)</t>
  </si>
  <si>
    <t>NUM.OVERFLOW</t>
  </si>
  <si>
    <t>Possible Overflow</t>
  </si>
  <si>
    <t>PORTING.BITFIELDS</t>
  </si>
  <si>
    <t>Usage of bitfields within a structure</t>
  </si>
  <si>
    <t>PORTING.BSWAP.MACRO</t>
  </si>
  <si>
    <t>A custom byte swap macro is used without checking endian</t>
  </si>
  <si>
    <t>PORTING.BYTEORDER.SIZE</t>
  </si>
  <si>
    <t>An incompatible type is used with a network macro such as 'ntohl'</t>
  </si>
  <si>
    <t>PORTING.CAST.FLTPNT</t>
  </si>
  <si>
    <t>Cast of a floating point expression to a non floating point type</t>
  </si>
  <si>
    <t>PORTING.CAST.PTR.FLTPNT</t>
  </si>
  <si>
    <t>Cast of a pointer to a floating point expression to a non floating point type pointer</t>
  </si>
  <si>
    <t>PORTING.CMPSPEC.EFFECTS.ASSIGNMENT</t>
  </si>
  <si>
    <t>Assignment in a function parameter</t>
  </si>
  <si>
    <t>PORTING.CMPSPEC.TYPE.BOOL</t>
  </si>
  <si>
    <t>Assignment to a 'bool' type is larger than 1 byte</t>
  </si>
  <si>
    <t>PORTING.CMPSPEC.TYPE.LONGLONG</t>
  </si>
  <si>
    <t>Use of 'long long'</t>
  </si>
  <si>
    <t>PORTING.MACRO.NUMTYPE</t>
  </si>
  <si>
    <t>Macro describing a builtin numeric type is used</t>
  </si>
  <si>
    <t>Compiler dependant option is used</t>
  </si>
  <si>
    <t>PORTING.PRAGMA.ALIGN</t>
  </si>
  <si>
    <t>#pragma align usage</t>
  </si>
  <si>
    <t>PORTING.PRAGMA.PACK</t>
  </si>
  <si>
    <t>#pragma pack usage</t>
  </si>
  <si>
    <t>PORTING.SIGNED.CHAR</t>
  </si>
  <si>
    <t>'char' used without explicitly specifying signedness</t>
  </si>
  <si>
    <t>Byte position of elements in a structure could depend on alignment and packing attributes.</t>
  </si>
  <si>
    <t>PORTING.STRUCT.BOOL</t>
  </si>
  <si>
    <t>Struct/class has a bool member</t>
  </si>
  <si>
    <t>PORTING.UNIONS</t>
  </si>
  <si>
    <t>Union is used within an enclosing struct/class/other union</t>
  </si>
  <si>
    <t>PORTING.UNSIGNEDCHAR.OVERFLOW.FALSE</t>
  </si>
  <si>
    <t>Relational expression may be always false depending on 'char' type signedness</t>
  </si>
  <si>
    <t>PORTING.UNSIGNEDCHAR.OVERFLOW.TRUE</t>
  </si>
  <si>
    <t>Relational expression may be always true depending on 'char' type signedness</t>
  </si>
  <si>
    <t>PORTING.UNSIGNEDCHAR.RELOP</t>
  </si>
  <si>
    <t>Relational operations used between explicitly signed/unsigned char and char without signedness specification</t>
  </si>
  <si>
    <t>Variable used twice in one expression where one usage is subject to side-effects</t>
  </si>
  <si>
    <t>PRECISION.LOSS</t>
  </si>
  <si>
    <t>Loss of Precision</t>
  </si>
  <si>
    <t>PRECISION.LOSS.CALL</t>
  </si>
  <si>
    <t>Loss of Precision during function call</t>
  </si>
  <si>
    <t>RABV.CHECK</t>
  </si>
  <si>
    <t>Suspicious use of index before boundary check</t>
  </si>
  <si>
    <t>RCA</t>
  </si>
  <si>
    <t>RCA.HASH.SALT.EMPTY</t>
  </si>
  <si>
    <t>Use of a one-way hash with an empty salt</t>
  </si>
  <si>
    <t>REDUN.DEF</t>
  </si>
  <si>
    <t>REDUN.EQ</t>
  </si>
  <si>
    <t>Suspicious equals() called with same expression on both sides</t>
  </si>
  <si>
    <t>REDUN.EQNULL</t>
  </si>
  <si>
    <t>Suspicious equals() called with expression and null (never true)</t>
  </si>
  <si>
    <t>REDUN.FINAL</t>
  </si>
  <si>
    <t>Redundant 'final' modifier</t>
  </si>
  <si>
    <t>REDUN.NULL</t>
  </si>
  <si>
    <t>Usage of variable instead of null constant</t>
  </si>
  <si>
    <t>REDUN.OP</t>
  </si>
  <si>
    <t>Suspicious operation with same expression on both sides</t>
  </si>
  <si>
    <t>RETVOID.GEN</t>
  </si>
  <si>
    <t>Non-void function returns void value</t>
  </si>
  <si>
    <t>RETVOID.IMPLICIT</t>
  </si>
  <si>
    <t>Implicitly int function returns void value</t>
  </si>
  <si>
    <t>RI.IGNOREDCALL</t>
  </si>
  <si>
    <t>The value returned by a method called on immutable object is ignored</t>
  </si>
  <si>
    <t>RI.IGNOREDNEW</t>
  </si>
  <si>
    <t>Newly created object is ignored</t>
  </si>
  <si>
    <t>RLK.AWT</t>
  </si>
  <si>
    <t>AWT object is not disposed on exit</t>
  </si>
  <si>
    <t>RLK.FIELD</t>
  </si>
  <si>
    <t>Possible leak of system resource stored in a field</t>
  </si>
  <si>
    <t>RLK.HIBERNATE</t>
  </si>
  <si>
    <t>Hibernate object is not closed on exit</t>
  </si>
  <si>
    <t>RLK.IMAGEIO</t>
  </si>
  <si>
    <t>ImageIO stream is not closed on exit</t>
  </si>
  <si>
    <t>RLK.IN</t>
  </si>
  <si>
    <t>Input stream is not closed on exit</t>
  </si>
  <si>
    <t>RLK.JNDI</t>
  </si>
  <si>
    <t>JNDI context is not closed on exit</t>
  </si>
  <si>
    <t>RLK.MAIL</t>
  </si>
  <si>
    <t>Java mail object is not closed on exit</t>
  </si>
  <si>
    <t>RLK.MICRO</t>
  </si>
  <si>
    <t>Java Microedition connection is not closed on exit</t>
  </si>
  <si>
    <t>RLK.NIO</t>
  </si>
  <si>
    <t>NIO object is not closed on exit</t>
  </si>
  <si>
    <t>RLK.OUT</t>
  </si>
  <si>
    <t>Output stream is not closed on exit</t>
  </si>
  <si>
    <t>RLK.SOCK</t>
  </si>
  <si>
    <t>Socket is not closed on exit</t>
  </si>
  <si>
    <t>RLK.SQLCON</t>
  </si>
  <si>
    <t>RLK.SQLOBJ</t>
  </si>
  <si>
    <t>RLK.SWT</t>
  </si>
  <si>
    <t>SWT object is not disposed on exit</t>
  </si>
  <si>
    <t>RLK.ZIP</t>
  </si>
  <si>
    <t>Zip file is not closed on exit</t>
  </si>
  <si>
    <t>RN.INDEX</t>
  </si>
  <si>
    <t>Suspicious use of index before negative check</t>
  </si>
  <si>
    <t>RNPD.CALL</t>
  </si>
  <si>
    <t>Suspicious dereference of pointer in function call before NULL check</t>
  </si>
  <si>
    <t>RNPD.DEREF</t>
  </si>
  <si>
    <t>Suspicious dereference of pointer before NULL check</t>
  </si>
  <si>
    <t>RNU.THIS</t>
  </si>
  <si>
    <t>Compare this and null but this cannot be null</t>
  </si>
  <si>
    <t>RR.IGNORED</t>
  </si>
  <si>
    <t>The returned value is ignored</t>
  </si>
  <si>
    <t>RTC.CALL</t>
  </si>
  <si>
    <t>Type cast is redundant</t>
  </si>
  <si>
    <t>SEMICOL</t>
  </si>
  <si>
    <t>Suspiciously placed semicolon</t>
  </si>
  <si>
    <t>SPECTRE.VARIANT1</t>
  </si>
  <si>
    <t>Potential exploit of speculative execution</t>
  </si>
  <si>
    <t>STRCON.LOOP</t>
  </si>
  <si>
    <t>Using append for string in a loop</t>
  </si>
  <si>
    <t>Assignment does not respect strong typing</t>
  </si>
  <si>
    <t>Joining with binary operator does not respect strong typing</t>
  </si>
  <si>
    <t>SV.BANNED.RECOMMENDED.ALLOCA</t>
  </si>
  <si>
    <t>Banned recommended API: stack allocation functions</t>
  </si>
  <si>
    <t>SV.BANNED.RECOMMENDED.NUMERIC</t>
  </si>
  <si>
    <t>Banned recommended API: unsafe numeric conversion functions</t>
  </si>
  <si>
    <t>SV.BANNED.RECOMMENDED.OEM</t>
  </si>
  <si>
    <t>Banned recommended API: OEM character page conversion functions</t>
  </si>
  <si>
    <t>SV.BANNED.RECOMMENDED.PATH</t>
  </si>
  <si>
    <t>Banned recommended API: unsafe path name manipulation functions</t>
  </si>
  <si>
    <t>SV.BANNED.RECOMMENDED.SCANF</t>
  </si>
  <si>
    <t>Banned recommended API: unsafe scanf-type functions</t>
  </si>
  <si>
    <t>SV.BANNED.RECOMMENDED.SPRINTF</t>
  </si>
  <si>
    <t>Banned recommended API: unsafe sprintf-type functions</t>
  </si>
  <si>
    <t>SV.BANNED.RECOMMENDED.STRLEN</t>
  </si>
  <si>
    <t>Banned recommended API: unsafe string length functions</t>
  </si>
  <si>
    <t>SV.BANNED.RECOMMENDED.TOKEN</t>
  </si>
  <si>
    <t>Banned recommended API: unsafe string tokenizing functions</t>
  </si>
  <si>
    <t>SV.BANNED.RECOMMENDED.WINDOW</t>
  </si>
  <si>
    <t>Banned recommended API: unsafe window functions</t>
  </si>
  <si>
    <t>SV.BANNED.REQUIRED.CONCAT</t>
  </si>
  <si>
    <t>Banned required API: unsafe string concatenation functions</t>
  </si>
  <si>
    <t>Banned required API: unsafe buffer copy functions</t>
  </si>
  <si>
    <t>SV.BANNED.REQUIRED.GETS</t>
  </si>
  <si>
    <t>Banned required API: unsafe stream reading functions</t>
  </si>
  <si>
    <t>SV.BANNED.REQUIRED.ISBAD</t>
  </si>
  <si>
    <t>Banned required API: IsBad-type functions</t>
  </si>
  <si>
    <t>SV.BANNED.REQUIRED.SPRINTF</t>
  </si>
  <si>
    <t>Banned required API: unsafe sprintf-type functions</t>
  </si>
  <si>
    <t>SV.BFC.USING_STRUCT</t>
  </si>
  <si>
    <t>Use of INADDR_ANY in sin_addr.s_addr field of struct sockaddr_in Structure Used for Call to bind Function</t>
  </si>
  <si>
    <t>SV.BRM.HKEY_LOCAL_MACHINE</t>
  </si>
  <si>
    <t>HKEY_LOCAL_MACHINE Used as 'hkey' Parameter for Registry Manipulation Function</t>
  </si>
  <si>
    <t>SV.CLASSDEF.INJ</t>
  </si>
  <si>
    <t>Runtime Class Definition Injection</t>
  </si>
  <si>
    <t>SV.CLASSLOADER.INJ</t>
  </si>
  <si>
    <t>Class Loader URL Injection</t>
  </si>
  <si>
    <t>SV.CLEXT.CLLOADER</t>
  </si>
  <si>
    <t>Class extends 'java.lang.ClassLoader'</t>
  </si>
  <si>
    <t>SV.CLEXT.POLICY</t>
  </si>
  <si>
    <t>Class extends 'java.security.Policy'</t>
  </si>
  <si>
    <t>SV.CLLOADER</t>
  </si>
  <si>
    <t>Direct use of Classloader</t>
  </si>
  <si>
    <t>SV.CLONE.SUP</t>
  </si>
  <si>
    <t>Class implements 'clone' method but does not implement Cloneable</t>
  </si>
  <si>
    <t>SV.CODE_INJECTION.SHELL_EXEC</t>
  </si>
  <si>
    <t>Command Injection into Shell Execution</t>
  </si>
  <si>
    <t>SV.CSRF.GET</t>
  </si>
  <si>
    <t>CSRF Token in GET request</t>
  </si>
  <si>
    <t>SV.CSRF.ORIGIN</t>
  </si>
  <si>
    <t>Request handler without an origin check</t>
  </si>
  <si>
    <t>SV.CSRF.TOKEN</t>
  </si>
  <si>
    <t>State changing request handler without a CSRF check</t>
  </si>
  <si>
    <t>SV.DATA.BOUND</t>
  </si>
  <si>
    <t>Untrusted Data leaks into trusted storage</t>
  </si>
  <si>
    <t>SV.DATA.DB</t>
  </si>
  <si>
    <t>Data injection</t>
  </si>
  <si>
    <t>SV.DATA.FILE</t>
  </si>
  <si>
    <t>A potentially harmful file could be uploaded and automatically processed</t>
  </si>
  <si>
    <t>SV.DLLPRELOAD.NONABSOLUTE.DLL</t>
  </si>
  <si>
    <t>Potential DLL-preload hijack vector</t>
  </si>
  <si>
    <t>SV.DLLPRELOAD.NONABSOLUTE.EXE</t>
  </si>
  <si>
    <t>Potential process injection vector</t>
  </si>
  <si>
    <t>SV.DLLPRELOAD.SEARCHPATH</t>
  </si>
  <si>
    <t>Do not use SearchPath to find DLLs</t>
  </si>
  <si>
    <t>SV.DOS.ARRINDEX</t>
  </si>
  <si>
    <t>Tainted index used for array access</t>
  </si>
  <si>
    <t>SV.DOS.ARRSIZE</t>
  </si>
  <si>
    <t>Tainted size used for array allocation</t>
  </si>
  <si>
    <t>SV.DOS.TMPFILEDEL</t>
  </si>
  <si>
    <t>Leaving temporary file for lifetime of JVM</t>
  </si>
  <si>
    <t>SV.DOS.TMPFILEEXIT</t>
  </si>
  <si>
    <t>Leaving temporary file</t>
  </si>
  <si>
    <t>SV.ECV</t>
  </si>
  <si>
    <t>Empty certificate validation</t>
  </si>
  <si>
    <t>SV.EMAIL</t>
  </si>
  <si>
    <t>Unchecked e-mail</t>
  </si>
  <si>
    <t>SV.EXEC</t>
  </si>
  <si>
    <t>Process Injection</t>
  </si>
  <si>
    <t>SV.EXEC.DIR</t>
  </si>
  <si>
    <t>Process Injection. Working Directory</t>
  </si>
  <si>
    <t>SV.EXEC.ENV</t>
  </si>
  <si>
    <t>Process Injection. Environment Variables</t>
  </si>
  <si>
    <t>SV.EXEC.LOCAL</t>
  </si>
  <si>
    <t>Process Injection. Local Arguments</t>
  </si>
  <si>
    <t>SV.EXEC.PATH</t>
  </si>
  <si>
    <t>Untrusted Search Path</t>
  </si>
  <si>
    <t>SV.EXPOSE.FIELD</t>
  </si>
  <si>
    <t>Static field may be changed by malicious code</t>
  </si>
  <si>
    <t>SV.EXPOSE.FIN</t>
  </si>
  <si>
    <t>Method finalize() should have protected access modifier, not public</t>
  </si>
  <si>
    <t>SV.EXPOSE.IFIELD</t>
  </si>
  <si>
    <t>Instance field should be made final</t>
  </si>
  <si>
    <t>SV.EXPOSE.MUTABLEFIELD</t>
  </si>
  <si>
    <t>Static mutable field can be accessed by malicious code</t>
  </si>
  <si>
    <t>SV.EXPOSE.RET</t>
  </si>
  <si>
    <t>Internal representation may be exposed</t>
  </si>
  <si>
    <t>SV.EXPOSE.STORE</t>
  </si>
  <si>
    <t>Method stores reference to mutable object</t>
  </si>
  <si>
    <t>SV.FIU.PROCESS_VARIANTS</t>
  </si>
  <si>
    <t>Use of Dangerous Process Creation</t>
  </si>
  <si>
    <t>SV.FMTSTR.GENERIC</t>
  </si>
  <si>
    <t>Format String Vulnerability</t>
  </si>
  <si>
    <t>SV.FMT_STR.BAD_SCAN_FORMAT</t>
  </si>
  <si>
    <t>Input format specifier error</t>
  </si>
  <si>
    <t>SV.FMT_STR.PRINT_FORMAT_MISMATCH.BAD</t>
  </si>
  <si>
    <t>Incompatible type of a print function parameter</t>
  </si>
  <si>
    <t>SV.FMT_STR.PRINT_FORMAT_MISMATCH.UNDESIRED</t>
  </si>
  <si>
    <t>Unexpected type of a print function parameter</t>
  </si>
  <si>
    <t>SV.FMT_STR.PRINT_IMPROP_LENGTH</t>
  </si>
  <si>
    <t>Improper use of length modifier in a print function call</t>
  </si>
  <si>
    <t>SV.FMT_STR.PRINT_PARAMS_WRONGNUM.FEW</t>
  </si>
  <si>
    <t>Too few arguments in a print function call</t>
  </si>
  <si>
    <t>SV.FMT_STR.PRINT_PARAMS_WRONGNUM.MANY</t>
  </si>
  <si>
    <t>Too many arguments in a print function call</t>
  </si>
  <si>
    <t>SV.FMT_STR.SCAN_FORMAT_MISMATCH.BAD</t>
  </si>
  <si>
    <t>Incompatible type of a scan function parameter</t>
  </si>
  <si>
    <t>SV.FMT_STR.SCAN_FORMAT_MISMATCH.UNDESIRED</t>
  </si>
  <si>
    <t>Unexpected type of a scan function parameter</t>
  </si>
  <si>
    <t>SV.FMT_STR.SCAN_IMPROP_LENGTH</t>
  </si>
  <si>
    <t>Improper use of length modifier in a scan function call</t>
  </si>
  <si>
    <t>SV.FMT_STR.SCAN_PARAMS_WRONGNUM.FEW</t>
  </si>
  <si>
    <t>Too few arguments in a scan function call</t>
  </si>
  <si>
    <t>SV.FMT_STR.SCAN_PARAMS_WRONGNUM.MANY</t>
  </si>
  <si>
    <t>Too many arguments in a scan function call</t>
  </si>
  <si>
    <t>SV.FMT_STR.UNKWN_FORMAT</t>
  </si>
  <si>
    <t>Unknown format specifier in a print function call</t>
  </si>
  <si>
    <t>SV.FMT_STR.UNKWN_FORMAT.SCAN</t>
  </si>
  <si>
    <t>Unknown format specifier in a scan function call</t>
  </si>
  <si>
    <t>SV.HASH.NO_SALT</t>
  </si>
  <si>
    <t>Use of a one-way cryptographic hash without a salt</t>
  </si>
  <si>
    <t>SV.HTTP_SPLIT</t>
  </si>
  <si>
    <t>Http Response Splitting</t>
  </si>
  <si>
    <t>SV.IL.DEV</t>
  </si>
  <si>
    <t>Design information leakage</t>
  </si>
  <si>
    <t>SV.IL.FILE</t>
  </si>
  <si>
    <t>File Name Leaking</t>
  </si>
  <si>
    <t>SV.INCORRECT_RESOURCE_HANDLING.URH</t>
  </si>
  <si>
    <t>Insecure Resource Handling</t>
  </si>
  <si>
    <t>SV.INCORRECT_RESOURCE_HANDLING.WRONG_STATUS</t>
  </si>
  <si>
    <t>SV.INT_OVF</t>
  </si>
  <si>
    <t>Tainted data may lead to Integer Overflow</t>
  </si>
  <si>
    <t>SV.LDAP</t>
  </si>
  <si>
    <t>Unvalidated user input is used as LDAP filter</t>
  </si>
  <si>
    <t>SV.LOADLIB.INJ</t>
  </si>
  <si>
    <t>Untrusted call to 'loadLibrary' method</t>
  </si>
  <si>
    <t>SV.LOG_FORGING</t>
  </si>
  <si>
    <t>Log Forging</t>
  </si>
  <si>
    <t>SV.LPP.CONST</t>
  </si>
  <si>
    <t>Use of Insecure Macro for Dangerous Functions</t>
  </si>
  <si>
    <t>SV.LPP.VAR</t>
  </si>
  <si>
    <t>Use of Insecure Parameter for Dangerous Functions</t>
  </si>
  <si>
    <t>SV.PASSWD.HC</t>
  </si>
  <si>
    <t>Hardcoded Password</t>
  </si>
  <si>
    <t>SV.PASSWD.HC.EMPTY</t>
  </si>
  <si>
    <t>Empty Password</t>
  </si>
  <si>
    <t>SV.PASSWD.PLAIN</t>
  </si>
  <si>
    <t>Plain-text Password</t>
  </si>
  <si>
    <t>SV.PATH</t>
  </si>
  <si>
    <t>Path and file name injection</t>
  </si>
  <si>
    <t>SV.PATH.INJ</t>
  </si>
  <si>
    <t>File injection</t>
  </si>
  <si>
    <t>SV.PCC.CONST</t>
  </si>
  <si>
    <t>Insecure (Constant) Temporary File Name in Call to CreateFile</t>
  </si>
  <si>
    <t>SV.PCC.INVALID_TEMP_PATH</t>
  </si>
  <si>
    <t>Insecure Temporary File Name in Call to CreateFile</t>
  </si>
  <si>
    <t>SV.PCC.MISSING_TEMP_CALLS.MUST</t>
  </si>
  <si>
    <t>Missing Secure Temporary File Names in Call to CreateFile</t>
  </si>
  <si>
    <t>SV.PCC.MISSING_TEMP_FILENAME</t>
  </si>
  <si>
    <t>Missing Temporary File Name in Call to CreateFile</t>
  </si>
  <si>
    <t>SV.PCC.MODIFIED_BEFORE_CREATE</t>
  </si>
  <si>
    <t>Modification of Temporary File Name before Call to CreateFile</t>
  </si>
  <si>
    <t>SV.PERMS.HOME</t>
  </si>
  <si>
    <t>File created in user home directory, without setting permissions</t>
  </si>
  <si>
    <t>SV.PERMS.WIDE</t>
  </si>
  <si>
    <t>Too wide permissions</t>
  </si>
  <si>
    <t>SV.PIPE.CONST</t>
  </si>
  <si>
    <t>Potential pipe hijacking</t>
  </si>
  <si>
    <t>SV.PIPE.VAR</t>
  </si>
  <si>
    <t>SV.PRIVILEGE.MISSING</t>
  </si>
  <si>
    <t>Method invoked should not be inside doPrivileged block</t>
  </si>
  <si>
    <t>SV.RANDOM</t>
  </si>
  <si>
    <t>Use of insecure Random number generator</t>
  </si>
  <si>
    <t>SV.RVT.RETVAL_NOTTESTED</t>
  </si>
  <si>
    <t>Ignored Return Value</t>
  </si>
  <si>
    <t>SV.SCRIPT</t>
  </si>
  <si>
    <t>Script Execution</t>
  </si>
  <si>
    <t>SV.SENSITIVE.DATA</t>
  </si>
  <si>
    <t>Unencrypted sensitive data is written</t>
  </si>
  <si>
    <t>SV.SENSITIVE.OBJ</t>
  </si>
  <si>
    <t>Object with unencrypted sensitive data is stored</t>
  </si>
  <si>
    <t>SV.SERIAL.INON</t>
  </si>
  <si>
    <t>Interface extends 'Serializable'</t>
  </si>
  <si>
    <t>SV.SERIAL.NOFINAL</t>
  </si>
  <si>
    <t>Methods readObject() and writeObject() in serializable classes should be final</t>
  </si>
  <si>
    <t>SV.SERIAL.NON</t>
  </si>
  <si>
    <t>Class implements 'Serializable'</t>
  </si>
  <si>
    <t>SV.SERIAL.NOREAD</t>
  </si>
  <si>
    <t>Method readObject() should be defined for a serializable class</t>
  </si>
  <si>
    <t>SV.SERIAL.NOWRITE</t>
  </si>
  <si>
    <t>Method writeObject() should be defined for a serializable class</t>
  </si>
  <si>
    <t>SV.SERIAL.OVERRIDE</t>
  </si>
  <si>
    <t>Do not invoke overridable methods from the readObject() method</t>
  </si>
  <si>
    <t>SV.SERIAL.SIG</t>
  </si>
  <si>
    <t>Methods readObject() and writeObject() in serializable classes should have correct signature</t>
  </si>
  <si>
    <t>SV.SHARED.VAR</t>
  </si>
  <si>
    <t>Unsynchronized access to static variable from servlet</t>
  </si>
  <si>
    <t>SV.SIP.CONST</t>
  </si>
  <si>
    <t>SV.SIP.VAR</t>
  </si>
  <si>
    <t>SV.SOCKETS</t>
  </si>
  <si>
    <t>Bad practices: use of sockets</t>
  </si>
  <si>
    <t>SV.SQL</t>
  </si>
  <si>
    <t>Sql Injection</t>
  </si>
  <si>
    <t>SV.SQL.DBSOURCE</t>
  </si>
  <si>
    <t>Unchecked information from the database is used in SQL statements</t>
  </si>
  <si>
    <t>SV.STRBO.BOUND_COPY.OVERFLOW</t>
  </si>
  <si>
    <t>Buffer Overflow in Bound String Copy</t>
  </si>
  <si>
    <t>SV.STRBO.BOUND_COPY.UNTERM</t>
  </si>
  <si>
    <t>Possible Buffer Overflow in Following String Operations</t>
  </si>
  <si>
    <t>SV.STRBO.BOUND_SPRINTF</t>
  </si>
  <si>
    <t>Buffer Overflow in Bound sprintf</t>
  </si>
  <si>
    <t>SV.STRBO.UNBOUND_COPY</t>
  </si>
  <si>
    <t>Buffer Overflow in Unbound String Copy</t>
  </si>
  <si>
    <t>SV.STRBO.UNBOUND_SPRINTF</t>
  </si>
  <si>
    <t>Buffer Overflow in Unbound sprintf</t>
  </si>
  <si>
    <t>SV.STRBUF.CLEAN</t>
  </si>
  <si>
    <t>String buffer not cleaned</t>
  </si>
  <si>
    <t>SV.STRUTS.NOTRESET</t>
  </si>
  <si>
    <t>Struts Forms: inconsistent reset</t>
  </si>
  <si>
    <t>SV.STRUTS.NOTVALID</t>
  </si>
  <si>
    <t>Struts Forms: inconsistent validate</t>
  </si>
  <si>
    <t>SV.STRUTS.PRIVATE</t>
  </si>
  <si>
    <t>Struts Forms: non-private fields</t>
  </si>
  <si>
    <t>SV.STRUTS.RESETMET</t>
  </si>
  <si>
    <t>Struts Forms: reset method</t>
  </si>
  <si>
    <t>SV.STRUTS.STATIC</t>
  </si>
  <si>
    <t>Struts Forms: static fields</t>
  </si>
  <si>
    <t>SV.STRUTS.VALIDMET</t>
  </si>
  <si>
    <t>Struts Forms: validate method</t>
  </si>
  <si>
    <t>SV.STR_PAR.UNDESIRED_STRING_PARAMETER</t>
  </si>
  <si>
    <t>Undesired String for File Path</t>
  </si>
  <si>
    <t>SV.TAINT</t>
  </si>
  <si>
    <t>Tainted data</t>
  </si>
  <si>
    <t>Dereference Of An Unvalidated Pointer</t>
  </si>
  <si>
    <t>SV.TAINTED.CALL.GLOBAL</t>
  </si>
  <si>
    <t>SV.TAINTED.GLOBAL</t>
  </si>
  <si>
    <t>Command Injection</t>
  </si>
  <si>
    <t>Security Decision</t>
  </si>
  <si>
    <t>SV.TAINTED.XSS.REFLECTED</t>
  </si>
  <si>
    <t>Cross-site Scripting Vulnerability</t>
  </si>
  <si>
    <t>SV.TAINT_NATIVE</t>
  </si>
  <si>
    <t>Tainted data goes to native code</t>
  </si>
  <si>
    <t>SV.TMPFILE</t>
  </si>
  <si>
    <t>Temporary file path tampering</t>
  </si>
  <si>
    <t>SV.TOCTOU.FILE_ACCESS</t>
  </si>
  <si>
    <t>Time of Creation/Time of Use Race condition in File Access</t>
  </si>
  <si>
    <t>SV.UMC.EXIT</t>
  </si>
  <si>
    <t>The System.exit() and Runtime.exit() method calls should not be used in servlets code</t>
  </si>
  <si>
    <t>SV.UMC.JDBC</t>
  </si>
  <si>
    <t>Application should avoid calling to DriverManager.getConnection() directly</t>
  </si>
  <si>
    <t>SV.UMC.THREADS</t>
  </si>
  <si>
    <t>Bad practices: use of thread management</t>
  </si>
  <si>
    <t>SV.UMD.MAIN</t>
  </si>
  <si>
    <t>Leftover debug code - main method</t>
  </si>
  <si>
    <t>SV.UNBOUND_STRING_INPUT.CIN</t>
  </si>
  <si>
    <t>Usage of cin for unbounded string input</t>
  </si>
  <si>
    <t>SV.UNBOUND_STRING_INPUT.FUNC</t>
  </si>
  <si>
    <t>Usage of unbounded string input</t>
  </si>
  <si>
    <t>SV.USAGERULES.PERMISSIONS</t>
  </si>
  <si>
    <t>SV.USAGERULES.PROCESS_VARIANTS</t>
  </si>
  <si>
    <t>Use of Dangerous Process Creation Function</t>
  </si>
  <si>
    <t>SV.USAGERULES.SPOOFING</t>
  </si>
  <si>
    <t>Use of Function Susceptible to Spoofing</t>
  </si>
  <si>
    <t>SV.USE.POLICY</t>
  </si>
  <si>
    <t>Direct use methods of Policy</t>
  </si>
  <si>
    <t>SV.WEAK.CRYPT</t>
  </si>
  <si>
    <t>Use of a Broken or Risky Cryptographic Algorithm</t>
  </si>
  <si>
    <t>SV.WEAK_CRYPTO.WEAK_HASH</t>
  </si>
  <si>
    <t>Weak Hash Function</t>
  </si>
  <si>
    <t>SV.XPATH</t>
  </si>
  <si>
    <t>Unvalidated user input is used as an XPath expression</t>
  </si>
  <si>
    <t>SV.XSS.COOKIE</t>
  </si>
  <si>
    <t>Sensitive cookie without setHttpOnly flag</t>
  </si>
  <si>
    <t>SV.XSS.DB</t>
  </si>
  <si>
    <t>Cross Site Scripting (Stored XSS)</t>
  </si>
  <si>
    <t>SV.XSS.REF</t>
  </si>
  <si>
    <t>Cross Site Scripting (Reflected XSS)</t>
  </si>
  <si>
    <t>SV.XXE.DBF</t>
  </si>
  <si>
    <t>Possibility for XML External Entity attack</t>
  </si>
  <si>
    <t>SV.XXE.SF</t>
  </si>
  <si>
    <t>SV.XXE.SPF</t>
  </si>
  <si>
    <t>SV.XXE.TF</t>
  </si>
  <si>
    <t>SV.XXE.XIF</t>
  </si>
  <si>
    <t>SV.XXE.XRF</t>
  </si>
  <si>
    <t>SYNCH.NESTED</t>
  </si>
  <si>
    <t>Synchronized method calls another synchronized method with the same lock held</t>
  </si>
  <si>
    <t>SYNCH.NESTEDS</t>
  </si>
  <si>
    <t>Synchronized static method calls another synchronized static method with the same lock held</t>
  </si>
  <si>
    <t>UC.BOOLB</t>
  </si>
  <si>
    <t>Unnecessary creation of new Boolean object from a boolean expression</t>
  </si>
  <si>
    <t>UC.BOOLS</t>
  </si>
  <si>
    <t>Unnecessary creation of new Boolean object from a string expression</t>
  </si>
  <si>
    <t>UC.STRS</t>
  </si>
  <si>
    <t>Unnecessary creation of new String object from a string expression</t>
  </si>
  <si>
    <t>UC.STRV</t>
  </si>
  <si>
    <t>Unnecessary creation of empty String object</t>
  </si>
  <si>
    <t>UF.IMAGEIO</t>
  </si>
  <si>
    <t>Usage of closed ImageIO stream</t>
  </si>
  <si>
    <t>UF.IN</t>
  </si>
  <si>
    <t>Usage of closed input stream</t>
  </si>
  <si>
    <t>UF.JNDI</t>
  </si>
  <si>
    <t>Usage of closed JNDI context</t>
  </si>
  <si>
    <t>UF.MAIL</t>
  </si>
  <si>
    <t>Usage of closed Java mail object</t>
  </si>
  <si>
    <t>UF.MICRO</t>
  </si>
  <si>
    <t>Usage of closed Java Microedition connection</t>
  </si>
  <si>
    <t>UF.NIO</t>
  </si>
  <si>
    <t>Usage of closed NIO object</t>
  </si>
  <si>
    <t>UF.OUT</t>
  </si>
  <si>
    <t>Usage of closed output stream</t>
  </si>
  <si>
    <t>UF.SOCK</t>
  </si>
  <si>
    <t>Usage of closed socket</t>
  </si>
  <si>
    <t>UF.SQLCON</t>
  </si>
  <si>
    <t>Usage of closed SQL connection</t>
  </si>
  <si>
    <t>UF.SQLOBJ</t>
  </si>
  <si>
    <t>Usage of closed SQL object</t>
  </si>
  <si>
    <t>UF.ZIP</t>
  </si>
  <si>
    <t>Usage of closed zip file</t>
  </si>
  <si>
    <t>UFM.DEREF.MIGHT</t>
  </si>
  <si>
    <t>Use of free memory (access) - possible</t>
  </si>
  <si>
    <t>UFM.DEREF.MUST</t>
  </si>
  <si>
    <t>Use of Freed Memory by Pointer</t>
  </si>
  <si>
    <t>UFM.FFM.MIGHT</t>
  </si>
  <si>
    <t>Use of free memory (double free) - possible</t>
  </si>
  <si>
    <t>UFM.FFM.MUST</t>
  </si>
  <si>
    <t>Freeing Freed Memory</t>
  </si>
  <si>
    <t>UFM.RETURN.MIGHT</t>
  </si>
  <si>
    <t>Use of freed memory (return) - possible</t>
  </si>
  <si>
    <t>UFM.RETURN.MUST</t>
  </si>
  <si>
    <t>Use of Freed Memory on Return</t>
  </si>
  <si>
    <t>UFM.USE.MIGHT</t>
  </si>
  <si>
    <t>Use of free memory - possible</t>
  </si>
  <si>
    <t>UFM.USE.MUST</t>
  </si>
  <si>
    <t>Use of Freed Memory</t>
  </si>
  <si>
    <t>UMC.EXIT</t>
  </si>
  <si>
    <t>The System.exit() method call is unwanted</t>
  </si>
  <si>
    <t>UMC.GC</t>
  </si>
  <si>
    <t>The System.gc() method call is unwanted</t>
  </si>
  <si>
    <t>UMC.SYSERR</t>
  </si>
  <si>
    <t>Debug print using System.err method calls is unwanted</t>
  </si>
  <si>
    <t>UMC.SYSOUT</t>
  </si>
  <si>
    <t>Debug print using System.out method calls is unwanted</t>
  </si>
  <si>
    <t>UMC.TOSTRING</t>
  </si>
  <si>
    <t>Unnecessary toString() method called for a String argument</t>
  </si>
  <si>
    <t>UNINIT.CTOR.MIGHT</t>
  </si>
  <si>
    <t>Uninitialized Variable in Constructor - possible</t>
  </si>
  <si>
    <t>UNINIT.CTOR.MUST</t>
  </si>
  <si>
    <t>Uninitialized Variable in Constructor</t>
  </si>
  <si>
    <t>Uninitialized Heap Use - possible</t>
  </si>
  <si>
    <t>Uninitialized Heap Use</t>
  </si>
  <si>
    <t>Uninitialized Array - possible</t>
  </si>
  <si>
    <t>Uninitialized Array</t>
  </si>
  <si>
    <t>Partially Uninitialized Array</t>
  </si>
  <si>
    <t>Uninitialized Variable - possible</t>
  </si>
  <si>
    <t>Uninitialized Variable</t>
  </si>
  <si>
    <t>Unreachable code</t>
  </si>
  <si>
    <t>Unreachable Void Return</t>
  </si>
  <si>
    <t>UNREACH.SIZEOF</t>
  </si>
  <si>
    <t>Architecture-related unreachable code</t>
  </si>
  <si>
    <t>UNUSED.FUNC.GEN</t>
  </si>
  <si>
    <t>Function defined but not used</t>
  </si>
  <si>
    <t>UNUSED.FUNC.STL_EMPTY</t>
  </si>
  <si>
    <t>Ignored return value of an STL object empty() method</t>
  </si>
  <si>
    <t>UNUSED.FUNC.WARN</t>
  </si>
  <si>
    <t>Potential unused function</t>
  </si>
  <si>
    <t>Value is Never Used after Assignment</t>
  </si>
  <si>
    <t>Value is Never Used after Initialization</t>
  </si>
  <si>
    <t>VOIDRET</t>
  </si>
  <si>
    <t>Void function returns value</t>
  </si>
  <si>
    <t>_.ENDIAN.MACROS</t>
  </si>
  <si>
    <t xml:space="preserve"> </t>
  </si>
  <si>
    <t>paths</t>
  </si>
  <si>
    <t>['**/mcusw/mcal_drv/mcal/examples_config/Adc_Demo_Cfg/output/generated/**', '**/mcusw/mcal_drv/mcal/Adc/**']</t>
  </si>
  <si>
    <t>['**/mcusw/mcal_drv/mcal/examples_config/Can_Demo_Cfg/output/generated/**', '**/mcusw/mcal_drv/mcal/Can/**']</t>
  </si>
  <si>
    <t>['**/mcusw/mcal_drv/mcal/examples_config/Dio_Demo_Cfg/output/generated/**', '**/mcusw/mcal_drv/mcal/Dio/**']</t>
  </si>
  <si>
    <t>['**/mcusw/mcal_drv/mcal/examples_config/Wdg_Demo_Cfg/output/generated/**', '**/mcusw/mcal_drv/mcal/Wdg/**']</t>
  </si>
  <si>
    <t>['**/mcusw/mcal_drv/mcal/examples_config/Spi_Demo_Cfg/output/generated/**', '**/mcusw/mcal_drv/mcal/Spi/**']</t>
  </si>
  <si>
    <t>['**/mcusw/mcal_drv/mcal/examples_config/Gpt_Demo_Cfg/output/generated/**', '**/mcusw/mcal_drv/mcal/Gpt/**']</t>
  </si>
  <si>
    <t>['**/mcusw/mcal_drv/mcal/examples/Icu/icu_app/Icu_Demo_Cfg/output/generated/**', '**/mcusw/mcal_drv/mcal/Icu/**', '**/mcusw/mcal_drv/mcal/examples/Icu/icu_app/Pwm_Demo_Cfg/output/generated/**']</t>
  </si>
  <si>
    <t>['**/mcusw/mcal_drv/mcal/examples_config/Pwm_Demo_Cfg/output/generated/**', '**/mcusw/mcal_drv/mcal/Pwm/**']</t>
  </si>
  <si>
    <t>['**/mcusw/mcal_drv/mcal/examples/Mcu/mcu_app/Mcu_Demo_Cfg/output/generated/**', '**/mcusw/mcal_drv/mcal/Mcu/**']</t>
  </si>
  <si>
    <t>['**/mcusw/mcal_drv/mcal/examples_config/Fls_Demo_Cfg/output/generated/**']</t>
  </si>
  <si>
    <t>['**/mcusw/mcal_drv/mcal/examples_config/Fls_Demo_Cfg/output/generated/**', '**/mcusw/mcal_drv/mcal/Fls/**']</t>
  </si>
  <si>
    <t>['**/mcusw/mcal_drv/mcal/examples_config/CddIpc_Demo_Cfg/output/generated/**', '**/mcusw/mcal_drv/mcal/CddIpc/**']</t>
  </si>
  <si>
    <t>TI Confidential - NDA Restrictions</t>
  </si>
  <si>
    <t>Copyright © 2022 Texas Instruments Incorporated.  All rights reserved.</t>
  </si>
  <si>
    <t>Information in this document is subject to change without notice.  Texas Instruments may have pending patent applications, trademarks, copyrights, or other intellectual property rights covering matter in this document. The furnishing of this documents is given for usage with Texas Instruments products only and does not give you any license to the intellectual property that might be contained within this document.  Texas Instruments makes no implied or expressed warranties in this document and is not responsible for the products based from this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</si>
</sst>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ont>
    <font>
      <sz val="11"/>
      <color rgb="FFFFFFFF"/>
      <name val="Calibri"/>
    </font>
    <font>
      <b/>
      <sz val="10"/>
      <color rgb="FF000000"/>
      <name val="Calibri"/>
      <family val="2"/>
    </font>
    <font>
      <sz val="9"/>
      <color rgb="FF000000"/>
      <name val="Calibri"/>
      <family val="2"/>
    </font>
  </fonts>
  <fills count="13">
    <fill>
      <patternFill patternType="none"/>
    </fill>
    <fill>
      <patternFill patternType="gray125"/>
    </fill>
    <fill>
      <patternFill patternType="solid">
        <fgColor rgb="FF85E4F7"/>
      </patternFill>
    </fill>
    <fill>
      <patternFill patternType="solid">
        <fgColor rgb="FF215967"/>
      </patternFill>
    </fill>
    <fill>
      <patternFill patternType="solid">
        <fgColor rgb="FFC4D79B"/>
      </patternFill>
    </fill>
    <fill>
      <patternFill patternType="solid">
        <fgColor rgb="FFFFC000"/>
      </patternFill>
    </fill>
    <fill>
      <patternFill patternType="solid">
        <fgColor rgb="FF92D050"/>
      </patternFill>
    </fill>
    <fill>
      <patternFill patternType="solid">
        <fgColor rgb="FF00B050"/>
      </patternFill>
    </fill>
    <fill>
      <patternFill patternType="solid">
        <fgColor rgb="FFFF0000"/>
      </patternFill>
    </fill>
    <fill>
      <patternFill patternType="solid">
        <fgColor rgb="FF008000"/>
      </patternFill>
    </fill>
    <fill>
      <patternFill patternType="solid">
        <fgColor rgb="FFFFFF00"/>
      </patternFill>
    </fill>
    <fill>
      <patternFill patternType="solid">
        <fgColor rgb="FFC0C0C0"/>
      </patternFill>
    </fill>
    <fill>
      <patternFill patternType="solid">
        <fgColor rgb="FF002060"/>
      </patternFill>
    </fill>
  </fills>
  <borders count="5">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1" fillId="2" borderId="1" xfId="0" applyFont="1" applyFill="1" applyBorder="1" applyAlignment="1">
      <alignment horizontal="center" vertical="center" wrapText="1"/>
    </xf>
    <xf numFmtId="0" fontId="0" fillId="0" borderId="0" xfId="0" applyAlignment="1">
      <alignment horizontal="center" vertical="center" wrapText="1"/>
    </xf>
    <xf numFmtId="0" fontId="1" fillId="5" borderId="1" xfId="0" applyFont="1" applyFill="1" applyBorder="1" applyAlignment="1">
      <alignment horizontal="center" vertical="center" wrapText="1"/>
    </xf>
    <xf numFmtId="0" fontId="0" fillId="9" borderId="0" xfId="0" applyFill="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0" fillId="6" borderId="0" xfId="0" applyFill="1" applyAlignment="1">
      <alignment horizontal="center" vertical="center" wrapText="1"/>
    </xf>
    <xf numFmtId="0" fontId="0" fillId="8" borderId="0" xfId="0" applyFill="1" applyAlignment="1">
      <alignment horizontal="center" vertical="center" wrapText="1"/>
    </xf>
    <xf numFmtId="0" fontId="0" fillId="7" borderId="0" xfId="0" applyFill="1" applyAlignment="1">
      <alignment horizontal="center" vertical="center" wrapText="1"/>
    </xf>
    <xf numFmtId="0" fontId="2" fillId="12" borderId="1"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0" xfId="0" applyFont="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2"/>
  <sheetViews>
    <sheetView tabSelected="1" workbookViewId="0">
      <selection sqref="A1:XFD4"/>
    </sheetView>
  </sheetViews>
  <sheetFormatPr defaultRowHeight="15" x14ac:dyDescent="0.25"/>
  <cols>
    <col min="1" max="1" width="10" customWidth="1"/>
    <col min="2" max="2" width="35" customWidth="1"/>
    <col min="3" max="3" width="80" customWidth="1"/>
  </cols>
  <sheetData>
    <row r="1" spans="1:7" x14ac:dyDescent="0.25">
      <c r="A1" s="14" t="s">
        <v>3407</v>
      </c>
      <c r="B1" s="15"/>
      <c r="C1" s="15"/>
      <c r="D1" s="15"/>
      <c r="E1" s="15"/>
      <c r="F1" s="15"/>
      <c r="G1" s="16"/>
    </row>
    <row r="2" spans="1:7" ht="16.149999999999999" customHeight="1" x14ac:dyDescent="0.25">
      <c r="A2" s="14" t="s">
        <v>3408</v>
      </c>
      <c r="B2" s="15"/>
      <c r="C2" s="15"/>
      <c r="D2" s="15"/>
      <c r="E2" s="15"/>
      <c r="F2" s="15"/>
      <c r="G2" s="16"/>
    </row>
    <row r="3" spans="1:7" ht="42" customHeight="1" x14ac:dyDescent="0.25">
      <c r="A3" s="17" t="s">
        <v>3409</v>
      </c>
      <c r="B3" s="18"/>
      <c r="C3" s="18"/>
      <c r="D3" s="18"/>
      <c r="E3" s="18"/>
      <c r="F3" s="18"/>
      <c r="G3" s="19"/>
    </row>
    <row r="4" spans="1:7" ht="19.5" customHeight="1" x14ac:dyDescent="0.25">
      <c r="A4" s="20"/>
      <c r="B4" s="21"/>
      <c r="C4" s="21"/>
      <c r="D4" s="22"/>
      <c r="E4" s="22"/>
      <c r="F4" s="22"/>
      <c r="G4" s="22"/>
    </row>
    <row r="5" spans="1:7" x14ac:dyDescent="0.25">
      <c r="A5" s="1" t="s">
        <v>0</v>
      </c>
      <c r="B5" s="1" t="s">
        <v>1</v>
      </c>
      <c r="C5" s="1" t="s">
        <v>2</v>
      </c>
    </row>
    <row r="6" spans="1:7" x14ac:dyDescent="0.25">
      <c r="A6" s="2">
        <v>1</v>
      </c>
      <c r="B6" s="2" t="s">
        <v>3</v>
      </c>
      <c r="C6" s="2" t="s">
        <v>4</v>
      </c>
    </row>
    <row r="7" spans="1:7" x14ac:dyDescent="0.25">
      <c r="A7" s="2">
        <v>2</v>
      </c>
      <c r="B7" s="2" t="s">
        <v>5</v>
      </c>
      <c r="C7" s="2" t="s">
        <v>6</v>
      </c>
    </row>
    <row r="8" spans="1:7" ht="30" x14ac:dyDescent="0.25">
      <c r="A8" s="2">
        <v>3</v>
      </c>
      <c r="B8" s="2" t="s">
        <v>7</v>
      </c>
      <c r="C8" s="2" t="s">
        <v>8</v>
      </c>
    </row>
    <row r="9" spans="1:7" ht="30" x14ac:dyDescent="0.25">
      <c r="A9" s="2">
        <v>4</v>
      </c>
      <c r="B9" s="2" t="s">
        <v>9</v>
      </c>
      <c r="C9" s="2" t="s">
        <v>10</v>
      </c>
    </row>
    <row r="10" spans="1:7" x14ac:dyDescent="0.25">
      <c r="A10" s="2">
        <v>5</v>
      </c>
      <c r="B10" s="2" t="s">
        <v>11</v>
      </c>
      <c r="C10" s="2" t="s">
        <v>12</v>
      </c>
    </row>
    <row r="11" spans="1:7" ht="30" x14ac:dyDescent="0.25">
      <c r="A11" s="2">
        <v>6</v>
      </c>
      <c r="B11" s="2" t="s">
        <v>13</v>
      </c>
      <c r="C11" s="2" t="s">
        <v>14</v>
      </c>
    </row>
    <row r="12" spans="1:7" x14ac:dyDescent="0.25">
      <c r="A12" s="2">
        <v>7</v>
      </c>
      <c r="B12" s="2" t="s">
        <v>15</v>
      </c>
      <c r="C12" s="2" t="s">
        <v>16</v>
      </c>
    </row>
    <row r="13" spans="1:7" x14ac:dyDescent="0.25">
      <c r="A13" s="2">
        <v>8</v>
      </c>
      <c r="B13" s="2" t="s">
        <v>17</v>
      </c>
      <c r="C13" s="2" t="s">
        <v>18</v>
      </c>
    </row>
    <row r="14" spans="1:7" x14ac:dyDescent="0.25">
      <c r="A14" s="2">
        <v>9</v>
      </c>
      <c r="B14" s="2" t="s">
        <v>19</v>
      </c>
      <c r="C14" s="2" t="s">
        <v>20</v>
      </c>
    </row>
    <row r="15" spans="1:7" ht="30" x14ac:dyDescent="0.25">
      <c r="A15" s="2">
        <v>10</v>
      </c>
      <c r="B15" s="2" t="s">
        <v>21</v>
      </c>
      <c r="C15" s="2" t="s">
        <v>22</v>
      </c>
    </row>
    <row r="16" spans="1:7" ht="30" x14ac:dyDescent="0.25">
      <c r="A16" s="2">
        <v>11</v>
      </c>
      <c r="B16" s="2" t="s">
        <v>23</v>
      </c>
      <c r="C16" s="2" t="s">
        <v>24</v>
      </c>
    </row>
    <row r="17" spans="1:3" x14ac:dyDescent="0.25">
      <c r="A17" s="2">
        <v>12</v>
      </c>
      <c r="B17" s="2" t="s">
        <v>25</v>
      </c>
      <c r="C17" s="2" t="s">
        <v>26</v>
      </c>
    </row>
    <row r="18" spans="1:3" ht="30" x14ac:dyDescent="0.25">
      <c r="A18" s="2">
        <v>13</v>
      </c>
      <c r="B18" s="2" t="s">
        <v>27</v>
      </c>
      <c r="C18" s="2" t="s">
        <v>28</v>
      </c>
    </row>
    <row r="19" spans="1:3" x14ac:dyDescent="0.25">
      <c r="A19" s="2">
        <v>14</v>
      </c>
      <c r="B19" s="2" t="s">
        <v>29</v>
      </c>
      <c r="C19" s="2" t="s">
        <v>30</v>
      </c>
    </row>
    <row r="20" spans="1:3" ht="30" x14ac:dyDescent="0.25">
      <c r="A20" s="2">
        <v>15</v>
      </c>
      <c r="B20" s="2" t="s">
        <v>31</v>
      </c>
      <c r="C20" s="2" t="s">
        <v>32</v>
      </c>
    </row>
    <row r="21" spans="1:3" x14ac:dyDescent="0.25">
      <c r="A21" s="2">
        <v>16</v>
      </c>
      <c r="B21" s="2" t="s">
        <v>33</v>
      </c>
      <c r="C21" s="2" t="s">
        <v>34</v>
      </c>
    </row>
    <row r="22" spans="1:3" ht="30" x14ac:dyDescent="0.25">
      <c r="A22" s="2">
        <v>17</v>
      </c>
      <c r="B22" s="2" t="s">
        <v>35</v>
      </c>
      <c r="C22" s="2" t="s">
        <v>36</v>
      </c>
    </row>
  </sheetData>
  <mergeCells count="3">
    <mergeCell ref="A1:G1"/>
    <mergeCell ref="A2:G2"/>
    <mergeCell ref="A3:G3"/>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14"/>
  <sheetViews>
    <sheetView workbookViewId="0"/>
  </sheetViews>
  <sheetFormatPr defaultRowHeight="15" x14ac:dyDescent="0.25"/>
  <cols>
    <col min="1" max="1" width="16" customWidth="1"/>
    <col min="2" max="2" width="8" customWidth="1"/>
    <col min="3" max="3" width="19" customWidth="1"/>
    <col min="4" max="4" width="8" customWidth="1"/>
    <col min="5" max="5" width="19" customWidth="1"/>
    <col min="6" max="13" width="8" customWidth="1"/>
  </cols>
  <sheetData>
    <row r="1" spans="1:13" ht="60" x14ac:dyDescent="0.25">
      <c r="A1" s="5" t="s">
        <v>91</v>
      </c>
      <c r="B1" s="1" t="s">
        <v>78</v>
      </c>
      <c r="C1" s="1" t="s">
        <v>79</v>
      </c>
      <c r="D1" s="6" t="s">
        <v>76</v>
      </c>
      <c r="E1" s="6" t="s">
        <v>77</v>
      </c>
      <c r="F1" s="3" t="s">
        <v>114</v>
      </c>
      <c r="G1" s="3" t="s">
        <v>72</v>
      </c>
      <c r="H1" s="3" t="s">
        <v>74</v>
      </c>
      <c r="I1" s="3" t="s">
        <v>115</v>
      </c>
      <c r="J1" s="3" t="s">
        <v>116</v>
      </c>
      <c r="K1" s="3" t="s">
        <v>117</v>
      </c>
      <c r="L1" s="3" t="s">
        <v>118</v>
      </c>
      <c r="M1" s="3" t="s">
        <v>119</v>
      </c>
    </row>
    <row r="2" spans="1:13" x14ac:dyDescent="0.25">
      <c r="A2" s="9" t="s">
        <v>92</v>
      </c>
      <c r="B2" s="2">
        <v>0</v>
      </c>
      <c r="C2" s="2">
        <v>0</v>
      </c>
      <c r="D2" s="2">
        <v>0</v>
      </c>
      <c r="E2" s="2">
        <v>0</v>
      </c>
      <c r="F2" s="2">
        <v>0</v>
      </c>
      <c r="G2" s="2">
        <v>0</v>
      </c>
      <c r="H2" s="2">
        <v>0</v>
      </c>
      <c r="I2" s="2">
        <v>0</v>
      </c>
      <c r="J2" s="2">
        <v>0</v>
      </c>
      <c r="K2" s="2">
        <v>0</v>
      </c>
      <c r="L2" s="2">
        <v>0</v>
      </c>
      <c r="M2" s="2">
        <v>0</v>
      </c>
    </row>
    <row r="3" spans="1:13" x14ac:dyDescent="0.25">
      <c r="A3" s="9" t="s">
        <v>93</v>
      </c>
      <c r="B3" s="2">
        <v>0</v>
      </c>
      <c r="C3" s="2">
        <v>0</v>
      </c>
      <c r="D3" s="2">
        <v>0</v>
      </c>
      <c r="E3" s="2">
        <v>0</v>
      </c>
      <c r="F3" s="2">
        <v>0</v>
      </c>
      <c r="G3" s="2">
        <v>0</v>
      </c>
      <c r="H3" s="2">
        <v>0</v>
      </c>
      <c r="I3" s="2">
        <v>0</v>
      </c>
      <c r="J3" s="2">
        <v>0</v>
      </c>
      <c r="K3" s="2">
        <v>0</v>
      </c>
      <c r="L3" s="2">
        <v>0</v>
      </c>
      <c r="M3" s="2">
        <v>0</v>
      </c>
    </row>
    <row r="4" spans="1:13" x14ac:dyDescent="0.25">
      <c r="A4" s="9" t="s">
        <v>94</v>
      </c>
      <c r="B4" s="2">
        <v>0</v>
      </c>
      <c r="C4" s="2">
        <v>0</v>
      </c>
      <c r="D4" s="2">
        <v>0</v>
      </c>
      <c r="E4" s="2">
        <v>0</v>
      </c>
      <c r="F4" s="2">
        <v>0</v>
      </c>
      <c r="G4" s="2">
        <v>0</v>
      </c>
      <c r="H4" s="2">
        <v>0</v>
      </c>
      <c r="I4" s="2">
        <v>0</v>
      </c>
      <c r="J4" s="2">
        <v>0</v>
      </c>
      <c r="K4" s="2">
        <v>0</v>
      </c>
      <c r="L4" s="2">
        <v>0</v>
      </c>
      <c r="M4" s="2">
        <v>0</v>
      </c>
    </row>
    <row r="5" spans="1:13" x14ac:dyDescent="0.25">
      <c r="A5" s="9" t="s">
        <v>95</v>
      </c>
      <c r="B5" s="2">
        <v>0</v>
      </c>
      <c r="C5" s="2">
        <v>0</v>
      </c>
      <c r="D5" s="2">
        <v>0</v>
      </c>
      <c r="E5" s="2">
        <v>0</v>
      </c>
      <c r="F5" s="2">
        <v>0</v>
      </c>
      <c r="G5" s="2">
        <v>0</v>
      </c>
      <c r="H5" s="2">
        <v>0</v>
      </c>
      <c r="I5" s="2">
        <v>0</v>
      </c>
      <c r="J5" s="2">
        <v>0</v>
      </c>
      <c r="K5" s="2">
        <v>0</v>
      </c>
      <c r="L5" s="2">
        <v>0</v>
      </c>
      <c r="M5" s="2">
        <v>0</v>
      </c>
    </row>
    <row r="6" spans="1:13" x14ac:dyDescent="0.25">
      <c r="A6" s="9" t="s">
        <v>96</v>
      </c>
      <c r="B6" s="2">
        <v>0</v>
      </c>
      <c r="C6" s="2">
        <v>0</v>
      </c>
      <c r="D6" s="2">
        <v>0</v>
      </c>
      <c r="E6" s="2">
        <v>0</v>
      </c>
      <c r="F6" s="2">
        <v>0</v>
      </c>
      <c r="G6" s="2">
        <v>0</v>
      </c>
      <c r="H6" s="2">
        <v>0</v>
      </c>
      <c r="I6" s="2">
        <v>0</v>
      </c>
      <c r="J6" s="2">
        <v>0</v>
      </c>
      <c r="K6" s="2">
        <v>0</v>
      </c>
      <c r="L6" s="2">
        <v>0</v>
      </c>
      <c r="M6" s="2">
        <v>0</v>
      </c>
    </row>
    <row r="7" spans="1:13" x14ac:dyDescent="0.25">
      <c r="A7" s="9" t="s">
        <v>97</v>
      </c>
      <c r="B7" s="2">
        <v>0</v>
      </c>
      <c r="C7" s="2">
        <v>0</v>
      </c>
      <c r="D7" s="2">
        <v>0</v>
      </c>
      <c r="E7" s="2">
        <v>0</v>
      </c>
      <c r="F7" s="2">
        <v>0</v>
      </c>
      <c r="G7" s="2">
        <v>0</v>
      </c>
      <c r="H7" s="2">
        <v>0</v>
      </c>
      <c r="I7" s="2">
        <v>0</v>
      </c>
      <c r="J7" s="2">
        <v>0</v>
      </c>
      <c r="K7" s="2">
        <v>0</v>
      </c>
      <c r="L7" s="2">
        <v>0</v>
      </c>
      <c r="M7" s="2">
        <v>0</v>
      </c>
    </row>
    <row r="8" spans="1:13" x14ac:dyDescent="0.25">
      <c r="A8" s="9" t="s">
        <v>98</v>
      </c>
      <c r="B8" s="2">
        <v>0</v>
      </c>
      <c r="C8" s="2">
        <v>0</v>
      </c>
      <c r="D8" s="2">
        <v>0</v>
      </c>
      <c r="E8" s="2">
        <v>0</v>
      </c>
      <c r="F8" s="2">
        <v>0</v>
      </c>
      <c r="G8" s="2">
        <v>0</v>
      </c>
      <c r="H8" s="2">
        <v>0</v>
      </c>
      <c r="I8" s="2">
        <v>0</v>
      </c>
      <c r="J8" s="2">
        <v>0</v>
      </c>
      <c r="K8" s="2">
        <v>0</v>
      </c>
      <c r="L8" s="2">
        <v>0</v>
      </c>
      <c r="M8" s="2">
        <v>0</v>
      </c>
    </row>
    <row r="9" spans="1:13" x14ac:dyDescent="0.25">
      <c r="A9" s="9" t="s">
        <v>99</v>
      </c>
      <c r="B9" s="2">
        <v>0</v>
      </c>
      <c r="C9" s="2">
        <v>0</v>
      </c>
      <c r="D9" s="2">
        <v>0</v>
      </c>
      <c r="E9" s="2">
        <v>0</v>
      </c>
      <c r="F9" s="2">
        <v>0</v>
      </c>
      <c r="G9" s="2">
        <v>0</v>
      </c>
      <c r="H9" s="2">
        <v>0</v>
      </c>
      <c r="I9" s="2">
        <v>0</v>
      </c>
      <c r="J9" s="2">
        <v>0</v>
      </c>
      <c r="K9" s="2">
        <v>0</v>
      </c>
      <c r="L9" s="2">
        <v>0</v>
      </c>
      <c r="M9" s="2">
        <v>0</v>
      </c>
    </row>
    <row r="10" spans="1:13" x14ac:dyDescent="0.25">
      <c r="A10" s="9" t="s">
        <v>100</v>
      </c>
      <c r="B10" s="2">
        <v>0</v>
      </c>
      <c r="C10" s="2">
        <v>0</v>
      </c>
      <c r="D10" s="2">
        <v>0</v>
      </c>
      <c r="E10" s="2">
        <v>0</v>
      </c>
      <c r="F10" s="2">
        <v>0</v>
      </c>
      <c r="G10" s="2">
        <v>0</v>
      </c>
      <c r="H10" s="2">
        <v>0</v>
      </c>
      <c r="I10" s="2">
        <v>0</v>
      </c>
      <c r="J10" s="2">
        <v>0</v>
      </c>
      <c r="K10" s="2">
        <v>0</v>
      </c>
      <c r="L10" s="2">
        <v>0</v>
      </c>
      <c r="M10" s="2">
        <v>0</v>
      </c>
    </row>
    <row r="11" spans="1:13" x14ac:dyDescent="0.25">
      <c r="A11" s="9" t="s">
        <v>101</v>
      </c>
      <c r="B11" s="2">
        <v>0</v>
      </c>
      <c r="C11" s="2">
        <v>0</v>
      </c>
      <c r="D11" s="2">
        <v>0</v>
      </c>
      <c r="E11" s="2">
        <v>0</v>
      </c>
      <c r="F11" s="2">
        <v>0</v>
      </c>
      <c r="G11" s="2">
        <v>0</v>
      </c>
      <c r="H11" s="2">
        <v>0</v>
      </c>
      <c r="I11" s="2">
        <v>0</v>
      </c>
      <c r="J11" s="2">
        <v>0</v>
      </c>
      <c r="K11" s="2">
        <v>0</v>
      </c>
      <c r="L11" s="2">
        <v>0</v>
      </c>
      <c r="M11" s="2">
        <v>0</v>
      </c>
    </row>
    <row r="12" spans="1:13" x14ac:dyDescent="0.25">
      <c r="A12" s="9" t="s">
        <v>102</v>
      </c>
      <c r="B12" s="2">
        <v>0</v>
      </c>
      <c r="C12" s="2">
        <v>0</v>
      </c>
      <c r="D12" s="2">
        <v>0</v>
      </c>
      <c r="E12" s="2">
        <v>0</v>
      </c>
      <c r="F12" s="2">
        <v>0</v>
      </c>
      <c r="G12" s="2">
        <v>0</v>
      </c>
      <c r="H12" s="2">
        <v>0</v>
      </c>
      <c r="I12" s="2">
        <v>0</v>
      </c>
      <c r="J12" s="2">
        <v>0</v>
      </c>
      <c r="K12" s="2">
        <v>0</v>
      </c>
      <c r="L12" s="2">
        <v>0</v>
      </c>
      <c r="M12" s="2">
        <v>0</v>
      </c>
    </row>
    <row r="13" spans="1:13" x14ac:dyDescent="0.25">
      <c r="A13" s="9" t="s">
        <v>103</v>
      </c>
      <c r="B13" s="2">
        <v>0</v>
      </c>
      <c r="C13" s="2">
        <v>0</v>
      </c>
      <c r="D13" s="2">
        <v>750</v>
      </c>
      <c r="E13" s="2">
        <v>0</v>
      </c>
      <c r="F13" s="2">
        <v>0</v>
      </c>
      <c r="G13" s="2">
        <v>742</v>
      </c>
      <c r="H13" s="2">
        <v>8</v>
      </c>
      <c r="I13" s="2">
        <v>0</v>
      </c>
      <c r="J13" s="2">
        <v>0</v>
      </c>
      <c r="K13" s="2">
        <v>0</v>
      </c>
      <c r="L13" s="2">
        <v>0</v>
      </c>
      <c r="M13" s="2">
        <v>0</v>
      </c>
    </row>
    <row r="14" spans="1:13" x14ac:dyDescent="0.25">
      <c r="A14" s="11" t="s">
        <v>90</v>
      </c>
      <c r="B14" s="11">
        <v>0</v>
      </c>
      <c r="C14" s="11">
        <v>0</v>
      </c>
      <c r="D14" s="11">
        <v>750</v>
      </c>
      <c r="E14" s="11">
        <v>0</v>
      </c>
      <c r="F14" s="11">
        <v>0</v>
      </c>
      <c r="G14" s="11">
        <v>742</v>
      </c>
      <c r="H14" s="11">
        <v>8</v>
      </c>
      <c r="I14" s="11">
        <v>0</v>
      </c>
      <c r="J14" s="11">
        <v>0</v>
      </c>
      <c r="K14" s="11">
        <v>0</v>
      </c>
      <c r="L14" s="11">
        <v>0</v>
      </c>
      <c r="M14" s="11">
        <v>0</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T751"/>
  <sheetViews>
    <sheetView workbookViewId="0"/>
  </sheetViews>
  <sheetFormatPr defaultRowHeight="15" x14ac:dyDescent="0.25"/>
  <cols>
    <col min="1" max="1" width="18" customWidth="1"/>
    <col min="2" max="2" width="20" customWidth="1"/>
    <col min="3" max="3" width="23" customWidth="1"/>
    <col min="4" max="5" width="6" customWidth="1"/>
    <col min="6" max="6" width="23" customWidth="1"/>
    <col min="7" max="7" width="10" customWidth="1"/>
    <col min="8" max="8" width="8" customWidth="1"/>
    <col min="9" max="9" width="16" customWidth="1"/>
    <col min="10" max="10" width="12" customWidth="1"/>
    <col min="11" max="11" width="7" customWidth="1"/>
    <col min="12" max="12" width="13" customWidth="1"/>
    <col min="13" max="13" width="15" customWidth="1"/>
    <col min="14" max="14" width="13" customWidth="1"/>
    <col min="15" max="16" width="20" customWidth="1"/>
    <col min="17" max="17" width="23" customWidth="1"/>
    <col min="18" max="18" width="12" customWidth="1"/>
    <col min="19" max="19" width="14" customWidth="1"/>
    <col min="20" max="20" width="23" customWidth="1"/>
  </cols>
  <sheetData>
    <row r="1" spans="1:20" ht="30" x14ac:dyDescent="0.25">
      <c r="A1" s="1" t="s">
        <v>125</v>
      </c>
      <c r="B1" s="1" t="s">
        <v>126</v>
      </c>
      <c r="C1" s="1" t="s">
        <v>127</v>
      </c>
      <c r="D1" s="1" t="s">
        <v>128</v>
      </c>
      <c r="E1" s="1" t="s">
        <v>129</v>
      </c>
      <c r="F1" s="1" t="s">
        <v>130</v>
      </c>
      <c r="G1" s="1" t="s">
        <v>131</v>
      </c>
      <c r="H1" s="1" t="s">
        <v>132</v>
      </c>
      <c r="I1" s="12" t="s">
        <v>133</v>
      </c>
      <c r="J1" s="12" t="s">
        <v>134</v>
      </c>
      <c r="K1" s="1" t="s">
        <v>135</v>
      </c>
      <c r="L1" s="1" t="s">
        <v>136</v>
      </c>
      <c r="M1" s="1" t="s">
        <v>137</v>
      </c>
      <c r="N1" s="1" t="s">
        <v>138</v>
      </c>
      <c r="O1" s="7" t="s">
        <v>139</v>
      </c>
      <c r="P1" s="7" t="s">
        <v>140</v>
      </c>
      <c r="Q1" s="7" t="s">
        <v>141</v>
      </c>
      <c r="R1" s="12" t="s">
        <v>142</v>
      </c>
      <c r="S1" s="1" t="s">
        <v>143</v>
      </c>
      <c r="T1" s="1" t="s">
        <v>144</v>
      </c>
    </row>
    <row r="2" spans="1:20" ht="105" x14ac:dyDescent="0.25">
      <c r="A2" s="2" t="s">
        <v>145</v>
      </c>
      <c r="B2" s="2" t="s">
        <v>146</v>
      </c>
      <c r="C2" s="2" t="s">
        <v>147</v>
      </c>
      <c r="D2" s="2">
        <v>8396</v>
      </c>
      <c r="E2" s="2">
        <v>1</v>
      </c>
      <c r="F2" s="2" t="s">
        <v>148</v>
      </c>
      <c r="G2" s="2" t="s">
        <v>149</v>
      </c>
      <c r="H2" s="2" t="s">
        <v>150</v>
      </c>
      <c r="I2" s="2" t="s">
        <v>123</v>
      </c>
      <c r="J2" s="2">
        <v>4</v>
      </c>
      <c r="K2" s="2" t="s">
        <v>151</v>
      </c>
      <c r="L2" s="2" t="s">
        <v>152</v>
      </c>
      <c r="M2" s="2" t="s">
        <v>153</v>
      </c>
      <c r="N2" s="2" t="str">
        <f>HYPERLINK("https://klocwork.dal.design.ti.com:443/review/insight-review.html#issuedetails_goto:problemid=8396,project=MCUSW_J7_KW_FULL,searchquery=taxonomy:'' build:RS-2022-10-06_06-07-58 grouping:off module:CddIpc","KW Issue Link")</f>
        <v>KW Issue Link</v>
      </c>
      <c r="O2" s="2"/>
      <c r="P2" s="2"/>
      <c r="Q2" s="2"/>
      <c r="R2" s="2"/>
      <c r="S2" s="2" t="s">
        <v>154</v>
      </c>
      <c r="T2" s="2"/>
    </row>
    <row r="3" spans="1:20" ht="105" x14ac:dyDescent="0.25">
      <c r="A3" s="2" t="s">
        <v>155</v>
      </c>
      <c r="B3" s="2" t="s">
        <v>156</v>
      </c>
      <c r="C3" s="2" t="s">
        <v>147</v>
      </c>
      <c r="D3" s="2">
        <v>8397</v>
      </c>
      <c r="E3" s="2">
        <v>147</v>
      </c>
      <c r="F3" s="2" t="s">
        <v>157</v>
      </c>
      <c r="G3" s="2" t="s">
        <v>149</v>
      </c>
      <c r="H3" s="2" t="s">
        <v>150</v>
      </c>
      <c r="I3" s="2" t="s">
        <v>89</v>
      </c>
      <c r="J3" s="2">
        <v>7</v>
      </c>
      <c r="K3" s="2" t="s">
        <v>151</v>
      </c>
      <c r="L3" s="2" t="s">
        <v>152</v>
      </c>
      <c r="M3" s="2" t="s">
        <v>158</v>
      </c>
      <c r="N3" s="2" t="str">
        <f>HYPERLINK("https://klocwork.dal.design.ti.com:443/review/insight-review.html#issuedetails_goto:problemid=8397,project=MCUSW_J7_KW_FULL,searchquery=taxonomy:'' build:RS-2022-10-06_06-07-58 grouping:off module:CddIpc","KW Issue Link")</f>
        <v>KW Issue Link</v>
      </c>
      <c r="O3" s="2" t="s">
        <v>159</v>
      </c>
      <c r="P3" s="2" t="s">
        <v>160</v>
      </c>
      <c r="Q3" s="2" t="s">
        <v>161</v>
      </c>
      <c r="R3" s="2" t="s">
        <v>162</v>
      </c>
      <c r="S3" s="2" t="s">
        <v>154</v>
      </c>
      <c r="T3" s="2"/>
    </row>
    <row r="4" spans="1:20" ht="105" x14ac:dyDescent="0.25">
      <c r="A4" s="2" t="s">
        <v>155</v>
      </c>
      <c r="B4" s="2" t="s">
        <v>156</v>
      </c>
      <c r="C4" s="2" t="s">
        <v>147</v>
      </c>
      <c r="D4" s="2">
        <v>8398</v>
      </c>
      <c r="E4" s="2">
        <v>150</v>
      </c>
      <c r="F4" s="2" t="s">
        <v>157</v>
      </c>
      <c r="G4" s="2" t="s">
        <v>149</v>
      </c>
      <c r="H4" s="2" t="s">
        <v>150</v>
      </c>
      <c r="I4" s="2" t="s">
        <v>89</v>
      </c>
      <c r="J4" s="2">
        <v>7</v>
      </c>
      <c r="K4" s="2" t="s">
        <v>151</v>
      </c>
      <c r="L4" s="2" t="s">
        <v>152</v>
      </c>
      <c r="M4" s="2" t="s">
        <v>158</v>
      </c>
      <c r="N4" s="2" t="str">
        <f>HYPERLINK("https://klocwork.dal.design.ti.com:443/review/insight-review.html#issuedetails_goto:problemid=8398,project=MCUSW_J7_KW_FULL,searchquery=taxonomy:'' build:RS-2022-10-06_06-07-58 grouping:off module:CddIpc","KW Issue Link")</f>
        <v>KW Issue Link</v>
      </c>
      <c r="O4" s="2" t="s">
        <v>159</v>
      </c>
      <c r="P4" s="2" t="s">
        <v>160</v>
      </c>
      <c r="Q4" s="2" t="s">
        <v>161</v>
      </c>
      <c r="R4" s="2" t="s">
        <v>162</v>
      </c>
      <c r="S4" s="2" t="s">
        <v>154</v>
      </c>
      <c r="T4" s="2"/>
    </row>
    <row r="5" spans="1:20" ht="105" x14ac:dyDescent="0.25">
      <c r="A5" s="2" t="s">
        <v>155</v>
      </c>
      <c r="B5" s="2" t="s">
        <v>156</v>
      </c>
      <c r="C5" s="2" t="s">
        <v>147</v>
      </c>
      <c r="D5" s="2">
        <v>8399</v>
      </c>
      <c r="E5" s="2">
        <v>156</v>
      </c>
      <c r="F5" s="2" t="s">
        <v>157</v>
      </c>
      <c r="G5" s="2" t="s">
        <v>149</v>
      </c>
      <c r="H5" s="2" t="s">
        <v>150</v>
      </c>
      <c r="I5" s="2" t="s">
        <v>89</v>
      </c>
      <c r="J5" s="2">
        <v>7</v>
      </c>
      <c r="K5" s="2" t="s">
        <v>151</v>
      </c>
      <c r="L5" s="2" t="s">
        <v>152</v>
      </c>
      <c r="M5" s="2" t="s">
        <v>158</v>
      </c>
      <c r="N5" s="2" t="str">
        <f>HYPERLINK("https://klocwork.dal.design.ti.com:443/review/insight-review.html#issuedetails_goto:problemid=8399,project=MCUSW_J7_KW_FULL,searchquery=taxonomy:'' build:RS-2022-10-06_06-07-58 grouping:off module:CddIpc","KW Issue Link")</f>
        <v>KW Issue Link</v>
      </c>
      <c r="O5" s="2" t="s">
        <v>159</v>
      </c>
      <c r="P5" s="2" t="s">
        <v>160</v>
      </c>
      <c r="Q5" s="2" t="s">
        <v>161</v>
      </c>
      <c r="R5" s="2" t="s">
        <v>162</v>
      </c>
      <c r="S5" s="2" t="s">
        <v>154</v>
      </c>
      <c r="T5" s="2"/>
    </row>
    <row r="6" spans="1:20" ht="105" x14ac:dyDescent="0.25">
      <c r="A6" s="2" t="s">
        <v>155</v>
      </c>
      <c r="B6" s="2" t="s">
        <v>156</v>
      </c>
      <c r="C6" s="2" t="s">
        <v>147</v>
      </c>
      <c r="D6" s="2">
        <v>8400</v>
      </c>
      <c r="E6" s="2">
        <v>159</v>
      </c>
      <c r="F6" s="2" t="s">
        <v>157</v>
      </c>
      <c r="G6" s="2" t="s">
        <v>149</v>
      </c>
      <c r="H6" s="2" t="s">
        <v>150</v>
      </c>
      <c r="I6" s="2" t="s">
        <v>89</v>
      </c>
      <c r="J6" s="2">
        <v>7</v>
      </c>
      <c r="K6" s="2" t="s">
        <v>151</v>
      </c>
      <c r="L6" s="2" t="s">
        <v>152</v>
      </c>
      <c r="M6" s="2" t="s">
        <v>158</v>
      </c>
      <c r="N6" s="2" t="str">
        <f>HYPERLINK("https://klocwork.dal.design.ti.com:443/review/insight-review.html#issuedetails_goto:problemid=8400,project=MCUSW_J7_KW_FULL,searchquery=taxonomy:'' build:RS-2022-10-06_06-07-58 grouping:off module:CddIpc","KW Issue Link")</f>
        <v>KW Issue Link</v>
      </c>
      <c r="O6" s="2" t="s">
        <v>159</v>
      </c>
      <c r="P6" s="2" t="s">
        <v>160</v>
      </c>
      <c r="Q6" s="2" t="s">
        <v>161</v>
      </c>
      <c r="R6" s="2" t="s">
        <v>162</v>
      </c>
      <c r="S6" s="2" t="s">
        <v>154</v>
      </c>
      <c r="T6" s="2"/>
    </row>
    <row r="7" spans="1:20" ht="105" x14ac:dyDescent="0.25">
      <c r="A7" s="2" t="s">
        <v>155</v>
      </c>
      <c r="B7" s="2" t="s">
        <v>156</v>
      </c>
      <c r="C7" s="2" t="s">
        <v>147</v>
      </c>
      <c r="D7" s="2">
        <v>8401</v>
      </c>
      <c r="E7" s="2">
        <v>163</v>
      </c>
      <c r="F7" s="2" t="s">
        <v>157</v>
      </c>
      <c r="G7" s="2" t="s">
        <v>149</v>
      </c>
      <c r="H7" s="2" t="s">
        <v>150</v>
      </c>
      <c r="I7" s="2" t="s">
        <v>89</v>
      </c>
      <c r="J7" s="2">
        <v>7</v>
      </c>
      <c r="K7" s="2" t="s">
        <v>151</v>
      </c>
      <c r="L7" s="2" t="s">
        <v>152</v>
      </c>
      <c r="M7" s="2" t="s">
        <v>158</v>
      </c>
      <c r="N7" s="2" t="str">
        <f>HYPERLINK("https://klocwork.dal.design.ti.com:443/review/insight-review.html#issuedetails_goto:problemid=8401,project=MCUSW_J7_KW_FULL,searchquery=taxonomy:'' build:RS-2022-10-06_06-07-58 grouping:off module:CddIpc","KW Issue Link")</f>
        <v>KW Issue Link</v>
      </c>
      <c r="O7" s="2" t="s">
        <v>159</v>
      </c>
      <c r="P7" s="2" t="s">
        <v>160</v>
      </c>
      <c r="Q7" s="2" t="s">
        <v>161</v>
      </c>
      <c r="R7" s="2" t="s">
        <v>162</v>
      </c>
      <c r="S7" s="2" t="s">
        <v>154</v>
      </c>
      <c r="T7" s="2"/>
    </row>
    <row r="8" spans="1:20" ht="105" x14ac:dyDescent="0.25">
      <c r="A8" s="2" t="s">
        <v>155</v>
      </c>
      <c r="B8" s="2" t="s">
        <v>156</v>
      </c>
      <c r="C8" s="2" t="s">
        <v>147</v>
      </c>
      <c r="D8" s="2">
        <v>8402</v>
      </c>
      <c r="E8" s="2">
        <v>205</v>
      </c>
      <c r="F8" s="2" t="s">
        <v>157</v>
      </c>
      <c r="G8" s="2" t="s">
        <v>149</v>
      </c>
      <c r="H8" s="2" t="s">
        <v>150</v>
      </c>
      <c r="I8" s="2" t="s">
        <v>89</v>
      </c>
      <c r="J8" s="2">
        <v>7</v>
      </c>
      <c r="K8" s="2" t="s">
        <v>151</v>
      </c>
      <c r="L8" s="2" t="s">
        <v>152</v>
      </c>
      <c r="M8" s="2" t="s">
        <v>158</v>
      </c>
      <c r="N8" s="2" t="str">
        <f>HYPERLINK("https://klocwork.dal.design.ti.com:443/review/insight-review.html#issuedetails_goto:problemid=8402,project=MCUSW_J7_KW_FULL,searchquery=taxonomy:'' build:RS-2022-10-06_06-07-58 grouping:off module:CddIpc","KW Issue Link")</f>
        <v>KW Issue Link</v>
      </c>
      <c r="O8" s="2" t="s">
        <v>159</v>
      </c>
      <c r="P8" s="2" t="s">
        <v>160</v>
      </c>
      <c r="Q8" s="2" t="s">
        <v>161</v>
      </c>
      <c r="R8" s="2" t="s">
        <v>162</v>
      </c>
      <c r="S8" s="2" t="s">
        <v>154</v>
      </c>
      <c r="T8" s="2"/>
    </row>
    <row r="9" spans="1:20" ht="105" x14ac:dyDescent="0.25">
      <c r="A9" s="2" t="s">
        <v>155</v>
      </c>
      <c r="B9" s="2" t="s">
        <v>156</v>
      </c>
      <c r="C9" s="2" t="s">
        <v>147</v>
      </c>
      <c r="D9" s="2">
        <v>8403</v>
      </c>
      <c r="E9" s="2">
        <v>1020</v>
      </c>
      <c r="F9" s="2" t="s">
        <v>157</v>
      </c>
      <c r="G9" s="2" t="s">
        <v>149</v>
      </c>
      <c r="H9" s="2" t="s">
        <v>150</v>
      </c>
      <c r="I9" s="2" t="s">
        <v>89</v>
      </c>
      <c r="J9" s="2">
        <v>7</v>
      </c>
      <c r="K9" s="2" t="s">
        <v>151</v>
      </c>
      <c r="L9" s="2" t="s">
        <v>152</v>
      </c>
      <c r="M9" s="2" t="s">
        <v>158</v>
      </c>
      <c r="N9" s="2" t="str">
        <f>HYPERLINK("https://klocwork.dal.design.ti.com:443/review/insight-review.html#issuedetails_goto:problemid=8403,project=MCUSW_J7_KW_FULL,searchquery=taxonomy:'' build:RS-2022-10-06_06-07-58 grouping:off module:CddIpc","KW Issue Link")</f>
        <v>KW Issue Link</v>
      </c>
      <c r="O9" s="2" t="s">
        <v>159</v>
      </c>
      <c r="P9" s="2" t="s">
        <v>160</v>
      </c>
      <c r="Q9" s="2" t="s">
        <v>161</v>
      </c>
      <c r="R9" s="2" t="s">
        <v>162</v>
      </c>
      <c r="S9" s="2" t="s">
        <v>154</v>
      </c>
      <c r="T9" s="2"/>
    </row>
    <row r="10" spans="1:20" ht="105" x14ac:dyDescent="0.25">
      <c r="A10" s="2" t="s">
        <v>155</v>
      </c>
      <c r="B10" s="2" t="s">
        <v>156</v>
      </c>
      <c r="C10" s="2" t="s">
        <v>147</v>
      </c>
      <c r="D10" s="2">
        <v>8404</v>
      </c>
      <c r="E10" s="2">
        <v>1023</v>
      </c>
      <c r="F10" s="2" t="s">
        <v>157</v>
      </c>
      <c r="G10" s="2" t="s">
        <v>149</v>
      </c>
      <c r="H10" s="2" t="s">
        <v>150</v>
      </c>
      <c r="I10" s="2" t="s">
        <v>89</v>
      </c>
      <c r="J10" s="2">
        <v>7</v>
      </c>
      <c r="K10" s="2" t="s">
        <v>151</v>
      </c>
      <c r="L10" s="2" t="s">
        <v>152</v>
      </c>
      <c r="M10" s="2" t="s">
        <v>158</v>
      </c>
      <c r="N10" s="2" t="str">
        <f>HYPERLINK("https://klocwork.dal.design.ti.com:443/review/insight-review.html#issuedetails_goto:problemid=8404,project=MCUSW_J7_KW_FULL,searchquery=taxonomy:'' build:RS-2022-10-06_06-07-58 grouping:off module:CddIpc","KW Issue Link")</f>
        <v>KW Issue Link</v>
      </c>
      <c r="O10" s="2" t="s">
        <v>159</v>
      </c>
      <c r="P10" s="2" t="s">
        <v>160</v>
      </c>
      <c r="Q10" s="2" t="s">
        <v>161</v>
      </c>
      <c r="R10" s="2" t="s">
        <v>162</v>
      </c>
      <c r="S10" s="2" t="s">
        <v>154</v>
      </c>
      <c r="T10" s="2"/>
    </row>
    <row r="11" spans="1:20" ht="105" x14ac:dyDescent="0.25">
      <c r="A11" s="2" t="s">
        <v>155</v>
      </c>
      <c r="B11" s="2" t="s">
        <v>156</v>
      </c>
      <c r="C11" s="2" t="s">
        <v>147</v>
      </c>
      <c r="D11" s="2">
        <v>8405</v>
      </c>
      <c r="E11" s="2">
        <v>1068</v>
      </c>
      <c r="F11" s="2" t="s">
        <v>157</v>
      </c>
      <c r="G11" s="2" t="s">
        <v>149</v>
      </c>
      <c r="H11" s="2" t="s">
        <v>150</v>
      </c>
      <c r="I11" s="2" t="s">
        <v>89</v>
      </c>
      <c r="J11" s="2">
        <v>7</v>
      </c>
      <c r="K11" s="2" t="s">
        <v>151</v>
      </c>
      <c r="L11" s="2" t="s">
        <v>152</v>
      </c>
      <c r="M11" s="2" t="s">
        <v>158</v>
      </c>
      <c r="N11" s="2" t="str">
        <f>HYPERLINK("https://klocwork.dal.design.ti.com:443/review/insight-review.html#issuedetails_goto:problemid=8405,project=MCUSW_J7_KW_FULL,searchquery=taxonomy:'' build:RS-2022-10-06_06-07-58 grouping:off module:CddIpc","KW Issue Link")</f>
        <v>KW Issue Link</v>
      </c>
      <c r="O11" s="2" t="s">
        <v>159</v>
      </c>
      <c r="P11" s="2" t="s">
        <v>160</v>
      </c>
      <c r="Q11" s="2" t="s">
        <v>161</v>
      </c>
      <c r="R11" s="2" t="s">
        <v>162</v>
      </c>
      <c r="S11" s="2" t="s">
        <v>154</v>
      </c>
      <c r="T11" s="2"/>
    </row>
    <row r="12" spans="1:20" ht="105" x14ac:dyDescent="0.25">
      <c r="A12" s="2" t="s">
        <v>163</v>
      </c>
      <c r="B12" s="2" t="s">
        <v>164</v>
      </c>
      <c r="C12" s="2" t="s">
        <v>147</v>
      </c>
      <c r="D12" s="2">
        <v>8408</v>
      </c>
      <c r="E12" s="2">
        <v>220</v>
      </c>
      <c r="F12" s="2" t="s">
        <v>165</v>
      </c>
      <c r="G12" s="2" t="s">
        <v>166</v>
      </c>
      <c r="H12" s="2" t="s">
        <v>150</v>
      </c>
      <c r="I12" s="2" t="s">
        <v>123</v>
      </c>
      <c r="J12" s="2">
        <v>4</v>
      </c>
      <c r="K12" s="2" t="s">
        <v>151</v>
      </c>
      <c r="L12" s="2" t="s">
        <v>152</v>
      </c>
      <c r="M12" s="2" t="s">
        <v>153</v>
      </c>
      <c r="N12" s="2" t="str">
        <f>HYPERLINK("https://klocwork.dal.design.ti.com:443/review/insight-review.html#issuedetails_goto:problemid=8408,project=MCUSW_J7_KW_FULL,searchquery=taxonomy:'' build:RS-2022-10-06_06-07-58 grouping:off module:CddIpc","KW Issue Link")</f>
        <v>KW Issue Link</v>
      </c>
      <c r="O12" s="2"/>
      <c r="P12" s="2"/>
      <c r="Q12" s="2"/>
      <c r="R12" s="2"/>
      <c r="S12" s="2" t="s">
        <v>154</v>
      </c>
      <c r="T12" s="2"/>
    </row>
    <row r="13" spans="1:20" ht="105" x14ac:dyDescent="0.25">
      <c r="A13" s="2" t="s">
        <v>163</v>
      </c>
      <c r="B13" s="2" t="s">
        <v>164</v>
      </c>
      <c r="C13" s="2" t="s">
        <v>147</v>
      </c>
      <c r="D13" s="2">
        <v>8409</v>
      </c>
      <c r="E13" s="2">
        <v>220</v>
      </c>
      <c r="F13" s="2" t="s">
        <v>165</v>
      </c>
      <c r="G13" s="2" t="s">
        <v>166</v>
      </c>
      <c r="H13" s="2" t="s">
        <v>150</v>
      </c>
      <c r="I13" s="2" t="s">
        <v>123</v>
      </c>
      <c r="J13" s="2">
        <v>4</v>
      </c>
      <c r="K13" s="2" t="s">
        <v>151</v>
      </c>
      <c r="L13" s="2" t="s">
        <v>152</v>
      </c>
      <c r="M13" s="2" t="s">
        <v>153</v>
      </c>
      <c r="N13" s="2" t="str">
        <f>HYPERLINK("https://klocwork.dal.design.ti.com:443/review/insight-review.html#issuedetails_goto:problemid=8409,project=MCUSW_J7_KW_FULL,searchquery=taxonomy:'' build:RS-2022-10-06_06-07-58 grouping:off module:CddIpc","KW Issue Link")</f>
        <v>KW Issue Link</v>
      </c>
      <c r="O13" s="2"/>
      <c r="P13" s="2"/>
      <c r="Q13" s="2"/>
      <c r="R13" s="2"/>
      <c r="S13" s="2" t="s">
        <v>154</v>
      </c>
      <c r="T13" s="2"/>
    </row>
    <row r="14" spans="1:20" ht="105" x14ac:dyDescent="0.25">
      <c r="A14" s="2" t="s">
        <v>163</v>
      </c>
      <c r="B14" s="2" t="s">
        <v>164</v>
      </c>
      <c r="C14" s="2" t="s">
        <v>147</v>
      </c>
      <c r="D14" s="2">
        <v>8410</v>
      </c>
      <c r="E14" s="2">
        <v>226</v>
      </c>
      <c r="F14" s="2" t="s">
        <v>165</v>
      </c>
      <c r="G14" s="2" t="s">
        <v>166</v>
      </c>
      <c r="H14" s="2" t="s">
        <v>150</v>
      </c>
      <c r="I14" s="2" t="s">
        <v>123</v>
      </c>
      <c r="J14" s="2">
        <v>4</v>
      </c>
      <c r="K14" s="2" t="s">
        <v>151</v>
      </c>
      <c r="L14" s="2" t="s">
        <v>152</v>
      </c>
      <c r="M14" s="2" t="s">
        <v>153</v>
      </c>
      <c r="N14" s="2" t="str">
        <f>HYPERLINK("https://klocwork.dal.design.ti.com:443/review/insight-review.html#issuedetails_goto:problemid=8410,project=MCUSW_J7_KW_FULL,searchquery=taxonomy:'' build:RS-2022-10-06_06-07-58 grouping:off module:CddIpc","KW Issue Link")</f>
        <v>KW Issue Link</v>
      </c>
      <c r="O14" s="2"/>
      <c r="P14" s="2"/>
      <c r="Q14" s="2"/>
      <c r="R14" s="2"/>
      <c r="S14" s="2" t="s">
        <v>154</v>
      </c>
      <c r="T14" s="2"/>
    </row>
    <row r="15" spans="1:20" ht="105" x14ac:dyDescent="0.25">
      <c r="A15" s="2" t="s">
        <v>163</v>
      </c>
      <c r="B15" s="2" t="s">
        <v>164</v>
      </c>
      <c r="C15" s="2" t="s">
        <v>147</v>
      </c>
      <c r="D15" s="2">
        <v>8411</v>
      </c>
      <c r="E15" s="2">
        <v>227</v>
      </c>
      <c r="F15" s="2" t="s">
        <v>165</v>
      </c>
      <c r="G15" s="2" t="s">
        <v>166</v>
      </c>
      <c r="H15" s="2" t="s">
        <v>150</v>
      </c>
      <c r="I15" s="2" t="s">
        <v>123</v>
      </c>
      <c r="J15" s="2">
        <v>4</v>
      </c>
      <c r="K15" s="2" t="s">
        <v>151</v>
      </c>
      <c r="L15" s="2" t="s">
        <v>152</v>
      </c>
      <c r="M15" s="2" t="s">
        <v>153</v>
      </c>
      <c r="N15" s="2" t="str">
        <f>HYPERLINK("https://klocwork.dal.design.ti.com:443/review/insight-review.html#issuedetails_goto:problemid=8411,project=MCUSW_J7_KW_FULL,searchquery=taxonomy:'' build:RS-2022-10-06_06-07-58 grouping:off module:CddIpc","KW Issue Link")</f>
        <v>KW Issue Link</v>
      </c>
      <c r="O15" s="2"/>
      <c r="P15" s="2"/>
      <c r="Q15" s="2"/>
      <c r="R15" s="2"/>
      <c r="S15" s="2" t="s">
        <v>154</v>
      </c>
      <c r="T15" s="2"/>
    </row>
    <row r="16" spans="1:20" ht="105" x14ac:dyDescent="0.25">
      <c r="A16" s="2" t="s">
        <v>163</v>
      </c>
      <c r="B16" s="2" t="s">
        <v>164</v>
      </c>
      <c r="C16" s="2" t="s">
        <v>147</v>
      </c>
      <c r="D16" s="2">
        <v>8412</v>
      </c>
      <c r="E16" s="2">
        <v>228</v>
      </c>
      <c r="F16" s="2" t="s">
        <v>165</v>
      </c>
      <c r="G16" s="2" t="s">
        <v>166</v>
      </c>
      <c r="H16" s="2" t="s">
        <v>150</v>
      </c>
      <c r="I16" s="2" t="s">
        <v>123</v>
      </c>
      <c r="J16" s="2">
        <v>4</v>
      </c>
      <c r="K16" s="2" t="s">
        <v>151</v>
      </c>
      <c r="L16" s="2" t="s">
        <v>152</v>
      </c>
      <c r="M16" s="2" t="s">
        <v>153</v>
      </c>
      <c r="N16" s="2" t="str">
        <f>HYPERLINK("https://klocwork.dal.design.ti.com:443/review/insight-review.html#issuedetails_goto:problemid=8412,project=MCUSW_J7_KW_FULL,searchquery=taxonomy:'' build:RS-2022-10-06_06-07-58 grouping:off module:CddIpc","KW Issue Link")</f>
        <v>KW Issue Link</v>
      </c>
      <c r="O16" s="2"/>
      <c r="P16" s="2"/>
      <c r="Q16" s="2"/>
      <c r="R16" s="2"/>
      <c r="S16" s="2" t="s">
        <v>154</v>
      </c>
      <c r="T16" s="2"/>
    </row>
    <row r="17" spans="1:20" ht="105" x14ac:dyDescent="0.25">
      <c r="A17" s="2" t="s">
        <v>163</v>
      </c>
      <c r="B17" s="2" t="s">
        <v>164</v>
      </c>
      <c r="C17" s="2" t="s">
        <v>147</v>
      </c>
      <c r="D17" s="2">
        <v>8413</v>
      </c>
      <c r="E17" s="2">
        <v>229</v>
      </c>
      <c r="F17" s="2" t="s">
        <v>165</v>
      </c>
      <c r="G17" s="2" t="s">
        <v>166</v>
      </c>
      <c r="H17" s="2" t="s">
        <v>150</v>
      </c>
      <c r="I17" s="2" t="s">
        <v>123</v>
      </c>
      <c r="J17" s="2">
        <v>4</v>
      </c>
      <c r="K17" s="2" t="s">
        <v>151</v>
      </c>
      <c r="L17" s="2" t="s">
        <v>152</v>
      </c>
      <c r="M17" s="2" t="s">
        <v>153</v>
      </c>
      <c r="N17" s="2" t="str">
        <f>HYPERLINK("https://klocwork.dal.design.ti.com:443/review/insight-review.html#issuedetails_goto:problemid=8413,project=MCUSW_J7_KW_FULL,searchquery=taxonomy:'' build:RS-2022-10-06_06-07-58 grouping:off module:CddIpc","KW Issue Link")</f>
        <v>KW Issue Link</v>
      </c>
      <c r="O17" s="2"/>
      <c r="P17" s="2"/>
      <c r="Q17" s="2"/>
      <c r="R17" s="2"/>
      <c r="S17" s="2" t="s">
        <v>154</v>
      </c>
      <c r="T17" s="2"/>
    </row>
    <row r="18" spans="1:20" ht="105" x14ac:dyDescent="0.25">
      <c r="A18" s="2" t="s">
        <v>163</v>
      </c>
      <c r="B18" s="2" t="s">
        <v>164</v>
      </c>
      <c r="C18" s="2" t="s">
        <v>147</v>
      </c>
      <c r="D18" s="2">
        <v>8414</v>
      </c>
      <c r="E18" s="2">
        <v>230</v>
      </c>
      <c r="F18" s="2" t="s">
        <v>165</v>
      </c>
      <c r="G18" s="2" t="s">
        <v>166</v>
      </c>
      <c r="H18" s="2" t="s">
        <v>150</v>
      </c>
      <c r="I18" s="2" t="s">
        <v>123</v>
      </c>
      <c r="J18" s="2">
        <v>4</v>
      </c>
      <c r="K18" s="2" t="s">
        <v>151</v>
      </c>
      <c r="L18" s="2" t="s">
        <v>152</v>
      </c>
      <c r="M18" s="2" t="s">
        <v>153</v>
      </c>
      <c r="N18" s="2" t="str">
        <f>HYPERLINK("https://klocwork.dal.design.ti.com:443/review/insight-review.html#issuedetails_goto:problemid=8414,project=MCUSW_J7_KW_FULL,searchquery=taxonomy:'' build:RS-2022-10-06_06-07-58 grouping:off module:CddIpc","KW Issue Link")</f>
        <v>KW Issue Link</v>
      </c>
      <c r="O18" s="2"/>
      <c r="P18" s="2"/>
      <c r="Q18" s="2"/>
      <c r="R18" s="2"/>
      <c r="S18" s="2" t="s">
        <v>154</v>
      </c>
      <c r="T18" s="2"/>
    </row>
    <row r="19" spans="1:20" ht="105" x14ac:dyDescent="0.25">
      <c r="A19" s="2" t="s">
        <v>163</v>
      </c>
      <c r="B19" s="2" t="s">
        <v>164</v>
      </c>
      <c r="C19" s="2" t="s">
        <v>147</v>
      </c>
      <c r="D19" s="2">
        <v>8415</v>
      </c>
      <c r="E19" s="2">
        <v>259</v>
      </c>
      <c r="F19" s="2" t="s">
        <v>165</v>
      </c>
      <c r="G19" s="2" t="s">
        <v>167</v>
      </c>
      <c r="H19" s="2" t="s">
        <v>150</v>
      </c>
      <c r="I19" s="2" t="s">
        <v>123</v>
      </c>
      <c r="J19" s="2">
        <v>4</v>
      </c>
      <c r="K19" s="2" t="s">
        <v>151</v>
      </c>
      <c r="L19" s="2" t="s">
        <v>152</v>
      </c>
      <c r="M19" s="2" t="s">
        <v>153</v>
      </c>
      <c r="N19" s="2" t="str">
        <f>HYPERLINK("https://klocwork.dal.design.ti.com:443/review/insight-review.html#issuedetails_goto:problemid=8415,project=MCUSW_J7_KW_FULL,searchquery=taxonomy:'' build:RS-2022-10-06_06-07-58 grouping:off module:CddIpc","KW Issue Link")</f>
        <v>KW Issue Link</v>
      </c>
      <c r="O19" s="2"/>
      <c r="P19" s="2"/>
      <c r="Q19" s="2"/>
      <c r="R19" s="2"/>
      <c r="S19" s="2" t="s">
        <v>154</v>
      </c>
      <c r="T19" s="2"/>
    </row>
    <row r="20" spans="1:20" ht="105" x14ac:dyDescent="0.25">
      <c r="A20" s="2" t="s">
        <v>163</v>
      </c>
      <c r="B20" s="2" t="s">
        <v>164</v>
      </c>
      <c r="C20" s="2" t="s">
        <v>147</v>
      </c>
      <c r="D20" s="2">
        <v>8416</v>
      </c>
      <c r="E20" s="2">
        <v>259</v>
      </c>
      <c r="F20" s="2" t="s">
        <v>165</v>
      </c>
      <c r="G20" s="2" t="s">
        <v>167</v>
      </c>
      <c r="H20" s="2" t="s">
        <v>150</v>
      </c>
      <c r="I20" s="2" t="s">
        <v>123</v>
      </c>
      <c r="J20" s="2">
        <v>4</v>
      </c>
      <c r="K20" s="2" t="s">
        <v>151</v>
      </c>
      <c r="L20" s="2" t="s">
        <v>152</v>
      </c>
      <c r="M20" s="2" t="s">
        <v>153</v>
      </c>
      <c r="N20" s="2" t="str">
        <f>HYPERLINK("https://klocwork.dal.design.ti.com:443/review/insight-review.html#issuedetails_goto:problemid=8416,project=MCUSW_J7_KW_FULL,searchquery=taxonomy:'' build:RS-2022-10-06_06-07-58 grouping:off module:CddIpc","KW Issue Link")</f>
        <v>KW Issue Link</v>
      </c>
      <c r="O20" s="2"/>
      <c r="P20" s="2"/>
      <c r="Q20" s="2"/>
      <c r="R20" s="2"/>
      <c r="S20" s="2" t="s">
        <v>154</v>
      </c>
      <c r="T20" s="2"/>
    </row>
    <row r="21" spans="1:20" ht="105" x14ac:dyDescent="0.25">
      <c r="A21" s="2" t="s">
        <v>163</v>
      </c>
      <c r="B21" s="2" t="s">
        <v>164</v>
      </c>
      <c r="C21" s="2" t="s">
        <v>147</v>
      </c>
      <c r="D21" s="2">
        <v>8417</v>
      </c>
      <c r="E21" s="2">
        <v>264</v>
      </c>
      <c r="F21" s="2" t="s">
        <v>165</v>
      </c>
      <c r="G21" s="2" t="s">
        <v>167</v>
      </c>
      <c r="H21" s="2" t="s">
        <v>150</v>
      </c>
      <c r="I21" s="2" t="s">
        <v>123</v>
      </c>
      <c r="J21" s="2">
        <v>4</v>
      </c>
      <c r="K21" s="2" t="s">
        <v>151</v>
      </c>
      <c r="L21" s="2" t="s">
        <v>152</v>
      </c>
      <c r="M21" s="2" t="s">
        <v>153</v>
      </c>
      <c r="N21" s="2" t="str">
        <f>HYPERLINK("https://klocwork.dal.design.ti.com:443/review/insight-review.html#issuedetails_goto:problemid=8417,project=MCUSW_J7_KW_FULL,searchquery=taxonomy:'' build:RS-2022-10-06_06-07-58 grouping:off module:CddIpc","KW Issue Link")</f>
        <v>KW Issue Link</v>
      </c>
      <c r="O21" s="2"/>
      <c r="P21" s="2"/>
      <c r="Q21" s="2"/>
      <c r="R21" s="2"/>
      <c r="S21" s="2" t="s">
        <v>154</v>
      </c>
      <c r="T21" s="2"/>
    </row>
    <row r="22" spans="1:20" ht="105" x14ac:dyDescent="0.25">
      <c r="A22" s="2" t="s">
        <v>163</v>
      </c>
      <c r="B22" s="2" t="s">
        <v>164</v>
      </c>
      <c r="C22" s="2" t="s">
        <v>147</v>
      </c>
      <c r="D22" s="2">
        <v>8418</v>
      </c>
      <c r="E22" s="2">
        <v>275</v>
      </c>
      <c r="F22" s="2" t="s">
        <v>165</v>
      </c>
      <c r="G22" s="2" t="s">
        <v>167</v>
      </c>
      <c r="H22" s="2" t="s">
        <v>150</v>
      </c>
      <c r="I22" s="2" t="s">
        <v>123</v>
      </c>
      <c r="J22" s="2">
        <v>4</v>
      </c>
      <c r="K22" s="2" t="s">
        <v>151</v>
      </c>
      <c r="L22" s="2" t="s">
        <v>152</v>
      </c>
      <c r="M22" s="2" t="s">
        <v>153</v>
      </c>
      <c r="N22" s="2" t="str">
        <f>HYPERLINK("https://klocwork.dal.design.ti.com:443/review/insight-review.html#issuedetails_goto:problemid=8418,project=MCUSW_J7_KW_FULL,searchquery=taxonomy:'' build:RS-2022-10-06_06-07-58 grouping:off module:CddIpc","KW Issue Link")</f>
        <v>KW Issue Link</v>
      </c>
      <c r="O22" s="2"/>
      <c r="P22" s="2"/>
      <c r="Q22" s="2"/>
      <c r="R22" s="2"/>
      <c r="S22" s="2" t="s">
        <v>154</v>
      </c>
      <c r="T22" s="2"/>
    </row>
    <row r="23" spans="1:20" ht="105" x14ac:dyDescent="0.25">
      <c r="A23" s="2" t="s">
        <v>163</v>
      </c>
      <c r="B23" s="2" t="s">
        <v>164</v>
      </c>
      <c r="C23" s="2" t="s">
        <v>147</v>
      </c>
      <c r="D23" s="2">
        <v>8419</v>
      </c>
      <c r="E23" s="2">
        <v>280</v>
      </c>
      <c r="F23" s="2" t="s">
        <v>165</v>
      </c>
      <c r="G23" s="2" t="s">
        <v>167</v>
      </c>
      <c r="H23" s="2" t="s">
        <v>150</v>
      </c>
      <c r="I23" s="2" t="s">
        <v>123</v>
      </c>
      <c r="J23" s="2">
        <v>4</v>
      </c>
      <c r="K23" s="2" t="s">
        <v>151</v>
      </c>
      <c r="L23" s="2" t="s">
        <v>152</v>
      </c>
      <c r="M23" s="2" t="s">
        <v>153</v>
      </c>
      <c r="N23" s="2" t="str">
        <f>HYPERLINK("https://klocwork.dal.design.ti.com:443/review/insight-review.html#issuedetails_goto:problemid=8419,project=MCUSW_J7_KW_FULL,searchquery=taxonomy:'' build:RS-2022-10-06_06-07-58 grouping:off module:CddIpc","KW Issue Link")</f>
        <v>KW Issue Link</v>
      </c>
      <c r="O23" s="2"/>
      <c r="P23" s="2"/>
      <c r="Q23" s="2"/>
      <c r="R23" s="2"/>
      <c r="S23" s="2" t="s">
        <v>154</v>
      </c>
      <c r="T23" s="2"/>
    </row>
    <row r="24" spans="1:20" ht="105" x14ac:dyDescent="0.25">
      <c r="A24" s="2" t="s">
        <v>163</v>
      </c>
      <c r="B24" s="2" t="s">
        <v>164</v>
      </c>
      <c r="C24" s="2" t="s">
        <v>147</v>
      </c>
      <c r="D24" s="2">
        <v>8420</v>
      </c>
      <c r="E24" s="2">
        <v>285</v>
      </c>
      <c r="F24" s="2" t="s">
        <v>165</v>
      </c>
      <c r="G24" s="2" t="s">
        <v>167</v>
      </c>
      <c r="H24" s="2" t="s">
        <v>150</v>
      </c>
      <c r="I24" s="2" t="s">
        <v>123</v>
      </c>
      <c r="J24" s="2">
        <v>4</v>
      </c>
      <c r="K24" s="2" t="s">
        <v>151</v>
      </c>
      <c r="L24" s="2" t="s">
        <v>152</v>
      </c>
      <c r="M24" s="2" t="s">
        <v>153</v>
      </c>
      <c r="N24" s="2" t="str">
        <f>HYPERLINK("https://klocwork.dal.design.ti.com:443/review/insight-review.html#issuedetails_goto:problemid=8420,project=MCUSW_J7_KW_FULL,searchquery=taxonomy:'' build:RS-2022-10-06_06-07-58 grouping:off module:CddIpc","KW Issue Link")</f>
        <v>KW Issue Link</v>
      </c>
      <c r="O24" s="2"/>
      <c r="P24" s="2"/>
      <c r="Q24" s="2"/>
      <c r="R24" s="2"/>
      <c r="S24" s="2" t="s">
        <v>154</v>
      </c>
      <c r="T24" s="2"/>
    </row>
    <row r="25" spans="1:20" ht="105" x14ac:dyDescent="0.25">
      <c r="A25" s="2" t="s">
        <v>163</v>
      </c>
      <c r="B25" s="2" t="s">
        <v>164</v>
      </c>
      <c r="C25" s="2" t="s">
        <v>147</v>
      </c>
      <c r="D25" s="2">
        <v>8421</v>
      </c>
      <c r="E25" s="2">
        <v>294</v>
      </c>
      <c r="F25" s="2" t="s">
        <v>165</v>
      </c>
      <c r="G25" s="2" t="s">
        <v>167</v>
      </c>
      <c r="H25" s="2" t="s">
        <v>150</v>
      </c>
      <c r="I25" s="2" t="s">
        <v>123</v>
      </c>
      <c r="J25" s="2">
        <v>4</v>
      </c>
      <c r="K25" s="2" t="s">
        <v>151</v>
      </c>
      <c r="L25" s="2" t="s">
        <v>152</v>
      </c>
      <c r="M25" s="2" t="s">
        <v>153</v>
      </c>
      <c r="N25" s="2" t="str">
        <f>HYPERLINK("https://klocwork.dal.design.ti.com:443/review/insight-review.html#issuedetails_goto:problemid=8421,project=MCUSW_J7_KW_FULL,searchquery=taxonomy:'' build:RS-2022-10-06_06-07-58 grouping:off module:CddIpc","KW Issue Link")</f>
        <v>KW Issue Link</v>
      </c>
      <c r="O25" s="2"/>
      <c r="P25" s="2"/>
      <c r="Q25" s="2"/>
      <c r="R25" s="2"/>
      <c r="S25" s="2" t="s">
        <v>154</v>
      </c>
      <c r="T25" s="2"/>
    </row>
    <row r="26" spans="1:20" ht="105" x14ac:dyDescent="0.25">
      <c r="A26" s="2" t="s">
        <v>163</v>
      </c>
      <c r="B26" s="2" t="s">
        <v>164</v>
      </c>
      <c r="C26" s="2" t="s">
        <v>147</v>
      </c>
      <c r="D26" s="2">
        <v>8422</v>
      </c>
      <c r="E26" s="2">
        <v>294</v>
      </c>
      <c r="F26" s="2" t="s">
        <v>165</v>
      </c>
      <c r="G26" s="2" t="s">
        <v>167</v>
      </c>
      <c r="H26" s="2" t="s">
        <v>150</v>
      </c>
      <c r="I26" s="2" t="s">
        <v>123</v>
      </c>
      <c r="J26" s="2">
        <v>4</v>
      </c>
      <c r="K26" s="2" t="s">
        <v>151</v>
      </c>
      <c r="L26" s="2" t="s">
        <v>152</v>
      </c>
      <c r="M26" s="2" t="s">
        <v>153</v>
      </c>
      <c r="N26" s="2" t="str">
        <f>HYPERLINK("https://klocwork.dal.design.ti.com:443/review/insight-review.html#issuedetails_goto:problemid=8422,project=MCUSW_J7_KW_FULL,searchquery=taxonomy:'' build:RS-2022-10-06_06-07-58 grouping:off module:CddIpc","KW Issue Link")</f>
        <v>KW Issue Link</v>
      </c>
      <c r="O26" s="2"/>
      <c r="P26" s="2"/>
      <c r="Q26" s="2"/>
      <c r="R26" s="2"/>
      <c r="S26" s="2" t="s">
        <v>154</v>
      </c>
      <c r="T26" s="2"/>
    </row>
    <row r="27" spans="1:20" ht="105" x14ac:dyDescent="0.25">
      <c r="A27" s="2" t="s">
        <v>163</v>
      </c>
      <c r="B27" s="2" t="s">
        <v>164</v>
      </c>
      <c r="C27" s="2" t="s">
        <v>147</v>
      </c>
      <c r="D27" s="2">
        <v>8423</v>
      </c>
      <c r="E27" s="2">
        <v>301</v>
      </c>
      <c r="F27" s="2" t="s">
        <v>165</v>
      </c>
      <c r="G27" s="2" t="s">
        <v>167</v>
      </c>
      <c r="H27" s="2" t="s">
        <v>150</v>
      </c>
      <c r="I27" s="2" t="s">
        <v>123</v>
      </c>
      <c r="J27" s="2">
        <v>4</v>
      </c>
      <c r="K27" s="2" t="s">
        <v>151</v>
      </c>
      <c r="L27" s="2" t="s">
        <v>152</v>
      </c>
      <c r="M27" s="2" t="s">
        <v>153</v>
      </c>
      <c r="N27" s="2" t="str">
        <f>HYPERLINK("https://klocwork.dal.design.ti.com:443/review/insight-review.html#issuedetails_goto:problemid=8423,project=MCUSW_J7_KW_FULL,searchquery=taxonomy:'' build:RS-2022-10-06_06-07-58 grouping:off module:CddIpc","KW Issue Link")</f>
        <v>KW Issue Link</v>
      </c>
      <c r="O27" s="2"/>
      <c r="P27" s="2"/>
      <c r="Q27" s="2"/>
      <c r="R27" s="2"/>
      <c r="S27" s="2" t="s">
        <v>154</v>
      </c>
      <c r="T27" s="2"/>
    </row>
    <row r="28" spans="1:20" ht="105" x14ac:dyDescent="0.25">
      <c r="A28" s="2" t="s">
        <v>163</v>
      </c>
      <c r="B28" s="2" t="s">
        <v>164</v>
      </c>
      <c r="C28" s="2" t="s">
        <v>147</v>
      </c>
      <c r="D28" s="2">
        <v>8424</v>
      </c>
      <c r="E28" s="2">
        <v>301</v>
      </c>
      <c r="F28" s="2" t="s">
        <v>165</v>
      </c>
      <c r="G28" s="2" t="s">
        <v>167</v>
      </c>
      <c r="H28" s="2" t="s">
        <v>150</v>
      </c>
      <c r="I28" s="2" t="s">
        <v>123</v>
      </c>
      <c r="J28" s="2">
        <v>4</v>
      </c>
      <c r="K28" s="2" t="s">
        <v>151</v>
      </c>
      <c r="L28" s="2" t="s">
        <v>152</v>
      </c>
      <c r="M28" s="2" t="s">
        <v>153</v>
      </c>
      <c r="N28" s="2" t="str">
        <f>HYPERLINK("https://klocwork.dal.design.ti.com:443/review/insight-review.html#issuedetails_goto:problemid=8424,project=MCUSW_J7_KW_FULL,searchquery=taxonomy:'' build:RS-2022-10-06_06-07-58 grouping:off module:CddIpc","KW Issue Link")</f>
        <v>KW Issue Link</v>
      </c>
      <c r="O28" s="2"/>
      <c r="P28" s="2"/>
      <c r="Q28" s="2"/>
      <c r="R28" s="2"/>
      <c r="S28" s="2" t="s">
        <v>154</v>
      </c>
      <c r="T28" s="2"/>
    </row>
    <row r="29" spans="1:20" ht="105" x14ac:dyDescent="0.25">
      <c r="A29" s="2" t="s">
        <v>163</v>
      </c>
      <c r="B29" s="2" t="s">
        <v>164</v>
      </c>
      <c r="C29" s="2" t="s">
        <v>147</v>
      </c>
      <c r="D29" s="2">
        <v>8425</v>
      </c>
      <c r="E29" s="2">
        <v>319</v>
      </c>
      <c r="F29" s="2" t="s">
        <v>165</v>
      </c>
      <c r="G29" s="2" t="s">
        <v>168</v>
      </c>
      <c r="H29" s="2" t="s">
        <v>150</v>
      </c>
      <c r="I29" s="2" t="s">
        <v>123</v>
      </c>
      <c r="J29" s="2">
        <v>4</v>
      </c>
      <c r="K29" s="2" t="s">
        <v>151</v>
      </c>
      <c r="L29" s="2" t="s">
        <v>152</v>
      </c>
      <c r="M29" s="2" t="s">
        <v>153</v>
      </c>
      <c r="N29" s="2" t="str">
        <f>HYPERLINK("https://klocwork.dal.design.ti.com:443/review/insight-review.html#issuedetails_goto:problemid=8425,project=MCUSW_J7_KW_FULL,searchquery=taxonomy:'' build:RS-2022-10-06_06-07-58 grouping:off module:CddIpc","KW Issue Link")</f>
        <v>KW Issue Link</v>
      </c>
      <c r="O29" s="2"/>
      <c r="P29" s="2"/>
      <c r="Q29" s="2"/>
      <c r="R29" s="2"/>
      <c r="S29" s="2" t="s">
        <v>154</v>
      </c>
      <c r="T29" s="2"/>
    </row>
    <row r="30" spans="1:20" ht="105" x14ac:dyDescent="0.25">
      <c r="A30" s="2" t="s">
        <v>163</v>
      </c>
      <c r="B30" s="2" t="s">
        <v>164</v>
      </c>
      <c r="C30" s="2" t="s">
        <v>147</v>
      </c>
      <c r="D30" s="2">
        <v>8426</v>
      </c>
      <c r="E30" s="2">
        <v>326</v>
      </c>
      <c r="F30" s="2" t="s">
        <v>165</v>
      </c>
      <c r="G30" s="2" t="s">
        <v>168</v>
      </c>
      <c r="H30" s="2" t="s">
        <v>150</v>
      </c>
      <c r="I30" s="2" t="s">
        <v>123</v>
      </c>
      <c r="J30" s="2">
        <v>4</v>
      </c>
      <c r="K30" s="2" t="s">
        <v>151</v>
      </c>
      <c r="L30" s="2" t="s">
        <v>152</v>
      </c>
      <c r="M30" s="2" t="s">
        <v>153</v>
      </c>
      <c r="N30" s="2" t="str">
        <f>HYPERLINK("https://klocwork.dal.design.ti.com:443/review/insight-review.html#issuedetails_goto:problemid=8426,project=MCUSW_J7_KW_FULL,searchquery=taxonomy:'' build:RS-2022-10-06_06-07-58 grouping:off module:CddIpc","KW Issue Link")</f>
        <v>KW Issue Link</v>
      </c>
      <c r="O30" s="2"/>
      <c r="P30" s="2"/>
      <c r="Q30" s="2"/>
      <c r="R30" s="2"/>
      <c r="S30" s="2" t="s">
        <v>154</v>
      </c>
      <c r="T30" s="2"/>
    </row>
    <row r="31" spans="1:20" ht="105" x14ac:dyDescent="0.25">
      <c r="A31" s="2" t="s">
        <v>163</v>
      </c>
      <c r="B31" s="2" t="s">
        <v>164</v>
      </c>
      <c r="C31" s="2" t="s">
        <v>147</v>
      </c>
      <c r="D31" s="2">
        <v>8427</v>
      </c>
      <c r="E31" s="2">
        <v>326</v>
      </c>
      <c r="F31" s="2" t="s">
        <v>165</v>
      </c>
      <c r="G31" s="2" t="s">
        <v>168</v>
      </c>
      <c r="H31" s="2" t="s">
        <v>150</v>
      </c>
      <c r="I31" s="2" t="s">
        <v>123</v>
      </c>
      <c r="J31" s="2">
        <v>4</v>
      </c>
      <c r="K31" s="2" t="s">
        <v>151</v>
      </c>
      <c r="L31" s="2" t="s">
        <v>152</v>
      </c>
      <c r="M31" s="2" t="s">
        <v>153</v>
      </c>
      <c r="N31" s="2" t="str">
        <f>HYPERLINK("https://klocwork.dal.design.ti.com:443/review/insight-review.html#issuedetails_goto:problemid=8427,project=MCUSW_J7_KW_FULL,searchquery=taxonomy:'' build:RS-2022-10-06_06-07-58 grouping:off module:CddIpc","KW Issue Link")</f>
        <v>KW Issue Link</v>
      </c>
      <c r="O31" s="2"/>
      <c r="P31" s="2"/>
      <c r="Q31" s="2"/>
      <c r="R31" s="2"/>
      <c r="S31" s="2" t="s">
        <v>154</v>
      </c>
      <c r="T31" s="2"/>
    </row>
    <row r="32" spans="1:20" ht="105" x14ac:dyDescent="0.25">
      <c r="A32" s="2" t="s">
        <v>163</v>
      </c>
      <c r="B32" s="2" t="s">
        <v>164</v>
      </c>
      <c r="C32" s="2" t="s">
        <v>147</v>
      </c>
      <c r="D32" s="2">
        <v>8428</v>
      </c>
      <c r="E32" s="2">
        <v>332</v>
      </c>
      <c r="F32" s="2" t="s">
        <v>165</v>
      </c>
      <c r="G32" s="2" t="s">
        <v>168</v>
      </c>
      <c r="H32" s="2" t="s">
        <v>150</v>
      </c>
      <c r="I32" s="2" t="s">
        <v>123</v>
      </c>
      <c r="J32" s="2">
        <v>4</v>
      </c>
      <c r="K32" s="2" t="s">
        <v>151</v>
      </c>
      <c r="L32" s="2" t="s">
        <v>152</v>
      </c>
      <c r="M32" s="2" t="s">
        <v>153</v>
      </c>
      <c r="N32" s="2" t="str">
        <f>HYPERLINK("https://klocwork.dal.design.ti.com:443/review/insight-review.html#issuedetails_goto:problemid=8428,project=MCUSW_J7_KW_FULL,searchquery=taxonomy:'' build:RS-2022-10-06_06-07-58 grouping:off module:CddIpc","KW Issue Link")</f>
        <v>KW Issue Link</v>
      </c>
      <c r="O32" s="2"/>
      <c r="P32" s="2"/>
      <c r="Q32" s="2"/>
      <c r="R32" s="2"/>
      <c r="S32" s="2" t="s">
        <v>154</v>
      </c>
      <c r="T32" s="2"/>
    </row>
    <row r="33" spans="1:20" ht="105" x14ac:dyDescent="0.25">
      <c r="A33" s="2" t="s">
        <v>163</v>
      </c>
      <c r="B33" s="2" t="s">
        <v>164</v>
      </c>
      <c r="C33" s="2" t="s">
        <v>147</v>
      </c>
      <c r="D33" s="2">
        <v>8429</v>
      </c>
      <c r="E33" s="2">
        <v>332</v>
      </c>
      <c r="F33" s="2" t="s">
        <v>165</v>
      </c>
      <c r="G33" s="2" t="s">
        <v>168</v>
      </c>
      <c r="H33" s="2" t="s">
        <v>150</v>
      </c>
      <c r="I33" s="2" t="s">
        <v>123</v>
      </c>
      <c r="J33" s="2">
        <v>4</v>
      </c>
      <c r="K33" s="2" t="s">
        <v>151</v>
      </c>
      <c r="L33" s="2" t="s">
        <v>152</v>
      </c>
      <c r="M33" s="2" t="s">
        <v>153</v>
      </c>
      <c r="N33" s="2" t="str">
        <f>HYPERLINK("https://klocwork.dal.design.ti.com:443/review/insight-review.html#issuedetails_goto:problemid=8429,project=MCUSW_J7_KW_FULL,searchquery=taxonomy:'' build:RS-2022-10-06_06-07-58 grouping:off module:CddIpc","KW Issue Link")</f>
        <v>KW Issue Link</v>
      </c>
      <c r="O33" s="2"/>
      <c r="P33" s="2"/>
      <c r="Q33" s="2"/>
      <c r="R33" s="2"/>
      <c r="S33" s="2" t="s">
        <v>154</v>
      </c>
      <c r="T33" s="2"/>
    </row>
    <row r="34" spans="1:20" ht="105" x14ac:dyDescent="0.25">
      <c r="A34" s="2" t="s">
        <v>163</v>
      </c>
      <c r="B34" s="2" t="s">
        <v>164</v>
      </c>
      <c r="C34" s="2" t="s">
        <v>147</v>
      </c>
      <c r="D34" s="2">
        <v>8430</v>
      </c>
      <c r="E34" s="2">
        <v>337</v>
      </c>
      <c r="F34" s="2" t="s">
        <v>165</v>
      </c>
      <c r="G34" s="2" t="s">
        <v>168</v>
      </c>
      <c r="H34" s="2" t="s">
        <v>150</v>
      </c>
      <c r="I34" s="2" t="s">
        <v>123</v>
      </c>
      <c r="J34" s="2">
        <v>4</v>
      </c>
      <c r="K34" s="2" t="s">
        <v>151</v>
      </c>
      <c r="L34" s="2" t="s">
        <v>152</v>
      </c>
      <c r="M34" s="2" t="s">
        <v>153</v>
      </c>
      <c r="N34" s="2" t="str">
        <f>HYPERLINK("https://klocwork.dal.design.ti.com:443/review/insight-review.html#issuedetails_goto:problemid=8430,project=MCUSW_J7_KW_FULL,searchquery=taxonomy:'' build:RS-2022-10-06_06-07-58 grouping:off module:CddIpc","KW Issue Link")</f>
        <v>KW Issue Link</v>
      </c>
      <c r="O34" s="2"/>
      <c r="P34" s="2"/>
      <c r="Q34" s="2"/>
      <c r="R34" s="2"/>
      <c r="S34" s="2" t="s">
        <v>154</v>
      </c>
      <c r="T34" s="2"/>
    </row>
    <row r="35" spans="1:20" ht="105" x14ac:dyDescent="0.25">
      <c r="A35" s="2" t="s">
        <v>163</v>
      </c>
      <c r="B35" s="2" t="s">
        <v>164</v>
      </c>
      <c r="C35" s="2" t="s">
        <v>147</v>
      </c>
      <c r="D35" s="2">
        <v>8431</v>
      </c>
      <c r="E35" s="2">
        <v>337</v>
      </c>
      <c r="F35" s="2" t="s">
        <v>165</v>
      </c>
      <c r="G35" s="2" t="s">
        <v>168</v>
      </c>
      <c r="H35" s="2" t="s">
        <v>150</v>
      </c>
      <c r="I35" s="2" t="s">
        <v>123</v>
      </c>
      <c r="J35" s="2">
        <v>4</v>
      </c>
      <c r="K35" s="2" t="s">
        <v>151</v>
      </c>
      <c r="L35" s="2" t="s">
        <v>152</v>
      </c>
      <c r="M35" s="2" t="s">
        <v>153</v>
      </c>
      <c r="N35" s="2" t="str">
        <f>HYPERLINK("https://klocwork.dal.design.ti.com:443/review/insight-review.html#issuedetails_goto:problemid=8431,project=MCUSW_J7_KW_FULL,searchquery=taxonomy:'' build:RS-2022-10-06_06-07-58 grouping:off module:CddIpc","KW Issue Link")</f>
        <v>KW Issue Link</v>
      </c>
      <c r="O35" s="2"/>
      <c r="P35" s="2"/>
      <c r="Q35" s="2"/>
      <c r="R35" s="2"/>
      <c r="S35" s="2" t="s">
        <v>154</v>
      </c>
      <c r="T35" s="2"/>
    </row>
    <row r="36" spans="1:20" ht="105" x14ac:dyDescent="0.25">
      <c r="A36" s="2" t="s">
        <v>163</v>
      </c>
      <c r="B36" s="2" t="s">
        <v>164</v>
      </c>
      <c r="C36" s="2" t="s">
        <v>147</v>
      </c>
      <c r="D36" s="2">
        <v>8432</v>
      </c>
      <c r="E36" s="2">
        <v>349</v>
      </c>
      <c r="F36" s="2" t="s">
        <v>165</v>
      </c>
      <c r="G36" s="2" t="s">
        <v>168</v>
      </c>
      <c r="H36" s="2" t="s">
        <v>150</v>
      </c>
      <c r="I36" s="2" t="s">
        <v>123</v>
      </c>
      <c r="J36" s="2">
        <v>4</v>
      </c>
      <c r="K36" s="2" t="s">
        <v>151</v>
      </c>
      <c r="L36" s="2" t="s">
        <v>152</v>
      </c>
      <c r="M36" s="2" t="s">
        <v>153</v>
      </c>
      <c r="N36" s="2" t="str">
        <f>HYPERLINK("https://klocwork.dal.design.ti.com:443/review/insight-review.html#issuedetails_goto:problemid=8432,project=MCUSW_J7_KW_FULL,searchquery=taxonomy:'' build:RS-2022-10-06_06-07-58 grouping:off module:CddIpc","KW Issue Link")</f>
        <v>KW Issue Link</v>
      </c>
      <c r="O36" s="2"/>
      <c r="P36" s="2"/>
      <c r="Q36" s="2"/>
      <c r="R36" s="2"/>
      <c r="S36" s="2" t="s">
        <v>154</v>
      </c>
      <c r="T36" s="2"/>
    </row>
    <row r="37" spans="1:20" ht="105" x14ac:dyDescent="0.25">
      <c r="A37" s="2" t="s">
        <v>163</v>
      </c>
      <c r="B37" s="2" t="s">
        <v>164</v>
      </c>
      <c r="C37" s="2" t="s">
        <v>147</v>
      </c>
      <c r="D37" s="2">
        <v>8433</v>
      </c>
      <c r="E37" s="2">
        <v>349</v>
      </c>
      <c r="F37" s="2" t="s">
        <v>165</v>
      </c>
      <c r="G37" s="2" t="s">
        <v>168</v>
      </c>
      <c r="H37" s="2" t="s">
        <v>150</v>
      </c>
      <c r="I37" s="2" t="s">
        <v>123</v>
      </c>
      <c r="J37" s="2">
        <v>4</v>
      </c>
      <c r="K37" s="2" t="s">
        <v>151</v>
      </c>
      <c r="L37" s="2" t="s">
        <v>152</v>
      </c>
      <c r="M37" s="2" t="s">
        <v>153</v>
      </c>
      <c r="N37" s="2" t="str">
        <f>HYPERLINK("https://klocwork.dal.design.ti.com:443/review/insight-review.html#issuedetails_goto:problemid=8433,project=MCUSW_J7_KW_FULL,searchquery=taxonomy:'' build:RS-2022-10-06_06-07-58 grouping:off module:CddIpc","KW Issue Link")</f>
        <v>KW Issue Link</v>
      </c>
      <c r="O37" s="2"/>
      <c r="P37" s="2"/>
      <c r="Q37" s="2"/>
      <c r="R37" s="2"/>
      <c r="S37" s="2" t="s">
        <v>154</v>
      </c>
      <c r="T37" s="2"/>
    </row>
    <row r="38" spans="1:20" ht="105" x14ac:dyDescent="0.25">
      <c r="A38" s="2" t="s">
        <v>163</v>
      </c>
      <c r="B38" s="2" t="s">
        <v>164</v>
      </c>
      <c r="C38" s="2" t="s">
        <v>147</v>
      </c>
      <c r="D38" s="2">
        <v>8434</v>
      </c>
      <c r="E38" s="2">
        <v>363</v>
      </c>
      <c r="F38" s="2" t="s">
        <v>165</v>
      </c>
      <c r="G38" s="2" t="s">
        <v>168</v>
      </c>
      <c r="H38" s="2" t="s">
        <v>150</v>
      </c>
      <c r="I38" s="2" t="s">
        <v>123</v>
      </c>
      <c r="J38" s="2">
        <v>4</v>
      </c>
      <c r="K38" s="2" t="s">
        <v>151</v>
      </c>
      <c r="L38" s="2" t="s">
        <v>152</v>
      </c>
      <c r="M38" s="2" t="s">
        <v>153</v>
      </c>
      <c r="N38" s="2" t="str">
        <f>HYPERLINK("https://klocwork.dal.design.ti.com:443/review/insight-review.html#issuedetails_goto:problemid=8434,project=MCUSW_J7_KW_FULL,searchquery=taxonomy:'' build:RS-2022-10-06_06-07-58 grouping:off module:CddIpc","KW Issue Link")</f>
        <v>KW Issue Link</v>
      </c>
      <c r="O38" s="2"/>
      <c r="P38" s="2"/>
      <c r="Q38" s="2"/>
      <c r="R38" s="2"/>
      <c r="S38" s="2" t="s">
        <v>154</v>
      </c>
      <c r="T38" s="2"/>
    </row>
    <row r="39" spans="1:20" ht="105" x14ac:dyDescent="0.25">
      <c r="A39" s="2" t="s">
        <v>163</v>
      </c>
      <c r="B39" s="2" t="s">
        <v>164</v>
      </c>
      <c r="C39" s="2" t="s">
        <v>147</v>
      </c>
      <c r="D39" s="2">
        <v>8435</v>
      </c>
      <c r="E39" s="2">
        <v>369</v>
      </c>
      <c r="F39" s="2" t="s">
        <v>165</v>
      </c>
      <c r="G39" s="2" t="s">
        <v>168</v>
      </c>
      <c r="H39" s="2" t="s">
        <v>150</v>
      </c>
      <c r="I39" s="2" t="s">
        <v>123</v>
      </c>
      <c r="J39" s="2">
        <v>4</v>
      </c>
      <c r="K39" s="2" t="s">
        <v>151</v>
      </c>
      <c r="L39" s="2" t="s">
        <v>152</v>
      </c>
      <c r="M39" s="2" t="s">
        <v>153</v>
      </c>
      <c r="N39" s="2" t="str">
        <f>HYPERLINK("https://klocwork.dal.design.ti.com:443/review/insight-review.html#issuedetails_goto:problemid=8435,project=MCUSW_J7_KW_FULL,searchquery=taxonomy:'' build:RS-2022-10-06_06-07-58 grouping:off module:CddIpc","KW Issue Link")</f>
        <v>KW Issue Link</v>
      </c>
      <c r="O39" s="2"/>
      <c r="P39" s="2"/>
      <c r="Q39" s="2"/>
      <c r="R39" s="2"/>
      <c r="S39" s="2" t="s">
        <v>154</v>
      </c>
      <c r="T39" s="2"/>
    </row>
    <row r="40" spans="1:20" ht="105" x14ac:dyDescent="0.25">
      <c r="A40" s="2" t="s">
        <v>163</v>
      </c>
      <c r="B40" s="2" t="s">
        <v>164</v>
      </c>
      <c r="C40" s="2" t="s">
        <v>147</v>
      </c>
      <c r="D40" s="2">
        <v>8436</v>
      </c>
      <c r="E40" s="2">
        <v>388</v>
      </c>
      <c r="F40" s="2" t="s">
        <v>165</v>
      </c>
      <c r="G40" s="2" t="s">
        <v>169</v>
      </c>
      <c r="H40" s="2" t="s">
        <v>150</v>
      </c>
      <c r="I40" s="2" t="s">
        <v>123</v>
      </c>
      <c r="J40" s="2">
        <v>4</v>
      </c>
      <c r="K40" s="2" t="s">
        <v>151</v>
      </c>
      <c r="L40" s="2" t="s">
        <v>152</v>
      </c>
      <c r="M40" s="2" t="s">
        <v>153</v>
      </c>
      <c r="N40" s="2" t="str">
        <f>HYPERLINK("https://klocwork.dal.design.ti.com:443/review/insight-review.html#issuedetails_goto:problemid=8436,project=MCUSW_J7_KW_FULL,searchquery=taxonomy:'' build:RS-2022-10-06_06-07-58 grouping:off module:CddIpc","KW Issue Link")</f>
        <v>KW Issue Link</v>
      </c>
      <c r="O40" s="2"/>
      <c r="P40" s="2"/>
      <c r="Q40" s="2"/>
      <c r="R40" s="2"/>
      <c r="S40" s="2" t="s">
        <v>154</v>
      </c>
      <c r="T40" s="2"/>
    </row>
    <row r="41" spans="1:20" ht="105" x14ac:dyDescent="0.25">
      <c r="A41" s="2" t="s">
        <v>163</v>
      </c>
      <c r="B41" s="2" t="s">
        <v>164</v>
      </c>
      <c r="C41" s="2" t="s">
        <v>147</v>
      </c>
      <c r="D41" s="2">
        <v>8437</v>
      </c>
      <c r="E41" s="2">
        <v>396</v>
      </c>
      <c r="F41" s="2" t="s">
        <v>165</v>
      </c>
      <c r="G41" s="2" t="s">
        <v>169</v>
      </c>
      <c r="H41" s="2" t="s">
        <v>150</v>
      </c>
      <c r="I41" s="2" t="s">
        <v>123</v>
      </c>
      <c r="J41" s="2">
        <v>4</v>
      </c>
      <c r="K41" s="2" t="s">
        <v>151</v>
      </c>
      <c r="L41" s="2" t="s">
        <v>152</v>
      </c>
      <c r="M41" s="2" t="s">
        <v>153</v>
      </c>
      <c r="N41" s="2" t="str">
        <f>HYPERLINK("https://klocwork.dal.design.ti.com:443/review/insight-review.html#issuedetails_goto:problemid=8437,project=MCUSW_J7_KW_FULL,searchquery=taxonomy:'' build:RS-2022-10-06_06-07-58 grouping:off module:CddIpc","KW Issue Link")</f>
        <v>KW Issue Link</v>
      </c>
      <c r="O41" s="2"/>
      <c r="P41" s="2"/>
      <c r="Q41" s="2"/>
      <c r="R41" s="2"/>
      <c r="S41" s="2" t="s">
        <v>154</v>
      </c>
      <c r="T41" s="2"/>
    </row>
    <row r="42" spans="1:20" ht="105" x14ac:dyDescent="0.25">
      <c r="A42" s="2" t="s">
        <v>163</v>
      </c>
      <c r="B42" s="2" t="s">
        <v>164</v>
      </c>
      <c r="C42" s="2" t="s">
        <v>147</v>
      </c>
      <c r="D42" s="2">
        <v>8438</v>
      </c>
      <c r="E42" s="2">
        <v>396</v>
      </c>
      <c r="F42" s="2" t="s">
        <v>165</v>
      </c>
      <c r="G42" s="2" t="s">
        <v>169</v>
      </c>
      <c r="H42" s="2" t="s">
        <v>150</v>
      </c>
      <c r="I42" s="2" t="s">
        <v>123</v>
      </c>
      <c r="J42" s="2">
        <v>4</v>
      </c>
      <c r="K42" s="2" t="s">
        <v>151</v>
      </c>
      <c r="L42" s="2" t="s">
        <v>152</v>
      </c>
      <c r="M42" s="2" t="s">
        <v>153</v>
      </c>
      <c r="N42" s="2" t="str">
        <f>HYPERLINK("https://klocwork.dal.design.ti.com:443/review/insight-review.html#issuedetails_goto:problemid=8438,project=MCUSW_J7_KW_FULL,searchquery=taxonomy:'' build:RS-2022-10-06_06-07-58 grouping:off module:CddIpc","KW Issue Link")</f>
        <v>KW Issue Link</v>
      </c>
      <c r="O42" s="2"/>
      <c r="P42" s="2"/>
      <c r="Q42" s="2"/>
      <c r="R42" s="2"/>
      <c r="S42" s="2" t="s">
        <v>154</v>
      </c>
      <c r="T42" s="2"/>
    </row>
    <row r="43" spans="1:20" ht="105" x14ac:dyDescent="0.25">
      <c r="A43" s="2" t="s">
        <v>163</v>
      </c>
      <c r="B43" s="2" t="s">
        <v>164</v>
      </c>
      <c r="C43" s="2" t="s">
        <v>147</v>
      </c>
      <c r="D43" s="2">
        <v>8439</v>
      </c>
      <c r="E43" s="2">
        <v>403</v>
      </c>
      <c r="F43" s="2" t="s">
        <v>165</v>
      </c>
      <c r="G43" s="2" t="s">
        <v>169</v>
      </c>
      <c r="H43" s="2" t="s">
        <v>150</v>
      </c>
      <c r="I43" s="2" t="s">
        <v>123</v>
      </c>
      <c r="J43" s="2">
        <v>4</v>
      </c>
      <c r="K43" s="2" t="s">
        <v>151</v>
      </c>
      <c r="L43" s="2" t="s">
        <v>152</v>
      </c>
      <c r="M43" s="2" t="s">
        <v>153</v>
      </c>
      <c r="N43" s="2" t="str">
        <f>HYPERLINK("https://klocwork.dal.design.ti.com:443/review/insight-review.html#issuedetails_goto:problemid=8439,project=MCUSW_J7_KW_FULL,searchquery=taxonomy:'' build:RS-2022-10-06_06-07-58 grouping:off module:CddIpc","KW Issue Link")</f>
        <v>KW Issue Link</v>
      </c>
      <c r="O43" s="2"/>
      <c r="P43" s="2"/>
      <c r="Q43" s="2"/>
      <c r="R43" s="2"/>
      <c r="S43" s="2" t="s">
        <v>154</v>
      </c>
      <c r="T43" s="2"/>
    </row>
    <row r="44" spans="1:20" ht="105" x14ac:dyDescent="0.25">
      <c r="A44" s="2" t="s">
        <v>163</v>
      </c>
      <c r="B44" s="2" t="s">
        <v>164</v>
      </c>
      <c r="C44" s="2" t="s">
        <v>147</v>
      </c>
      <c r="D44" s="2">
        <v>8440</v>
      </c>
      <c r="E44" s="2">
        <v>403</v>
      </c>
      <c r="F44" s="2" t="s">
        <v>165</v>
      </c>
      <c r="G44" s="2" t="s">
        <v>169</v>
      </c>
      <c r="H44" s="2" t="s">
        <v>150</v>
      </c>
      <c r="I44" s="2" t="s">
        <v>123</v>
      </c>
      <c r="J44" s="2">
        <v>4</v>
      </c>
      <c r="K44" s="2" t="s">
        <v>151</v>
      </c>
      <c r="L44" s="2" t="s">
        <v>152</v>
      </c>
      <c r="M44" s="2" t="s">
        <v>153</v>
      </c>
      <c r="N44" s="2" t="str">
        <f>HYPERLINK("https://klocwork.dal.design.ti.com:443/review/insight-review.html#issuedetails_goto:problemid=8440,project=MCUSW_J7_KW_FULL,searchquery=taxonomy:'' build:RS-2022-10-06_06-07-58 grouping:off module:CddIpc","KW Issue Link")</f>
        <v>KW Issue Link</v>
      </c>
      <c r="O44" s="2"/>
      <c r="P44" s="2"/>
      <c r="Q44" s="2"/>
      <c r="R44" s="2"/>
      <c r="S44" s="2" t="s">
        <v>154</v>
      </c>
      <c r="T44" s="2"/>
    </row>
    <row r="45" spans="1:20" ht="105" x14ac:dyDescent="0.25">
      <c r="A45" s="2" t="s">
        <v>163</v>
      </c>
      <c r="B45" s="2" t="s">
        <v>164</v>
      </c>
      <c r="C45" s="2" t="s">
        <v>147</v>
      </c>
      <c r="D45" s="2">
        <v>8441</v>
      </c>
      <c r="E45" s="2">
        <v>408</v>
      </c>
      <c r="F45" s="2" t="s">
        <v>165</v>
      </c>
      <c r="G45" s="2" t="s">
        <v>169</v>
      </c>
      <c r="H45" s="2" t="s">
        <v>150</v>
      </c>
      <c r="I45" s="2" t="s">
        <v>123</v>
      </c>
      <c r="J45" s="2">
        <v>4</v>
      </c>
      <c r="K45" s="2" t="s">
        <v>151</v>
      </c>
      <c r="L45" s="2" t="s">
        <v>152</v>
      </c>
      <c r="M45" s="2" t="s">
        <v>153</v>
      </c>
      <c r="N45" s="2" t="str">
        <f>HYPERLINK("https://klocwork.dal.design.ti.com:443/review/insight-review.html#issuedetails_goto:problemid=8441,project=MCUSW_J7_KW_FULL,searchquery=taxonomy:'' build:RS-2022-10-06_06-07-58 grouping:off module:CddIpc","KW Issue Link")</f>
        <v>KW Issue Link</v>
      </c>
      <c r="O45" s="2"/>
      <c r="P45" s="2"/>
      <c r="Q45" s="2"/>
      <c r="R45" s="2"/>
      <c r="S45" s="2" t="s">
        <v>154</v>
      </c>
      <c r="T45" s="2"/>
    </row>
    <row r="46" spans="1:20" ht="105" x14ac:dyDescent="0.25">
      <c r="A46" s="2" t="s">
        <v>163</v>
      </c>
      <c r="B46" s="2" t="s">
        <v>164</v>
      </c>
      <c r="C46" s="2" t="s">
        <v>147</v>
      </c>
      <c r="D46" s="2">
        <v>8442</v>
      </c>
      <c r="E46" s="2">
        <v>408</v>
      </c>
      <c r="F46" s="2" t="s">
        <v>165</v>
      </c>
      <c r="G46" s="2" t="s">
        <v>169</v>
      </c>
      <c r="H46" s="2" t="s">
        <v>150</v>
      </c>
      <c r="I46" s="2" t="s">
        <v>123</v>
      </c>
      <c r="J46" s="2">
        <v>4</v>
      </c>
      <c r="K46" s="2" t="s">
        <v>151</v>
      </c>
      <c r="L46" s="2" t="s">
        <v>152</v>
      </c>
      <c r="M46" s="2" t="s">
        <v>153</v>
      </c>
      <c r="N46" s="2" t="str">
        <f>HYPERLINK("https://klocwork.dal.design.ti.com:443/review/insight-review.html#issuedetails_goto:problemid=8442,project=MCUSW_J7_KW_FULL,searchquery=taxonomy:'' build:RS-2022-10-06_06-07-58 grouping:off module:CddIpc","KW Issue Link")</f>
        <v>KW Issue Link</v>
      </c>
      <c r="O46" s="2"/>
      <c r="P46" s="2"/>
      <c r="Q46" s="2"/>
      <c r="R46" s="2"/>
      <c r="S46" s="2" t="s">
        <v>154</v>
      </c>
      <c r="T46" s="2"/>
    </row>
    <row r="47" spans="1:20" ht="105" x14ac:dyDescent="0.25">
      <c r="A47" s="2" t="s">
        <v>163</v>
      </c>
      <c r="B47" s="2" t="s">
        <v>164</v>
      </c>
      <c r="C47" s="2" t="s">
        <v>147</v>
      </c>
      <c r="D47" s="2">
        <v>8443</v>
      </c>
      <c r="E47" s="2">
        <v>419</v>
      </c>
      <c r="F47" s="2" t="s">
        <v>165</v>
      </c>
      <c r="G47" s="2" t="s">
        <v>169</v>
      </c>
      <c r="H47" s="2" t="s">
        <v>150</v>
      </c>
      <c r="I47" s="2" t="s">
        <v>123</v>
      </c>
      <c r="J47" s="2">
        <v>4</v>
      </c>
      <c r="K47" s="2" t="s">
        <v>151</v>
      </c>
      <c r="L47" s="2" t="s">
        <v>152</v>
      </c>
      <c r="M47" s="2" t="s">
        <v>153</v>
      </c>
      <c r="N47" s="2" t="str">
        <f>HYPERLINK("https://klocwork.dal.design.ti.com:443/review/insight-review.html#issuedetails_goto:problemid=8443,project=MCUSW_J7_KW_FULL,searchquery=taxonomy:'' build:RS-2022-10-06_06-07-58 grouping:off module:CddIpc","KW Issue Link")</f>
        <v>KW Issue Link</v>
      </c>
      <c r="O47" s="2"/>
      <c r="P47" s="2"/>
      <c r="Q47" s="2"/>
      <c r="R47" s="2"/>
      <c r="S47" s="2" t="s">
        <v>154</v>
      </c>
      <c r="T47" s="2"/>
    </row>
    <row r="48" spans="1:20" ht="105" x14ac:dyDescent="0.25">
      <c r="A48" s="2" t="s">
        <v>163</v>
      </c>
      <c r="B48" s="2" t="s">
        <v>164</v>
      </c>
      <c r="C48" s="2" t="s">
        <v>147</v>
      </c>
      <c r="D48" s="2">
        <v>8444</v>
      </c>
      <c r="E48" s="2">
        <v>419</v>
      </c>
      <c r="F48" s="2" t="s">
        <v>165</v>
      </c>
      <c r="G48" s="2" t="s">
        <v>169</v>
      </c>
      <c r="H48" s="2" t="s">
        <v>150</v>
      </c>
      <c r="I48" s="2" t="s">
        <v>123</v>
      </c>
      <c r="J48" s="2">
        <v>4</v>
      </c>
      <c r="K48" s="2" t="s">
        <v>151</v>
      </c>
      <c r="L48" s="2" t="s">
        <v>152</v>
      </c>
      <c r="M48" s="2" t="s">
        <v>153</v>
      </c>
      <c r="N48" s="2" t="str">
        <f>HYPERLINK("https://klocwork.dal.design.ti.com:443/review/insight-review.html#issuedetails_goto:problemid=8444,project=MCUSW_J7_KW_FULL,searchquery=taxonomy:'' build:RS-2022-10-06_06-07-58 grouping:off module:CddIpc","KW Issue Link")</f>
        <v>KW Issue Link</v>
      </c>
      <c r="O48" s="2"/>
      <c r="P48" s="2"/>
      <c r="Q48" s="2"/>
      <c r="R48" s="2"/>
      <c r="S48" s="2" t="s">
        <v>154</v>
      </c>
      <c r="T48" s="2"/>
    </row>
    <row r="49" spans="1:20" ht="105" x14ac:dyDescent="0.25">
      <c r="A49" s="2" t="s">
        <v>163</v>
      </c>
      <c r="B49" s="2" t="s">
        <v>164</v>
      </c>
      <c r="C49" s="2" t="s">
        <v>147</v>
      </c>
      <c r="D49" s="2">
        <v>8448</v>
      </c>
      <c r="E49" s="2">
        <v>439</v>
      </c>
      <c r="F49" s="2" t="s">
        <v>165</v>
      </c>
      <c r="G49" s="2" t="s">
        <v>169</v>
      </c>
      <c r="H49" s="2" t="s">
        <v>150</v>
      </c>
      <c r="I49" s="2" t="s">
        <v>123</v>
      </c>
      <c r="J49" s="2">
        <v>4</v>
      </c>
      <c r="K49" s="2" t="s">
        <v>151</v>
      </c>
      <c r="L49" s="2" t="s">
        <v>152</v>
      </c>
      <c r="M49" s="2" t="s">
        <v>153</v>
      </c>
      <c r="N49" s="2" t="str">
        <f>HYPERLINK("https://klocwork.dal.design.ti.com:443/review/insight-review.html#issuedetails_goto:problemid=8448,project=MCUSW_J7_KW_FULL,searchquery=taxonomy:'' build:RS-2022-10-06_06-07-58 grouping:off module:CddIpc","KW Issue Link")</f>
        <v>KW Issue Link</v>
      </c>
      <c r="O49" s="2"/>
      <c r="P49" s="2"/>
      <c r="Q49" s="2"/>
      <c r="R49" s="2"/>
      <c r="S49" s="2" t="s">
        <v>154</v>
      </c>
      <c r="T49" s="2"/>
    </row>
    <row r="50" spans="1:20" ht="105" x14ac:dyDescent="0.25">
      <c r="A50" s="2" t="s">
        <v>163</v>
      </c>
      <c r="B50" s="2" t="s">
        <v>164</v>
      </c>
      <c r="C50" s="2" t="s">
        <v>147</v>
      </c>
      <c r="D50" s="2">
        <v>8449</v>
      </c>
      <c r="E50" s="2">
        <v>445</v>
      </c>
      <c r="F50" s="2" t="s">
        <v>165</v>
      </c>
      <c r="G50" s="2" t="s">
        <v>169</v>
      </c>
      <c r="H50" s="2" t="s">
        <v>150</v>
      </c>
      <c r="I50" s="2" t="s">
        <v>123</v>
      </c>
      <c r="J50" s="2">
        <v>4</v>
      </c>
      <c r="K50" s="2" t="s">
        <v>151</v>
      </c>
      <c r="L50" s="2" t="s">
        <v>152</v>
      </c>
      <c r="M50" s="2" t="s">
        <v>153</v>
      </c>
      <c r="N50" s="2" t="str">
        <f>HYPERLINK("https://klocwork.dal.design.ti.com:443/review/insight-review.html#issuedetails_goto:problemid=8449,project=MCUSW_J7_KW_FULL,searchquery=taxonomy:'' build:RS-2022-10-06_06-07-58 grouping:off module:CddIpc","KW Issue Link")</f>
        <v>KW Issue Link</v>
      </c>
      <c r="O50" s="2"/>
      <c r="P50" s="2"/>
      <c r="Q50" s="2"/>
      <c r="R50" s="2"/>
      <c r="S50" s="2" t="s">
        <v>154</v>
      </c>
      <c r="T50" s="2"/>
    </row>
    <row r="51" spans="1:20" ht="105" x14ac:dyDescent="0.25">
      <c r="A51" s="2" t="s">
        <v>163</v>
      </c>
      <c r="B51" s="2" t="s">
        <v>164</v>
      </c>
      <c r="C51" s="2" t="s">
        <v>147</v>
      </c>
      <c r="D51" s="2">
        <v>8450</v>
      </c>
      <c r="E51" s="2">
        <v>465</v>
      </c>
      <c r="F51" s="2" t="s">
        <v>165</v>
      </c>
      <c r="G51" s="2" t="s">
        <v>170</v>
      </c>
      <c r="H51" s="2" t="s">
        <v>150</v>
      </c>
      <c r="I51" s="2" t="s">
        <v>123</v>
      </c>
      <c r="J51" s="2">
        <v>4</v>
      </c>
      <c r="K51" s="2" t="s">
        <v>151</v>
      </c>
      <c r="L51" s="2" t="s">
        <v>152</v>
      </c>
      <c r="M51" s="2" t="s">
        <v>153</v>
      </c>
      <c r="N51" s="2" t="str">
        <f>HYPERLINK("https://klocwork.dal.design.ti.com:443/review/insight-review.html#issuedetails_goto:problemid=8450,project=MCUSW_J7_KW_FULL,searchquery=taxonomy:'' build:RS-2022-10-06_06-07-58 grouping:off module:CddIpc","KW Issue Link")</f>
        <v>KW Issue Link</v>
      </c>
      <c r="O51" s="2"/>
      <c r="P51" s="2"/>
      <c r="Q51" s="2"/>
      <c r="R51" s="2"/>
      <c r="S51" s="2" t="s">
        <v>154</v>
      </c>
      <c r="T51" s="2"/>
    </row>
    <row r="52" spans="1:20" ht="105" x14ac:dyDescent="0.25">
      <c r="A52" s="2" t="s">
        <v>163</v>
      </c>
      <c r="B52" s="2" t="s">
        <v>164</v>
      </c>
      <c r="C52" s="2" t="s">
        <v>147</v>
      </c>
      <c r="D52" s="2">
        <v>8451</v>
      </c>
      <c r="E52" s="2">
        <v>481</v>
      </c>
      <c r="F52" s="2" t="s">
        <v>165</v>
      </c>
      <c r="G52" s="2" t="s">
        <v>170</v>
      </c>
      <c r="H52" s="2" t="s">
        <v>150</v>
      </c>
      <c r="I52" s="2" t="s">
        <v>123</v>
      </c>
      <c r="J52" s="2">
        <v>4</v>
      </c>
      <c r="K52" s="2" t="s">
        <v>151</v>
      </c>
      <c r="L52" s="2" t="s">
        <v>152</v>
      </c>
      <c r="M52" s="2" t="s">
        <v>153</v>
      </c>
      <c r="N52" s="2" t="str">
        <f>HYPERLINK("https://klocwork.dal.design.ti.com:443/review/insight-review.html#issuedetails_goto:problemid=8451,project=MCUSW_J7_KW_FULL,searchquery=taxonomy:'' build:RS-2022-10-06_06-07-58 grouping:off module:CddIpc","KW Issue Link")</f>
        <v>KW Issue Link</v>
      </c>
      <c r="O52" s="2"/>
      <c r="P52" s="2"/>
      <c r="Q52" s="2"/>
      <c r="R52" s="2"/>
      <c r="S52" s="2" t="s">
        <v>154</v>
      </c>
      <c r="T52" s="2"/>
    </row>
    <row r="53" spans="1:20" ht="105" x14ac:dyDescent="0.25">
      <c r="A53" s="2" t="s">
        <v>163</v>
      </c>
      <c r="B53" s="2" t="s">
        <v>164</v>
      </c>
      <c r="C53" s="2" t="s">
        <v>147</v>
      </c>
      <c r="D53" s="2">
        <v>8452</v>
      </c>
      <c r="E53" s="2">
        <v>481</v>
      </c>
      <c r="F53" s="2" t="s">
        <v>165</v>
      </c>
      <c r="G53" s="2" t="s">
        <v>170</v>
      </c>
      <c r="H53" s="2" t="s">
        <v>150</v>
      </c>
      <c r="I53" s="2" t="s">
        <v>123</v>
      </c>
      <c r="J53" s="2">
        <v>4</v>
      </c>
      <c r="K53" s="2" t="s">
        <v>151</v>
      </c>
      <c r="L53" s="2" t="s">
        <v>152</v>
      </c>
      <c r="M53" s="2" t="s">
        <v>153</v>
      </c>
      <c r="N53" s="2" t="str">
        <f>HYPERLINK("https://klocwork.dal.design.ti.com:443/review/insight-review.html#issuedetails_goto:problemid=8452,project=MCUSW_J7_KW_FULL,searchquery=taxonomy:'' build:RS-2022-10-06_06-07-58 grouping:off module:CddIpc","KW Issue Link")</f>
        <v>KW Issue Link</v>
      </c>
      <c r="O53" s="2"/>
      <c r="P53" s="2"/>
      <c r="Q53" s="2"/>
      <c r="R53" s="2"/>
      <c r="S53" s="2" t="s">
        <v>154</v>
      </c>
      <c r="T53" s="2"/>
    </row>
    <row r="54" spans="1:20" ht="105" x14ac:dyDescent="0.25">
      <c r="A54" s="2" t="s">
        <v>163</v>
      </c>
      <c r="B54" s="2" t="s">
        <v>164</v>
      </c>
      <c r="C54" s="2" t="s">
        <v>147</v>
      </c>
      <c r="D54" s="2">
        <v>8453</v>
      </c>
      <c r="E54" s="2">
        <v>476</v>
      </c>
      <c r="F54" s="2" t="s">
        <v>165</v>
      </c>
      <c r="G54" s="2" t="s">
        <v>170</v>
      </c>
      <c r="H54" s="2" t="s">
        <v>150</v>
      </c>
      <c r="I54" s="2" t="s">
        <v>123</v>
      </c>
      <c r="J54" s="2">
        <v>4</v>
      </c>
      <c r="K54" s="2" t="s">
        <v>151</v>
      </c>
      <c r="L54" s="2" t="s">
        <v>152</v>
      </c>
      <c r="M54" s="2" t="s">
        <v>153</v>
      </c>
      <c r="N54" s="2" t="str">
        <f>HYPERLINK("https://klocwork.dal.design.ti.com:443/review/insight-review.html#issuedetails_goto:problemid=8453,project=MCUSW_J7_KW_FULL,searchquery=taxonomy:'' build:RS-2022-10-06_06-07-58 grouping:off module:CddIpc","KW Issue Link")</f>
        <v>KW Issue Link</v>
      </c>
      <c r="O54" s="2"/>
      <c r="P54" s="2"/>
      <c r="Q54" s="2"/>
      <c r="R54" s="2"/>
      <c r="S54" s="2" t="s">
        <v>154</v>
      </c>
      <c r="T54" s="2"/>
    </row>
    <row r="55" spans="1:20" ht="105" x14ac:dyDescent="0.25">
      <c r="A55" s="2" t="s">
        <v>163</v>
      </c>
      <c r="B55" s="2" t="s">
        <v>164</v>
      </c>
      <c r="C55" s="2" t="s">
        <v>147</v>
      </c>
      <c r="D55" s="2">
        <v>8454</v>
      </c>
      <c r="E55" s="2">
        <v>476</v>
      </c>
      <c r="F55" s="2" t="s">
        <v>165</v>
      </c>
      <c r="G55" s="2" t="s">
        <v>170</v>
      </c>
      <c r="H55" s="2" t="s">
        <v>150</v>
      </c>
      <c r="I55" s="2" t="s">
        <v>123</v>
      </c>
      <c r="J55" s="2">
        <v>4</v>
      </c>
      <c r="K55" s="2" t="s">
        <v>151</v>
      </c>
      <c r="L55" s="2" t="s">
        <v>152</v>
      </c>
      <c r="M55" s="2" t="s">
        <v>153</v>
      </c>
      <c r="N55" s="2" t="str">
        <f>HYPERLINK("https://klocwork.dal.design.ti.com:443/review/insight-review.html#issuedetails_goto:problemid=8454,project=MCUSW_J7_KW_FULL,searchquery=taxonomy:'' build:RS-2022-10-06_06-07-58 grouping:off module:CddIpc","KW Issue Link")</f>
        <v>KW Issue Link</v>
      </c>
      <c r="O55" s="2"/>
      <c r="P55" s="2"/>
      <c r="Q55" s="2"/>
      <c r="R55" s="2"/>
      <c r="S55" s="2" t="s">
        <v>154</v>
      </c>
      <c r="T55" s="2"/>
    </row>
    <row r="56" spans="1:20" ht="105" x14ac:dyDescent="0.25">
      <c r="A56" s="2" t="s">
        <v>163</v>
      </c>
      <c r="B56" s="2" t="s">
        <v>164</v>
      </c>
      <c r="C56" s="2" t="s">
        <v>147</v>
      </c>
      <c r="D56" s="2">
        <v>8455</v>
      </c>
      <c r="E56" s="2">
        <v>471</v>
      </c>
      <c r="F56" s="2" t="s">
        <v>165</v>
      </c>
      <c r="G56" s="2" t="s">
        <v>170</v>
      </c>
      <c r="H56" s="2" t="s">
        <v>150</v>
      </c>
      <c r="I56" s="2" t="s">
        <v>123</v>
      </c>
      <c r="J56" s="2">
        <v>4</v>
      </c>
      <c r="K56" s="2" t="s">
        <v>151</v>
      </c>
      <c r="L56" s="2" t="s">
        <v>152</v>
      </c>
      <c r="M56" s="2" t="s">
        <v>153</v>
      </c>
      <c r="N56" s="2" t="str">
        <f>HYPERLINK("https://klocwork.dal.design.ti.com:443/review/insight-review.html#issuedetails_goto:problemid=8455,project=MCUSW_J7_KW_FULL,searchquery=taxonomy:'' build:RS-2022-10-06_06-07-58 grouping:off module:CddIpc","KW Issue Link")</f>
        <v>KW Issue Link</v>
      </c>
      <c r="O56" s="2"/>
      <c r="P56" s="2"/>
      <c r="Q56" s="2"/>
      <c r="R56" s="2"/>
      <c r="S56" s="2" t="s">
        <v>154</v>
      </c>
      <c r="T56" s="2"/>
    </row>
    <row r="57" spans="1:20" ht="105" x14ac:dyDescent="0.25">
      <c r="A57" s="2" t="s">
        <v>163</v>
      </c>
      <c r="B57" s="2" t="s">
        <v>164</v>
      </c>
      <c r="C57" s="2" t="s">
        <v>147</v>
      </c>
      <c r="D57" s="2">
        <v>8456</v>
      </c>
      <c r="E57" s="2">
        <v>471</v>
      </c>
      <c r="F57" s="2" t="s">
        <v>165</v>
      </c>
      <c r="G57" s="2" t="s">
        <v>170</v>
      </c>
      <c r="H57" s="2" t="s">
        <v>150</v>
      </c>
      <c r="I57" s="2" t="s">
        <v>123</v>
      </c>
      <c r="J57" s="2">
        <v>4</v>
      </c>
      <c r="K57" s="2" t="s">
        <v>151</v>
      </c>
      <c r="L57" s="2" t="s">
        <v>152</v>
      </c>
      <c r="M57" s="2" t="s">
        <v>153</v>
      </c>
      <c r="N57" s="2" t="str">
        <f>HYPERLINK("https://klocwork.dal.design.ti.com:443/review/insight-review.html#issuedetails_goto:problemid=8456,project=MCUSW_J7_KW_FULL,searchquery=taxonomy:'' build:RS-2022-10-06_06-07-58 grouping:off module:CddIpc","KW Issue Link")</f>
        <v>KW Issue Link</v>
      </c>
      <c r="O57" s="2"/>
      <c r="P57" s="2"/>
      <c r="Q57" s="2"/>
      <c r="R57" s="2"/>
      <c r="S57" s="2" t="s">
        <v>154</v>
      </c>
      <c r="T57" s="2"/>
    </row>
    <row r="58" spans="1:20" ht="105" x14ac:dyDescent="0.25">
      <c r="A58" s="2" t="s">
        <v>163</v>
      </c>
      <c r="B58" s="2" t="s">
        <v>164</v>
      </c>
      <c r="C58" s="2" t="s">
        <v>147</v>
      </c>
      <c r="D58" s="2">
        <v>8457</v>
      </c>
      <c r="E58" s="2">
        <v>492</v>
      </c>
      <c r="F58" s="2" t="s">
        <v>165</v>
      </c>
      <c r="G58" s="2" t="s">
        <v>170</v>
      </c>
      <c r="H58" s="2" t="s">
        <v>150</v>
      </c>
      <c r="I58" s="2" t="s">
        <v>123</v>
      </c>
      <c r="J58" s="2">
        <v>4</v>
      </c>
      <c r="K58" s="2" t="s">
        <v>151</v>
      </c>
      <c r="L58" s="2" t="s">
        <v>152</v>
      </c>
      <c r="M58" s="2" t="s">
        <v>153</v>
      </c>
      <c r="N58" s="2" t="str">
        <f>HYPERLINK("https://klocwork.dal.design.ti.com:443/review/insight-review.html#issuedetails_goto:problemid=8457,project=MCUSW_J7_KW_FULL,searchquery=taxonomy:'' build:RS-2022-10-06_06-07-58 grouping:off module:CddIpc","KW Issue Link")</f>
        <v>KW Issue Link</v>
      </c>
      <c r="O58" s="2"/>
      <c r="P58" s="2"/>
      <c r="Q58" s="2"/>
      <c r="R58" s="2"/>
      <c r="S58" s="2" t="s">
        <v>154</v>
      </c>
      <c r="T58" s="2"/>
    </row>
    <row r="59" spans="1:20" ht="105" x14ac:dyDescent="0.25">
      <c r="A59" s="2" t="s">
        <v>163</v>
      </c>
      <c r="B59" s="2" t="s">
        <v>164</v>
      </c>
      <c r="C59" s="2" t="s">
        <v>147</v>
      </c>
      <c r="D59" s="2">
        <v>8458</v>
      </c>
      <c r="E59" s="2">
        <v>501</v>
      </c>
      <c r="F59" s="2" t="s">
        <v>165</v>
      </c>
      <c r="G59" s="2" t="s">
        <v>170</v>
      </c>
      <c r="H59" s="2" t="s">
        <v>150</v>
      </c>
      <c r="I59" s="2" t="s">
        <v>123</v>
      </c>
      <c r="J59" s="2">
        <v>4</v>
      </c>
      <c r="K59" s="2" t="s">
        <v>151</v>
      </c>
      <c r="L59" s="2" t="s">
        <v>152</v>
      </c>
      <c r="M59" s="2" t="s">
        <v>153</v>
      </c>
      <c r="N59" s="2" t="str">
        <f>HYPERLINK("https://klocwork.dal.design.ti.com:443/review/insight-review.html#issuedetails_goto:problemid=8458,project=MCUSW_J7_KW_FULL,searchquery=taxonomy:'' build:RS-2022-10-06_06-07-58 grouping:off module:CddIpc","KW Issue Link")</f>
        <v>KW Issue Link</v>
      </c>
      <c r="O59" s="2"/>
      <c r="P59" s="2"/>
      <c r="Q59" s="2"/>
      <c r="R59" s="2"/>
      <c r="S59" s="2" t="s">
        <v>154</v>
      </c>
      <c r="T59" s="2"/>
    </row>
    <row r="60" spans="1:20" ht="105" x14ac:dyDescent="0.25">
      <c r="A60" s="2" t="s">
        <v>163</v>
      </c>
      <c r="B60" s="2" t="s">
        <v>164</v>
      </c>
      <c r="C60" s="2" t="s">
        <v>147</v>
      </c>
      <c r="D60" s="2">
        <v>8459</v>
      </c>
      <c r="E60" s="2">
        <v>520</v>
      </c>
      <c r="F60" s="2" t="s">
        <v>165</v>
      </c>
      <c r="G60" s="2" t="s">
        <v>171</v>
      </c>
      <c r="H60" s="2" t="s">
        <v>150</v>
      </c>
      <c r="I60" s="2" t="s">
        <v>123</v>
      </c>
      <c r="J60" s="2">
        <v>4</v>
      </c>
      <c r="K60" s="2" t="s">
        <v>151</v>
      </c>
      <c r="L60" s="2" t="s">
        <v>152</v>
      </c>
      <c r="M60" s="2" t="s">
        <v>153</v>
      </c>
      <c r="N60" s="2" t="str">
        <f>HYPERLINK("https://klocwork.dal.design.ti.com:443/review/insight-review.html#issuedetails_goto:problemid=8459,project=MCUSW_J7_KW_FULL,searchquery=taxonomy:'' build:RS-2022-10-06_06-07-58 grouping:off module:CddIpc","KW Issue Link")</f>
        <v>KW Issue Link</v>
      </c>
      <c r="O60" s="2"/>
      <c r="P60" s="2"/>
      <c r="Q60" s="2"/>
      <c r="R60" s="2"/>
      <c r="S60" s="2" t="s">
        <v>154</v>
      </c>
      <c r="T60" s="2"/>
    </row>
    <row r="61" spans="1:20" ht="105" x14ac:dyDescent="0.25">
      <c r="A61" s="2" t="s">
        <v>163</v>
      </c>
      <c r="B61" s="2" t="s">
        <v>164</v>
      </c>
      <c r="C61" s="2" t="s">
        <v>147</v>
      </c>
      <c r="D61" s="2">
        <v>8460</v>
      </c>
      <c r="E61" s="2">
        <v>537</v>
      </c>
      <c r="F61" s="2" t="s">
        <v>165</v>
      </c>
      <c r="G61" s="2" t="s">
        <v>171</v>
      </c>
      <c r="H61" s="2" t="s">
        <v>150</v>
      </c>
      <c r="I61" s="2" t="s">
        <v>123</v>
      </c>
      <c r="J61" s="2">
        <v>4</v>
      </c>
      <c r="K61" s="2" t="s">
        <v>151</v>
      </c>
      <c r="L61" s="2" t="s">
        <v>152</v>
      </c>
      <c r="M61" s="2" t="s">
        <v>153</v>
      </c>
      <c r="N61" s="2" t="str">
        <f>HYPERLINK("https://klocwork.dal.design.ti.com:443/review/insight-review.html#issuedetails_goto:problemid=8460,project=MCUSW_J7_KW_FULL,searchquery=taxonomy:'' build:RS-2022-10-06_06-07-58 grouping:off module:CddIpc","KW Issue Link")</f>
        <v>KW Issue Link</v>
      </c>
      <c r="O61" s="2"/>
      <c r="P61" s="2"/>
      <c r="Q61" s="2"/>
      <c r="R61" s="2"/>
      <c r="S61" s="2" t="s">
        <v>154</v>
      </c>
      <c r="T61" s="2"/>
    </row>
    <row r="62" spans="1:20" ht="105" x14ac:dyDescent="0.25">
      <c r="A62" s="2" t="s">
        <v>163</v>
      </c>
      <c r="B62" s="2" t="s">
        <v>164</v>
      </c>
      <c r="C62" s="2" t="s">
        <v>147</v>
      </c>
      <c r="D62" s="2">
        <v>8461</v>
      </c>
      <c r="E62" s="2">
        <v>537</v>
      </c>
      <c r="F62" s="2" t="s">
        <v>165</v>
      </c>
      <c r="G62" s="2" t="s">
        <v>171</v>
      </c>
      <c r="H62" s="2" t="s">
        <v>150</v>
      </c>
      <c r="I62" s="2" t="s">
        <v>123</v>
      </c>
      <c r="J62" s="2">
        <v>4</v>
      </c>
      <c r="K62" s="2" t="s">
        <v>151</v>
      </c>
      <c r="L62" s="2" t="s">
        <v>152</v>
      </c>
      <c r="M62" s="2" t="s">
        <v>153</v>
      </c>
      <c r="N62" s="2" t="str">
        <f>HYPERLINK("https://klocwork.dal.design.ti.com:443/review/insight-review.html#issuedetails_goto:problemid=8461,project=MCUSW_J7_KW_FULL,searchquery=taxonomy:'' build:RS-2022-10-06_06-07-58 grouping:off module:CddIpc","KW Issue Link")</f>
        <v>KW Issue Link</v>
      </c>
      <c r="O62" s="2"/>
      <c r="P62" s="2"/>
      <c r="Q62" s="2"/>
      <c r="R62" s="2"/>
      <c r="S62" s="2" t="s">
        <v>154</v>
      </c>
      <c r="T62" s="2"/>
    </row>
    <row r="63" spans="1:20" ht="105" x14ac:dyDescent="0.25">
      <c r="A63" s="2" t="s">
        <v>163</v>
      </c>
      <c r="B63" s="2" t="s">
        <v>164</v>
      </c>
      <c r="C63" s="2" t="s">
        <v>147</v>
      </c>
      <c r="D63" s="2">
        <v>8462</v>
      </c>
      <c r="E63" s="2">
        <v>532</v>
      </c>
      <c r="F63" s="2" t="s">
        <v>165</v>
      </c>
      <c r="G63" s="2" t="s">
        <v>171</v>
      </c>
      <c r="H63" s="2" t="s">
        <v>150</v>
      </c>
      <c r="I63" s="2" t="s">
        <v>123</v>
      </c>
      <c r="J63" s="2">
        <v>4</v>
      </c>
      <c r="K63" s="2" t="s">
        <v>151</v>
      </c>
      <c r="L63" s="2" t="s">
        <v>152</v>
      </c>
      <c r="M63" s="2" t="s">
        <v>153</v>
      </c>
      <c r="N63" s="2" t="str">
        <f>HYPERLINK("https://klocwork.dal.design.ti.com:443/review/insight-review.html#issuedetails_goto:problemid=8462,project=MCUSW_J7_KW_FULL,searchquery=taxonomy:'' build:RS-2022-10-06_06-07-58 grouping:off module:CddIpc","KW Issue Link")</f>
        <v>KW Issue Link</v>
      </c>
      <c r="O63" s="2"/>
      <c r="P63" s="2"/>
      <c r="Q63" s="2"/>
      <c r="R63" s="2"/>
      <c r="S63" s="2" t="s">
        <v>154</v>
      </c>
      <c r="T63" s="2"/>
    </row>
    <row r="64" spans="1:20" ht="105" x14ac:dyDescent="0.25">
      <c r="A64" s="2" t="s">
        <v>163</v>
      </c>
      <c r="B64" s="2" t="s">
        <v>164</v>
      </c>
      <c r="C64" s="2" t="s">
        <v>147</v>
      </c>
      <c r="D64" s="2">
        <v>8463</v>
      </c>
      <c r="E64" s="2">
        <v>532</v>
      </c>
      <c r="F64" s="2" t="s">
        <v>165</v>
      </c>
      <c r="G64" s="2" t="s">
        <v>171</v>
      </c>
      <c r="H64" s="2" t="s">
        <v>150</v>
      </c>
      <c r="I64" s="2" t="s">
        <v>123</v>
      </c>
      <c r="J64" s="2">
        <v>4</v>
      </c>
      <c r="K64" s="2" t="s">
        <v>151</v>
      </c>
      <c r="L64" s="2" t="s">
        <v>152</v>
      </c>
      <c r="M64" s="2" t="s">
        <v>153</v>
      </c>
      <c r="N64" s="2" t="str">
        <f>HYPERLINK("https://klocwork.dal.design.ti.com:443/review/insight-review.html#issuedetails_goto:problemid=8463,project=MCUSW_J7_KW_FULL,searchquery=taxonomy:'' build:RS-2022-10-06_06-07-58 grouping:off module:CddIpc","KW Issue Link")</f>
        <v>KW Issue Link</v>
      </c>
      <c r="O64" s="2"/>
      <c r="P64" s="2"/>
      <c r="Q64" s="2"/>
      <c r="R64" s="2"/>
      <c r="S64" s="2" t="s">
        <v>154</v>
      </c>
      <c r="T64" s="2"/>
    </row>
    <row r="65" spans="1:20" ht="105" x14ac:dyDescent="0.25">
      <c r="A65" s="2" t="s">
        <v>163</v>
      </c>
      <c r="B65" s="2" t="s">
        <v>164</v>
      </c>
      <c r="C65" s="2" t="s">
        <v>147</v>
      </c>
      <c r="D65" s="2">
        <v>8464</v>
      </c>
      <c r="E65" s="2">
        <v>527</v>
      </c>
      <c r="F65" s="2" t="s">
        <v>165</v>
      </c>
      <c r="G65" s="2" t="s">
        <v>171</v>
      </c>
      <c r="H65" s="2" t="s">
        <v>150</v>
      </c>
      <c r="I65" s="2" t="s">
        <v>123</v>
      </c>
      <c r="J65" s="2">
        <v>4</v>
      </c>
      <c r="K65" s="2" t="s">
        <v>151</v>
      </c>
      <c r="L65" s="2" t="s">
        <v>152</v>
      </c>
      <c r="M65" s="2" t="s">
        <v>153</v>
      </c>
      <c r="N65" s="2" t="str">
        <f>HYPERLINK("https://klocwork.dal.design.ti.com:443/review/insight-review.html#issuedetails_goto:problemid=8464,project=MCUSW_J7_KW_FULL,searchquery=taxonomy:'' build:RS-2022-10-06_06-07-58 grouping:off module:CddIpc","KW Issue Link")</f>
        <v>KW Issue Link</v>
      </c>
      <c r="O65" s="2"/>
      <c r="P65" s="2"/>
      <c r="Q65" s="2"/>
      <c r="R65" s="2"/>
      <c r="S65" s="2" t="s">
        <v>154</v>
      </c>
      <c r="T65" s="2"/>
    </row>
    <row r="66" spans="1:20" ht="105" x14ac:dyDescent="0.25">
      <c r="A66" s="2" t="s">
        <v>163</v>
      </c>
      <c r="B66" s="2" t="s">
        <v>164</v>
      </c>
      <c r="C66" s="2" t="s">
        <v>147</v>
      </c>
      <c r="D66" s="2">
        <v>8465</v>
      </c>
      <c r="E66" s="2">
        <v>527</v>
      </c>
      <c r="F66" s="2" t="s">
        <v>165</v>
      </c>
      <c r="G66" s="2" t="s">
        <v>171</v>
      </c>
      <c r="H66" s="2" t="s">
        <v>150</v>
      </c>
      <c r="I66" s="2" t="s">
        <v>123</v>
      </c>
      <c r="J66" s="2">
        <v>4</v>
      </c>
      <c r="K66" s="2" t="s">
        <v>151</v>
      </c>
      <c r="L66" s="2" t="s">
        <v>152</v>
      </c>
      <c r="M66" s="2" t="s">
        <v>153</v>
      </c>
      <c r="N66" s="2" t="str">
        <f>HYPERLINK("https://klocwork.dal.design.ti.com:443/review/insight-review.html#issuedetails_goto:problemid=8465,project=MCUSW_J7_KW_FULL,searchquery=taxonomy:'' build:RS-2022-10-06_06-07-58 grouping:off module:CddIpc","KW Issue Link")</f>
        <v>KW Issue Link</v>
      </c>
      <c r="O66" s="2"/>
      <c r="P66" s="2"/>
      <c r="Q66" s="2"/>
      <c r="R66" s="2"/>
      <c r="S66" s="2" t="s">
        <v>154</v>
      </c>
      <c r="T66" s="2"/>
    </row>
    <row r="67" spans="1:20" ht="105" x14ac:dyDescent="0.25">
      <c r="A67" s="2" t="s">
        <v>163</v>
      </c>
      <c r="B67" s="2" t="s">
        <v>164</v>
      </c>
      <c r="C67" s="2" t="s">
        <v>147</v>
      </c>
      <c r="D67" s="2">
        <v>8466</v>
      </c>
      <c r="E67" s="2">
        <v>549</v>
      </c>
      <c r="F67" s="2" t="s">
        <v>165</v>
      </c>
      <c r="G67" s="2" t="s">
        <v>171</v>
      </c>
      <c r="H67" s="2" t="s">
        <v>150</v>
      </c>
      <c r="I67" s="2" t="s">
        <v>123</v>
      </c>
      <c r="J67" s="2">
        <v>4</v>
      </c>
      <c r="K67" s="2" t="s">
        <v>151</v>
      </c>
      <c r="L67" s="2" t="s">
        <v>152</v>
      </c>
      <c r="M67" s="2" t="s">
        <v>153</v>
      </c>
      <c r="N67" s="2" t="str">
        <f>HYPERLINK("https://klocwork.dal.design.ti.com:443/review/insight-review.html#issuedetails_goto:problemid=8466,project=MCUSW_J7_KW_FULL,searchquery=taxonomy:'' build:RS-2022-10-06_06-07-58 grouping:off module:CddIpc","KW Issue Link")</f>
        <v>KW Issue Link</v>
      </c>
      <c r="O67" s="2"/>
      <c r="P67" s="2"/>
      <c r="Q67" s="2"/>
      <c r="R67" s="2"/>
      <c r="S67" s="2" t="s">
        <v>154</v>
      </c>
      <c r="T67" s="2"/>
    </row>
    <row r="68" spans="1:20" ht="105" x14ac:dyDescent="0.25">
      <c r="A68" s="2" t="s">
        <v>163</v>
      </c>
      <c r="B68" s="2" t="s">
        <v>164</v>
      </c>
      <c r="C68" s="2" t="s">
        <v>147</v>
      </c>
      <c r="D68" s="2">
        <v>8467</v>
      </c>
      <c r="E68" s="2">
        <v>555</v>
      </c>
      <c r="F68" s="2" t="s">
        <v>165</v>
      </c>
      <c r="G68" s="2" t="s">
        <v>171</v>
      </c>
      <c r="H68" s="2" t="s">
        <v>150</v>
      </c>
      <c r="I68" s="2" t="s">
        <v>123</v>
      </c>
      <c r="J68" s="2">
        <v>4</v>
      </c>
      <c r="K68" s="2" t="s">
        <v>151</v>
      </c>
      <c r="L68" s="2" t="s">
        <v>152</v>
      </c>
      <c r="M68" s="2" t="s">
        <v>153</v>
      </c>
      <c r="N68" s="2" t="str">
        <f>HYPERLINK("https://klocwork.dal.design.ti.com:443/review/insight-review.html#issuedetails_goto:problemid=8467,project=MCUSW_J7_KW_FULL,searchquery=taxonomy:'' build:RS-2022-10-06_06-07-58 grouping:off module:CddIpc","KW Issue Link")</f>
        <v>KW Issue Link</v>
      </c>
      <c r="O68" s="2"/>
      <c r="P68" s="2"/>
      <c r="Q68" s="2"/>
      <c r="R68" s="2"/>
      <c r="S68" s="2" t="s">
        <v>154</v>
      </c>
      <c r="T68" s="2"/>
    </row>
    <row r="69" spans="1:20" ht="105" x14ac:dyDescent="0.25">
      <c r="A69" s="2" t="s">
        <v>163</v>
      </c>
      <c r="B69" s="2" t="s">
        <v>164</v>
      </c>
      <c r="C69" s="2" t="s">
        <v>147</v>
      </c>
      <c r="D69" s="2">
        <v>8471</v>
      </c>
      <c r="E69" s="2">
        <v>626</v>
      </c>
      <c r="F69" s="2" t="s">
        <v>165</v>
      </c>
      <c r="G69" s="2" t="s">
        <v>172</v>
      </c>
      <c r="H69" s="2" t="s">
        <v>150</v>
      </c>
      <c r="I69" s="2" t="s">
        <v>123</v>
      </c>
      <c r="J69" s="2">
        <v>4</v>
      </c>
      <c r="K69" s="2" t="s">
        <v>151</v>
      </c>
      <c r="L69" s="2" t="s">
        <v>152</v>
      </c>
      <c r="M69" s="2" t="s">
        <v>153</v>
      </c>
      <c r="N69" s="2" t="str">
        <f>HYPERLINK("https://klocwork.dal.design.ti.com:443/review/insight-review.html#issuedetails_goto:problemid=8471,project=MCUSW_J7_KW_FULL,searchquery=taxonomy:'' build:RS-2022-10-06_06-07-58 grouping:off module:CddIpc","KW Issue Link")</f>
        <v>KW Issue Link</v>
      </c>
      <c r="O69" s="2"/>
      <c r="P69" s="2"/>
      <c r="Q69" s="2"/>
      <c r="R69" s="2"/>
      <c r="S69" s="2" t="s">
        <v>154</v>
      </c>
      <c r="T69" s="2"/>
    </row>
    <row r="70" spans="1:20" ht="105" x14ac:dyDescent="0.25">
      <c r="A70" s="2" t="s">
        <v>163</v>
      </c>
      <c r="B70" s="2" t="s">
        <v>164</v>
      </c>
      <c r="C70" s="2" t="s">
        <v>147</v>
      </c>
      <c r="D70" s="2">
        <v>8472</v>
      </c>
      <c r="E70" s="2">
        <v>631</v>
      </c>
      <c r="F70" s="2" t="s">
        <v>165</v>
      </c>
      <c r="G70" s="2" t="s">
        <v>172</v>
      </c>
      <c r="H70" s="2" t="s">
        <v>150</v>
      </c>
      <c r="I70" s="2" t="s">
        <v>123</v>
      </c>
      <c r="J70" s="2">
        <v>4</v>
      </c>
      <c r="K70" s="2" t="s">
        <v>151</v>
      </c>
      <c r="L70" s="2" t="s">
        <v>152</v>
      </c>
      <c r="M70" s="2" t="s">
        <v>153</v>
      </c>
      <c r="N70" s="2" t="str">
        <f>HYPERLINK("https://klocwork.dal.design.ti.com:443/review/insight-review.html#issuedetails_goto:problemid=8472,project=MCUSW_J7_KW_FULL,searchquery=taxonomy:'' build:RS-2022-10-06_06-07-58 grouping:off module:CddIpc","KW Issue Link")</f>
        <v>KW Issue Link</v>
      </c>
      <c r="O70" s="2"/>
      <c r="P70" s="2"/>
      <c r="Q70" s="2"/>
      <c r="R70" s="2"/>
      <c r="S70" s="2" t="s">
        <v>154</v>
      </c>
      <c r="T70" s="2"/>
    </row>
    <row r="71" spans="1:20" ht="105" x14ac:dyDescent="0.25">
      <c r="A71" s="2" t="s">
        <v>163</v>
      </c>
      <c r="B71" s="2" t="s">
        <v>164</v>
      </c>
      <c r="C71" s="2" t="s">
        <v>147</v>
      </c>
      <c r="D71" s="2">
        <v>8473</v>
      </c>
      <c r="E71" s="2">
        <v>631</v>
      </c>
      <c r="F71" s="2" t="s">
        <v>165</v>
      </c>
      <c r="G71" s="2" t="s">
        <v>172</v>
      </c>
      <c r="H71" s="2" t="s">
        <v>150</v>
      </c>
      <c r="I71" s="2" t="s">
        <v>123</v>
      </c>
      <c r="J71" s="2">
        <v>4</v>
      </c>
      <c r="K71" s="2" t="s">
        <v>151</v>
      </c>
      <c r="L71" s="2" t="s">
        <v>152</v>
      </c>
      <c r="M71" s="2" t="s">
        <v>153</v>
      </c>
      <c r="N71" s="2" t="str">
        <f>HYPERLINK("https://klocwork.dal.design.ti.com:443/review/insight-review.html#issuedetails_goto:problemid=8473,project=MCUSW_J7_KW_FULL,searchquery=taxonomy:'' build:RS-2022-10-06_06-07-58 grouping:off module:CddIpc","KW Issue Link")</f>
        <v>KW Issue Link</v>
      </c>
      <c r="O71" s="2"/>
      <c r="P71" s="2"/>
      <c r="Q71" s="2"/>
      <c r="R71" s="2"/>
      <c r="S71" s="2" t="s">
        <v>154</v>
      </c>
      <c r="T71" s="2"/>
    </row>
    <row r="72" spans="1:20" ht="105" x14ac:dyDescent="0.25">
      <c r="A72" s="2" t="s">
        <v>163</v>
      </c>
      <c r="B72" s="2" t="s">
        <v>164</v>
      </c>
      <c r="C72" s="2" t="s">
        <v>147</v>
      </c>
      <c r="D72" s="2">
        <v>8474</v>
      </c>
      <c r="E72" s="2">
        <v>701</v>
      </c>
      <c r="F72" s="2" t="s">
        <v>165</v>
      </c>
      <c r="G72" s="2" t="s">
        <v>173</v>
      </c>
      <c r="H72" s="2" t="s">
        <v>150</v>
      </c>
      <c r="I72" s="2" t="s">
        <v>123</v>
      </c>
      <c r="J72" s="2">
        <v>4</v>
      </c>
      <c r="K72" s="2" t="s">
        <v>151</v>
      </c>
      <c r="L72" s="2" t="s">
        <v>152</v>
      </c>
      <c r="M72" s="2" t="s">
        <v>153</v>
      </c>
      <c r="N72" s="2" t="str">
        <f>HYPERLINK("https://klocwork.dal.design.ti.com:443/review/insight-review.html#issuedetails_goto:problemid=8474,project=MCUSW_J7_KW_FULL,searchquery=taxonomy:'' build:RS-2022-10-06_06-07-58 grouping:off module:CddIpc","KW Issue Link")</f>
        <v>KW Issue Link</v>
      </c>
      <c r="O72" s="2"/>
      <c r="P72" s="2"/>
      <c r="Q72" s="2"/>
      <c r="R72" s="2"/>
      <c r="S72" s="2" t="s">
        <v>154</v>
      </c>
      <c r="T72" s="2"/>
    </row>
    <row r="73" spans="1:20" ht="105" x14ac:dyDescent="0.25">
      <c r="A73" s="2" t="s">
        <v>163</v>
      </c>
      <c r="B73" s="2" t="s">
        <v>164</v>
      </c>
      <c r="C73" s="2" t="s">
        <v>147</v>
      </c>
      <c r="D73" s="2">
        <v>8475</v>
      </c>
      <c r="E73" s="2">
        <v>704</v>
      </c>
      <c r="F73" s="2" t="s">
        <v>165</v>
      </c>
      <c r="G73" s="2" t="s">
        <v>173</v>
      </c>
      <c r="H73" s="2" t="s">
        <v>150</v>
      </c>
      <c r="I73" s="2" t="s">
        <v>123</v>
      </c>
      <c r="J73" s="2">
        <v>4</v>
      </c>
      <c r="K73" s="2" t="s">
        <v>151</v>
      </c>
      <c r="L73" s="2" t="s">
        <v>152</v>
      </c>
      <c r="M73" s="2" t="s">
        <v>153</v>
      </c>
      <c r="N73" s="2" t="str">
        <f>HYPERLINK("https://klocwork.dal.design.ti.com:443/review/insight-review.html#issuedetails_goto:problemid=8475,project=MCUSW_J7_KW_FULL,searchquery=taxonomy:'' build:RS-2022-10-06_06-07-58 grouping:off module:CddIpc","KW Issue Link")</f>
        <v>KW Issue Link</v>
      </c>
      <c r="O73" s="2"/>
      <c r="P73" s="2"/>
      <c r="Q73" s="2"/>
      <c r="R73" s="2"/>
      <c r="S73" s="2" t="s">
        <v>154</v>
      </c>
      <c r="T73" s="2"/>
    </row>
    <row r="74" spans="1:20" ht="105" x14ac:dyDescent="0.25">
      <c r="A74" s="2" t="s">
        <v>163</v>
      </c>
      <c r="B74" s="2" t="s">
        <v>164</v>
      </c>
      <c r="C74" s="2" t="s">
        <v>147</v>
      </c>
      <c r="D74" s="2">
        <v>8476</v>
      </c>
      <c r="E74" s="2">
        <v>706</v>
      </c>
      <c r="F74" s="2" t="s">
        <v>165</v>
      </c>
      <c r="G74" s="2" t="s">
        <v>173</v>
      </c>
      <c r="H74" s="2" t="s">
        <v>150</v>
      </c>
      <c r="I74" s="2" t="s">
        <v>123</v>
      </c>
      <c r="J74" s="2">
        <v>4</v>
      </c>
      <c r="K74" s="2" t="s">
        <v>151</v>
      </c>
      <c r="L74" s="2" t="s">
        <v>152</v>
      </c>
      <c r="M74" s="2" t="s">
        <v>153</v>
      </c>
      <c r="N74" s="2" t="str">
        <f>HYPERLINK("https://klocwork.dal.design.ti.com:443/review/insight-review.html#issuedetails_goto:problemid=8476,project=MCUSW_J7_KW_FULL,searchquery=taxonomy:'' build:RS-2022-10-06_06-07-58 grouping:off module:CddIpc","KW Issue Link")</f>
        <v>KW Issue Link</v>
      </c>
      <c r="O74" s="2"/>
      <c r="P74" s="2"/>
      <c r="Q74" s="2"/>
      <c r="R74" s="2"/>
      <c r="S74" s="2" t="s">
        <v>154</v>
      </c>
      <c r="T74" s="2"/>
    </row>
    <row r="75" spans="1:20" ht="105" x14ac:dyDescent="0.25">
      <c r="A75" s="2" t="s">
        <v>163</v>
      </c>
      <c r="B75" s="2" t="s">
        <v>164</v>
      </c>
      <c r="C75" s="2" t="s">
        <v>147</v>
      </c>
      <c r="D75" s="2">
        <v>8477</v>
      </c>
      <c r="E75" s="2">
        <v>711</v>
      </c>
      <c r="F75" s="2" t="s">
        <v>165</v>
      </c>
      <c r="G75" s="2" t="s">
        <v>173</v>
      </c>
      <c r="H75" s="2" t="s">
        <v>150</v>
      </c>
      <c r="I75" s="2" t="s">
        <v>123</v>
      </c>
      <c r="J75" s="2">
        <v>4</v>
      </c>
      <c r="K75" s="2" t="s">
        <v>151</v>
      </c>
      <c r="L75" s="2" t="s">
        <v>152</v>
      </c>
      <c r="M75" s="2" t="s">
        <v>153</v>
      </c>
      <c r="N75" s="2" t="str">
        <f>HYPERLINK("https://klocwork.dal.design.ti.com:443/review/insight-review.html#issuedetails_goto:problemid=8477,project=MCUSW_J7_KW_FULL,searchquery=taxonomy:'' build:RS-2022-10-06_06-07-58 grouping:off module:CddIpc","KW Issue Link")</f>
        <v>KW Issue Link</v>
      </c>
      <c r="O75" s="2"/>
      <c r="P75" s="2"/>
      <c r="Q75" s="2"/>
      <c r="R75" s="2"/>
      <c r="S75" s="2" t="s">
        <v>154</v>
      </c>
      <c r="T75" s="2"/>
    </row>
    <row r="76" spans="1:20" ht="105" x14ac:dyDescent="0.25">
      <c r="A76" s="2" t="s">
        <v>163</v>
      </c>
      <c r="B76" s="2" t="s">
        <v>164</v>
      </c>
      <c r="C76" s="2" t="s">
        <v>147</v>
      </c>
      <c r="D76" s="2">
        <v>8478</v>
      </c>
      <c r="E76" s="2">
        <v>730</v>
      </c>
      <c r="F76" s="2" t="s">
        <v>165</v>
      </c>
      <c r="G76" s="2" t="s">
        <v>174</v>
      </c>
      <c r="H76" s="2" t="s">
        <v>150</v>
      </c>
      <c r="I76" s="2" t="s">
        <v>123</v>
      </c>
      <c r="J76" s="2">
        <v>4</v>
      </c>
      <c r="K76" s="2" t="s">
        <v>151</v>
      </c>
      <c r="L76" s="2" t="s">
        <v>152</v>
      </c>
      <c r="M76" s="2" t="s">
        <v>153</v>
      </c>
      <c r="N76" s="2" t="str">
        <f>HYPERLINK("https://klocwork.dal.design.ti.com:443/review/insight-review.html#issuedetails_goto:problemid=8478,project=MCUSW_J7_KW_FULL,searchquery=taxonomy:'' build:RS-2022-10-06_06-07-58 grouping:off module:CddIpc","KW Issue Link")</f>
        <v>KW Issue Link</v>
      </c>
      <c r="O76" s="2"/>
      <c r="P76" s="2"/>
      <c r="Q76" s="2"/>
      <c r="R76" s="2"/>
      <c r="S76" s="2" t="s">
        <v>154</v>
      </c>
      <c r="T76" s="2"/>
    </row>
    <row r="77" spans="1:20" ht="105" x14ac:dyDescent="0.25">
      <c r="A77" s="2" t="s">
        <v>163</v>
      </c>
      <c r="B77" s="2" t="s">
        <v>164</v>
      </c>
      <c r="C77" s="2" t="s">
        <v>147</v>
      </c>
      <c r="D77" s="2">
        <v>8480</v>
      </c>
      <c r="E77" s="2">
        <v>737</v>
      </c>
      <c r="F77" s="2" t="s">
        <v>165</v>
      </c>
      <c r="G77" s="2" t="s">
        <v>174</v>
      </c>
      <c r="H77" s="2" t="s">
        <v>150</v>
      </c>
      <c r="I77" s="2" t="s">
        <v>123</v>
      </c>
      <c r="J77" s="2">
        <v>4</v>
      </c>
      <c r="K77" s="2" t="s">
        <v>151</v>
      </c>
      <c r="L77" s="2" t="s">
        <v>152</v>
      </c>
      <c r="M77" s="2" t="s">
        <v>153</v>
      </c>
      <c r="N77" s="2" t="str">
        <f>HYPERLINK("https://klocwork.dal.design.ti.com:443/review/insight-review.html#issuedetails_goto:problemid=8480,project=MCUSW_J7_KW_FULL,searchquery=taxonomy:'' build:RS-2022-10-06_06-07-58 grouping:off module:CddIpc","KW Issue Link")</f>
        <v>KW Issue Link</v>
      </c>
      <c r="O77" s="2"/>
      <c r="P77" s="2"/>
      <c r="Q77" s="2"/>
      <c r="R77" s="2"/>
      <c r="S77" s="2" t="s">
        <v>154</v>
      </c>
      <c r="T77" s="2"/>
    </row>
    <row r="78" spans="1:20" ht="105" x14ac:dyDescent="0.25">
      <c r="A78" s="2" t="s">
        <v>163</v>
      </c>
      <c r="B78" s="2" t="s">
        <v>164</v>
      </c>
      <c r="C78" s="2" t="s">
        <v>147</v>
      </c>
      <c r="D78" s="2">
        <v>8481</v>
      </c>
      <c r="E78" s="2">
        <v>741</v>
      </c>
      <c r="F78" s="2" t="s">
        <v>165</v>
      </c>
      <c r="G78" s="2" t="s">
        <v>174</v>
      </c>
      <c r="H78" s="2" t="s">
        <v>150</v>
      </c>
      <c r="I78" s="2" t="s">
        <v>123</v>
      </c>
      <c r="J78" s="2">
        <v>4</v>
      </c>
      <c r="K78" s="2" t="s">
        <v>151</v>
      </c>
      <c r="L78" s="2" t="s">
        <v>152</v>
      </c>
      <c r="M78" s="2" t="s">
        <v>153</v>
      </c>
      <c r="N78" s="2" t="str">
        <f>HYPERLINK("https://klocwork.dal.design.ti.com:443/review/insight-review.html#issuedetails_goto:problemid=8481,project=MCUSW_J7_KW_FULL,searchquery=taxonomy:'' build:RS-2022-10-06_06-07-58 grouping:off module:CddIpc","KW Issue Link")</f>
        <v>KW Issue Link</v>
      </c>
      <c r="O78" s="2"/>
      <c r="P78" s="2"/>
      <c r="Q78" s="2"/>
      <c r="R78" s="2"/>
      <c r="S78" s="2" t="s">
        <v>154</v>
      </c>
      <c r="T78" s="2"/>
    </row>
    <row r="79" spans="1:20" ht="105" x14ac:dyDescent="0.25">
      <c r="A79" s="2" t="s">
        <v>163</v>
      </c>
      <c r="B79" s="2" t="s">
        <v>164</v>
      </c>
      <c r="C79" s="2" t="s">
        <v>147</v>
      </c>
      <c r="D79" s="2">
        <v>8482</v>
      </c>
      <c r="E79" s="2">
        <v>745</v>
      </c>
      <c r="F79" s="2" t="s">
        <v>165</v>
      </c>
      <c r="G79" s="2" t="s">
        <v>174</v>
      </c>
      <c r="H79" s="2" t="s">
        <v>150</v>
      </c>
      <c r="I79" s="2" t="s">
        <v>123</v>
      </c>
      <c r="J79" s="2">
        <v>4</v>
      </c>
      <c r="K79" s="2" t="s">
        <v>151</v>
      </c>
      <c r="L79" s="2" t="s">
        <v>152</v>
      </c>
      <c r="M79" s="2" t="s">
        <v>153</v>
      </c>
      <c r="N79" s="2" t="str">
        <f>HYPERLINK("https://klocwork.dal.design.ti.com:443/review/insight-review.html#issuedetails_goto:problemid=8482,project=MCUSW_J7_KW_FULL,searchquery=taxonomy:'' build:RS-2022-10-06_06-07-58 grouping:off module:CddIpc","KW Issue Link")</f>
        <v>KW Issue Link</v>
      </c>
      <c r="O79" s="2"/>
      <c r="P79" s="2"/>
      <c r="Q79" s="2"/>
      <c r="R79" s="2"/>
      <c r="S79" s="2" t="s">
        <v>154</v>
      </c>
      <c r="T79" s="2"/>
    </row>
    <row r="80" spans="1:20" ht="105" x14ac:dyDescent="0.25">
      <c r="A80" s="2" t="s">
        <v>163</v>
      </c>
      <c r="B80" s="2" t="s">
        <v>164</v>
      </c>
      <c r="C80" s="2" t="s">
        <v>147</v>
      </c>
      <c r="D80" s="2">
        <v>8483</v>
      </c>
      <c r="E80" s="2">
        <v>859</v>
      </c>
      <c r="F80" s="2" t="s">
        <v>165</v>
      </c>
      <c r="G80" s="2" t="s">
        <v>175</v>
      </c>
      <c r="H80" s="2" t="s">
        <v>150</v>
      </c>
      <c r="I80" s="2" t="s">
        <v>123</v>
      </c>
      <c r="J80" s="2">
        <v>4</v>
      </c>
      <c r="K80" s="2" t="s">
        <v>151</v>
      </c>
      <c r="L80" s="2" t="s">
        <v>152</v>
      </c>
      <c r="M80" s="2" t="s">
        <v>153</v>
      </c>
      <c r="N80" s="2" t="str">
        <f>HYPERLINK("https://klocwork.dal.design.ti.com:443/review/insight-review.html#issuedetails_goto:problemid=8483,project=MCUSW_J7_KW_FULL,searchquery=taxonomy:'' build:RS-2022-10-06_06-07-58 grouping:off module:CddIpc","KW Issue Link")</f>
        <v>KW Issue Link</v>
      </c>
      <c r="O80" s="2"/>
      <c r="P80" s="2"/>
      <c r="Q80" s="2"/>
      <c r="R80" s="2"/>
      <c r="S80" s="2" t="s">
        <v>154</v>
      </c>
      <c r="T80" s="2"/>
    </row>
    <row r="81" spans="1:20" ht="105" x14ac:dyDescent="0.25">
      <c r="A81" s="2" t="s">
        <v>163</v>
      </c>
      <c r="B81" s="2" t="s">
        <v>164</v>
      </c>
      <c r="C81" s="2" t="s">
        <v>147</v>
      </c>
      <c r="D81" s="2">
        <v>8484</v>
      </c>
      <c r="E81" s="2">
        <v>883</v>
      </c>
      <c r="F81" s="2" t="s">
        <v>165</v>
      </c>
      <c r="G81" s="2" t="s">
        <v>175</v>
      </c>
      <c r="H81" s="2" t="s">
        <v>150</v>
      </c>
      <c r="I81" s="2" t="s">
        <v>123</v>
      </c>
      <c r="J81" s="2">
        <v>4</v>
      </c>
      <c r="K81" s="2" t="s">
        <v>151</v>
      </c>
      <c r="L81" s="2" t="s">
        <v>152</v>
      </c>
      <c r="M81" s="2" t="s">
        <v>153</v>
      </c>
      <c r="N81" s="2" t="str">
        <f>HYPERLINK("https://klocwork.dal.design.ti.com:443/review/insight-review.html#issuedetails_goto:problemid=8484,project=MCUSW_J7_KW_FULL,searchquery=taxonomy:'' build:RS-2022-10-06_06-07-58 grouping:off module:CddIpc","KW Issue Link")</f>
        <v>KW Issue Link</v>
      </c>
      <c r="O81" s="2"/>
      <c r="P81" s="2"/>
      <c r="Q81" s="2"/>
      <c r="R81" s="2"/>
      <c r="S81" s="2" t="s">
        <v>154</v>
      </c>
      <c r="T81" s="2"/>
    </row>
    <row r="82" spans="1:20" ht="105" x14ac:dyDescent="0.25">
      <c r="A82" s="2" t="s">
        <v>163</v>
      </c>
      <c r="B82" s="2" t="s">
        <v>164</v>
      </c>
      <c r="C82" s="2" t="s">
        <v>147</v>
      </c>
      <c r="D82" s="2">
        <v>8485</v>
      </c>
      <c r="E82" s="2">
        <v>905</v>
      </c>
      <c r="F82" s="2" t="s">
        <v>165</v>
      </c>
      <c r="G82" s="2" t="s">
        <v>176</v>
      </c>
      <c r="H82" s="2" t="s">
        <v>150</v>
      </c>
      <c r="I82" s="2" t="s">
        <v>123</v>
      </c>
      <c r="J82" s="2">
        <v>4</v>
      </c>
      <c r="K82" s="2" t="s">
        <v>151</v>
      </c>
      <c r="L82" s="2" t="s">
        <v>152</v>
      </c>
      <c r="M82" s="2" t="s">
        <v>153</v>
      </c>
      <c r="N82" s="2" t="str">
        <f>HYPERLINK("https://klocwork.dal.design.ti.com:443/review/insight-review.html#issuedetails_goto:problemid=8485,project=MCUSW_J7_KW_FULL,searchquery=taxonomy:'' build:RS-2022-10-06_06-07-58 grouping:off module:CddIpc","KW Issue Link")</f>
        <v>KW Issue Link</v>
      </c>
      <c r="O82" s="2"/>
      <c r="P82" s="2"/>
      <c r="Q82" s="2"/>
      <c r="R82" s="2"/>
      <c r="S82" s="2" t="s">
        <v>154</v>
      </c>
      <c r="T82" s="2"/>
    </row>
    <row r="83" spans="1:20" ht="105" x14ac:dyDescent="0.25">
      <c r="A83" s="2" t="s">
        <v>163</v>
      </c>
      <c r="B83" s="2" t="s">
        <v>164</v>
      </c>
      <c r="C83" s="2" t="s">
        <v>147</v>
      </c>
      <c r="D83" s="2">
        <v>8486</v>
      </c>
      <c r="E83" s="2">
        <v>919</v>
      </c>
      <c r="F83" s="2" t="s">
        <v>165</v>
      </c>
      <c r="G83" s="2" t="s">
        <v>176</v>
      </c>
      <c r="H83" s="2" t="s">
        <v>150</v>
      </c>
      <c r="I83" s="2" t="s">
        <v>123</v>
      </c>
      <c r="J83" s="2">
        <v>4</v>
      </c>
      <c r="K83" s="2" t="s">
        <v>151</v>
      </c>
      <c r="L83" s="2" t="s">
        <v>152</v>
      </c>
      <c r="M83" s="2" t="s">
        <v>153</v>
      </c>
      <c r="N83" s="2" t="str">
        <f>HYPERLINK("https://klocwork.dal.design.ti.com:443/review/insight-review.html#issuedetails_goto:problemid=8486,project=MCUSW_J7_KW_FULL,searchquery=taxonomy:'' build:RS-2022-10-06_06-07-58 grouping:off module:CddIpc","KW Issue Link")</f>
        <v>KW Issue Link</v>
      </c>
      <c r="O83" s="2"/>
      <c r="P83" s="2"/>
      <c r="Q83" s="2"/>
      <c r="R83" s="2"/>
      <c r="S83" s="2" t="s">
        <v>154</v>
      </c>
      <c r="T83" s="2"/>
    </row>
    <row r="84" spans="1:20" ht="105" x14ac:dyDescent="0.25">
      <c r="A84" s="2" t="s">
        <v>163</v>
      </c>
      <c r="B84" s="2" t="s">
        <v>164</v>
      </c>
      <c r="C84" s="2" t="s">
        <v>147</v>
      </c>
      <c r="D84" s="2">
        <v>8487</v>
      </c>
      <c r="E84" s="2">
        <v>932</v>
      </c>
      <c r="F84" s="2" t="s">
        <v>165</v>
      </c>
      <c r="G84" s="2" t="s">
        <v>177</v>
      </c>
      <c r="H84" s="2" t="s">
        <v>150</v>
      </c>
      <c r="I84" s="2" t="s">
        <v>123</v>
      </c>
      <c r="J84" s="2">
        <v>4</v>
      </c>
      <c r="K84" s="2" t="s">
        <v>151</v>
      </c>
      <c r="L84" s="2" t="s">
        <v>152</v>
      </c>
      <c r="M84" s="2" t="s">
        <v>153</v>
      </c>
      <c r="N84" s="2" t="str">
        <f>HYPERLINK("https://klocwork.dal.design.ti.com:443/review/insight-review.html#issuedetails_goto:problemid=8487,project=MCUSW_J7_KW_FULL,searchquery=taxonomy:'' build:RS-2022-10-06_06-07-58 grouping:off module:CddIpc","KW Issue Link")</f>
        <v>KW Issue Link</v>
      </c>
      <c r="O84" s="2"/>
      <c r="P84" s="2"/>
      <c r="Q84" s="2"/>
      <c r="R84" s="2"/>
      <c r="S84" s="2" t="s">
        <v>154</v>
      </c>
      <c r="T84" s="2"/>
    </row>
    <row r="85" spans="1:20" ht="105" x14ac:dyDescent="0.25">
      <c r="A85" s="2" t="s">
        <v>163</v>
      </c>
      <c r="B85" s="2" t="s">
        <v>164</v>
      </c>
      <c r="C85" s="2" t="s">
        <v>147</v>
      </c>
      <c r="D85" s="2">
        <v>8488</v>
      </c>
      <c r="E85" s="2">
        <v>954</v>
      </c>
      <c r="F85" s="2" t="s">
        <v>165</v>
      </c>
      <c r="G85" s="2" t="s">
        <v>177</v>
      </c>
      <c r="H85" s="2" t="s">
        <v>150</v>
      </c>
      <c r="I85" s="2" t="s">
        <v>123</v>
      </c>
      <c r="J85" s="2">
        <v>4</v>
      </c>
      <c r="K85" s="2" t="s">
        <v>151</v>
      </c>
      <c r="L85" s="2" t="s">
        <v>152</v>
      </c>
      <c r="M85" s="2" t="s">
        <v>153</v>
      </c>
      <c r="N85" s="2" t="str">
        <f>HYPERLINK("https://klocwork.dal.design.ti.com:443/review/insight-review.html#issuedetails_goto:problemid=8488,project=MCUSW_J7_KW_FULL,searchquery=taxonomy:'' build:RS-2022-10-06_06-07-58 grouping:off module:CddIpc","KW Issue Link")</f>
        <v>KW Issue Link</v>
      </c>
      <c r="O85" s="2"/>
      <c r="P85" s="2"/>
      <c r="Q85" s="2"/>
      <c r="R85" s="2"/>
      <c r="S85" s="2" t="s">
        <v>154</v>
      </c>
      <c r="T85" s="2"/>
    </row>
    <row r="86" spans="1:20" ht="105" x14ac:dyDescent="0.25">
      <c r="A86" s="2" t="s">
        <v>163</v>
      </c>
      <c r="B86" s="2" t="s">
        <v>164</v>
      </c>
      <c r="C86" s="2" t="s">
        <v>147</v>
      </c>
      <c r="D86" s="2">
        <v>8489</v>
      </c>
      <c r="E86" s="2">
        <v>978</v>
      </c>
      <c r="F86" s="2" t="s">
        <v>165</v>
      </c>
      <c r="G86" s="2" t="s">
        <v>178</v>
      </c>
      <c r="H86" s="2" t="s">
        <v>150</v>
      </c>
      <c r="I86" s="2" t="s">
        <v>123</v>
      </c>
      <c r="J86" s="2">
        <v>4</v>
      </c>
      <c r="K86" s="2" t="s">
        <v>151</v>
      </c>
      <c r="L86" s="2" t="s">
        <v>152</v>
      </c>
      <c r="M86" s="2" t="s">
        <v>153</v>
      </c>
      <c r="N86" s="2" t="str">
        <f>HYPERLINK("https://klocwork.dal.design.ti.com:443/review/insight-review.html#issuedetails_goto:problemid=8489,project=MCUSW_J7_KW_FULL,searchquery=taxonomy:'' build:RS-2022-10-06_06-07-58 grouping:off module:CddIpc","KW Issue Link")</f>
        <v>KW Issue Link</v>
      </c>
      <c r="O86" s="2"/>
      <c r="P86" s="2"/>
      <c r="Q86" s="2"/>
      <c r="R86" s="2"/>
      <c r="S86" s="2" t="s">
        <v>154</v>
      </c>
      <c r="T86" s="2"/>
    </row>
    <row r="87" spans="1:20" ht="105" x14ac:dyDescent="0.25">
      <c r="A87" s="2" t="s">
        <v>163</v>
      </c>
      <c r="B87" s="2" t="s">
        <v>164</v>
      </c>
      <c r="C87" s="2" t="s">
        <v>147</v>
      </c>
      <c r="D87" s="2">
        <v>8490</v>
      </c>
      <c r="E87" s="2">
        <v>981</v>
      </c>
      <c r="F87" s="2" t="s">
        <v>165</v>
      </c>
      <c r="G87" s="2" t="s">
        <v>178</v>
      </c>
      <c r="H87" s="2" t="s">
        <v>150</v>
      </c>
      <c r="I87" s="2" t="s">
        <v>123</v>
      </c>
      <c r="J87" s="2">
        <v>4</v>
      </c>
      <c r="K87" s="2" t="s">
        <v>151</v>
      </c>
      <c r="L87" s="2" t="s">
        <v>152</v>
      </c>
      <c r="M87" s="2" t="s">
        <v>153</v>
      </c>
      <c r="N87" s="2" t="str">
        <f>HYPERLINK("https://klocwork.dal.design.ti.com:443/review/insight-review.html#issuedetails_goto:problemid=8490,project=MCUSW_J7_KW_FULL,searchquery=taxonomy:'' build:RS-2022-10-06_06-07-58 grouping:off module:CddIpc","KW Issue Link")</f>
        <v>KW Issue Link</v>
      </c>
      <c r="O87" s="2"/>
      <c r="P87" s="2"/>
      <c r="Q87" s="2"/>
      <c r="R87" s="2"/>
      <c r="S87" s="2" t="s">
        <v>154</v>
      </c>
      <c r="T87" s="2"/>
    </row>
    <row r="88" spans="1:20" ht="105" x14ac:dyDescent="0.25">
      <c r="A88" s="2" t="s">
        <v>163</v>
      </c>
      <c r="B88" s="2" t="s">
        <v>164</v>
      </c>
      <c r="C88" s="2" t="s">
        <v>147</v>
      </c>
      <c r="D88" s="2">
        <v>8491</v>
      </c>
      <c r="E88" s="2">
        <v>992</v>
      </c>
      <c r="F88" s="2" t="s">
        <v>165</v>
      </c>
      <c r="G88" s="2" t="s">
        <v>178</v>
      </c>
      <c r="H88" s="2" t="s">
        <v>150</v>
      </c>
      <c r="I88" s="2" t="s">
        <v>123</v>
      </c>
      <c r="J88" s="2">
        <v>4</v>
      </c>
      <c r="K88" s="2" t="s">
        <v>151</v>
      </c>
      <c r="L88" s="2" t="s">
        <v>152</v>
      </c>
      <c r="M88" s="2" t="s">
        <v>153</v>
      </c>
      <c r="N88" s="2" t="str">
        <f>HYPERLINK("https://klocwork.dal.design.ti.com:443/review/insight-review.html#issuedetails_goto:problemid=8491,project=MCUSW_J7_KW_FULL,searchquery=taxonomy:'' build:RS-2022-10-06_06-07-58 grouping:off module:CddIpc","KW Issue Link")</f>
        <v>KW Issue Link</v>
      </c>
      <c r="O88" s="2"/>
      <c r="P88" s="2"/>
      <c r="Q88" s="2"/>
      <c r="R88" s="2"/>
      <c r="S88" s="2" t="s">
        <v>154</v>
      </c>
      <c r="T88" s="2"/>
    </row>
    <row r="89" spans="1:20" ht="105" x14ac:dyDescent="0.25">
      <c r="A89" s="2" t="s">
        <v>163</v>
      </c>
      <c r="B89" s="2" t="s">
        <v>164</v>
      </c>
      <c r="C89" s="2" t="s">
        <v>147</v>
      </c>
      <c r="D89" s="2">
        <v>8492</v>
      </c>
      <c r="E89" s="2">
        <v>998</v>
      </c>
      <c r="F89" s="2" t="s">
        <v>165</v>
      </c>
      <c r="G89" s="2" t="s">
        <v>178</v>
      </c>
      <c r="H89" s="2" t="s">
        <v>150</v>
      </c>
      <c r="I89" s="2" t="s">
        <v>123</v>
      </c>
      <c r="J89" s="2">
        <v>4</v>
      </c>
      <c r="K89" s="2" t="s">
        <v>151</v>
      </c>
      <c r="L89" s="2" t="s">
        <v>152</v>
      </c>
      <c r="M89" s="2" t="s">
        <v>153</v>
      </c>
      <c r="N89" s="2" t="str">
        <f>HYPERLINK("https://klocwork.dal.design.ti.com:443/review/insight-review.html#issuedetails_goto:problemid=8492,project=MCUSW_J7_KW_FULL,searchquery=taxonomy:'' build:RS-2022-10-06_06-07-58 grouping:off module:CddIpc","KW Issue Link")</f>
        <v>KW Issue Link</v>
      </c>
      <c r="O89" s="2"/>
      <c r="P89" s="2"/>
      <c r="Q89" s="2"/>
      <c r="R89" s="2"/>
      <c r="S89" s="2" t="s">
        <v>154</v>
      </c>
      <c r="T89" s="2"/>
    </row>
    <row r="90" spans="1:20" ht="105" x14ac:dyDescent="0.25">
      <c r="A90" s="2" t="s">
        <v>179</v>
      </c>
      <c r="B90" s="2" t="s">
        <v>180</v>
      </c>
      <c r="C90" s="2" t="s">
        <v>147</v>
      </c>
      <c r="D90" s="2">
        <v>8493</v>
      </c>
      <c r="E90" s="2">
        <v>243</v>
      </c>
      <c r="F90" s="2" t="s">
        <v>181</v>
      </c>
      <c r="G90" s="2" t="s">
        <v>167</v>
      </c>
      <c r="H90" s="2" t="s">
        <v>150</v>
      </c>
      <c r="I90" s="2" t="s">
        <v>124</v>
      </c>
      <c r="J90" s="2">
        <v>8</v>
      </c>
      <c r="K90" s="2" t="s">
        <v>151</v>
      </c>
      <c r="L90" s="2" t="s">
        <v>152</v>
      </c>
      <c r="M90" s="2" t="s">
        <v>182</v>
      </c>
      <c r="N90" s="2" t="str">
        <f>HYPERLINK("https://klocwork.dal.design.ti.com:443/review/insight-review.html#issuedetails_goto:problemid=8493,project=MCUSW_J7_KW_FULL,searchquery=taxonomy:'' build:RS-2022-10-06_06-07-58 grouping:off module:CddIpc","KW Issue Link")</f>
        <v>KW Issue Link</v>
      </c>
      <c r="O90" s="2"/>
      <c r="P90" s="2"/>
      <c r="Q90" s="2"/>
      <c r="R90" s="2"/>
      <c r="S90" s="2" t="s">
        <v>154</v>
      </c>
      <c r="T90" s="2"/>
    </row>
    <row r="91" spans="1:20" ht="105" x14ac:dyDescent="0.25">
      <c r="A91" s="2" t="s">
        <v>179</v>
      </c>
      <c r="B91" s="2" t="s">
        <v>180</v>
      </c>
      <c r="C91" s="2" t="s">
        <v>147</v>
      </c>
      <c r="D91" s="2">
        <v>8494</v>
      </c>
      <c r="E91" s="2">
        <v>314</v>
      </c>
      <c r="F91" s="2" t="s">
        <v>183</v>
      </c>
      <c r="G91" s="2" t="s">
        <v>168</v>
      </c>
      <c r="H91" s="2" t="s">
        <v>150</v>
      </c>
      <c r="I91" s="2" t="s">
        <v>124</v>
      </c>
      <c r="J91" s="2">
        <v>8</v>
      </c>
      <c r="K91" s="2" t="s">
        <v>151</v>
      </c>
      <c r="L91" s="2" t="s">
        <v>152</v>
      </c>
      <c r="M91" s="2" t="s">
        <v>182</v>
      </c>
      <c r="N91" s="2" t="str">
        <f>HYPERLINK("https://klocwork.dal.design.ti.com:443/review/insight-review.html#issuedetails_goto:problemid=8494,project=MCUSW_J7_KW_FULL,searchquery=taxonomy:'' build:RS-2022-10-06_06-07-58 grouping:off module:CddIpc","KW Issue Link")</f>
        <v>KW Issue Link</v>
      </c>
      <c r="O91" s="2"/>
      <c r="P91" s="2"/>
      <c r="Q91" s="2"/>
      <c r="R91" s="2"/>
      <c r="S91" s="2" t="s">
        <v>154</v>
      </c>
      <c r="T91" s="2"/>
    </row>
    <row r="92" spans="1:20" ht="105" x14ac:dyDescent="0.25">
      <c r="A92" s="2" t="s">
        <v>179</v>
      </c>
      <c r="B92" s="2" t="s">
        <v>180</v>
      </c>
      <c r="C92" s="2" t="s">
        <v>147</v>
      </c>
      <c r="D92" s="2">
        <v>8495</v>
      </c>
      <c r="E92" s="2">
        <v>383</v>
      </c>
      <c r="F92" s="2" t="s">
        <v>184</v>
      </c>
      <c r="G92" s="2" t="s">
        <v>169</v>
      </c>
      <c r="H92" s="2" t="s">
        <v>150</v>
      </c>
      <c r="I92" s="2" t="s">
        <v>124</v>
      </c>
      <c r="J92" s="2">
        <v>8</v>
      </c>
      <c r="K92" s="2" t="s">
        <v>151</v>
      </c>
      <c r="L92" s="2" t="s">
        <v>152</v>
      </c>
      <c r="M92" s="2" t="s">
        <v>182</v>
      </c>
      <c r="N92" s="2" t="str">
        <f>HYPERLINK("https://klocwork.dal.design.ti.com:443/review/insight-review.html#issuedetails_goto:problemid=8495,project=MCUSW_J7_KW_FULL,searchquery=taxonomy:'' build:RS-2022-10-06_06-07-58 grouping:off module:CddIpc","KW Issue Link")</f>
        <v>KW Issue Link</v>
      </c>
      <c r="O92" s="2"/>
      <c r="P92" s="2"/>
      <c r="Q92" s="2"/>
      <c r="R92" s="2"/>
      <c r="S92" s="2" t="s">
        <v>154</v>
      </c>
      <c r="T92" s="2"/>
    </row>
    <row r="93" spans="1:20" ht="105" x14ac:dyDescent="0.25">
      <c r="A93" s="2" t="s">
        <v>179</v>
      </c>
      <c r="B93" s="2" t="s">
        <v>180</v>
      </c>
      <c r="C93" s="2" t="s">
        <v>147</v>
      </c>
      <c r="D93" s="2">
        <v>8496</v>
      </c>
      <c r="E93" s="2">
        <v>459</v>
      </c>
      <c r="F93" s="2" t="s">
        <v>185</v>
      </c>
      <c r="G93" s="2" t="s">
        <v>170</v>
      </c>
      <c r="H93" s="2" t="s">
        <v>150</v>
      </c>
      <c r="I93" s="2" t="s">
        <v>124</v>
      </c>
      <c r="J93" s="2">
        <v>8</v>
      </c>
      <c r="K93" s="2" t="s">
        <v>151</v>
      </c>
      <c r="L93" s="2" t="s">
        <v>152</v>
      </c>
      <c r="M93" s="2" t="s">
        <v>182</v>
      </c>
      <c r="N93" s="2" t="str">
        <f>HYPERLINK("https://klocwork.dal.design.ti.com:443/review/insight-review.html#issuedetails_goto:problemid=8496,project=MCUSW_J7_KW_FULL,searchquery=taxonomy:'' build:RS-2022-10-06_06-07-58 grouping:off module:CddIpc","KW Issue Link")</f>
        <v>KW Issue Link</v>
      </c>
      <c r="O93" s="2"/>
      <c r="P93" s="2"/>
      <c r="Q93" s="2"/>
      <c r="R93" s="2"/>
      <c r="S93" s="2" t="s">
        <v>154</v>
      </c>
      <c r="T93" s="2"/>
    </row>
    <row r="94" spans="1:20" ht="105" x14ac:dyDescent="0.25">
      <c r="A94" s="2" t="s">
        <v>179</v>
      </c>
      <c r="B94" s="2" t="s">
        <v>180</v>
      </c>
      <c r="C94" s="2" t="s">
        <v>147</v>
      </c>
      <c r="D94" s="2">
        <v>8497</v>
      </c>
      <c r="E94" s="2">
        <v>516</v>
      </c>
      <c r="F94" s="2" t="s">
        <v>186</v>
      </c>
      <c r="G94" s="2" t="s">
        <v>171</v>
      </c>
      <c r="H94" s="2" t="s">
        <v>150</v>
      </c>
      <c r="I94" s="2" t="s">
        <v>124</v>
      </c>
      <c r="J94" s="2">
        <v>8</v>
      </c>
      <c r="K94" s="2" t="s">
        <v>151</v>
      </c>
      <c r="L94" s="2" t="s">
        <v>152</v>
      </c>
      <c r="M94" s="2" t="s">
        <v>182</v>
      </c>
      <c r="N94" s="2" t="str">
        <f>HYPERLINK("https://klocwork.dal.design.ti.com:443/review/insight-review.html#issuedetails_goto:problemid=8497,project=MCUSW_J7_KW_FULL,searchquery=taxonomy:'' build:RS-2022-10-06_06-07-58 grouping:off module:CddIpc","KW Issue Link")</f>
        <v>KW Issue Link</v>
      </c>
      <c r="O94" s="2"/>
      <c r="P94" s="2"/>
      <c r="Q94" s="2"/>
      <c r="R94" s="2"/>
      <c r="S94" s="2" t="s">
        <v>154</v>
      </c>
      <c r="T94" s="2"/>
    </row>
    <row r="95" spans="1:20" ht="105" x14ac:dyDescent="0.25">
      <c r="A95" s="2" t="s">
        <v>179</v>
      </c>
      <c r="B95" s="2" t="s">
        <v>180</v>
      </c>
      <c r="C95" s="2" t="s">
        <v>147</v>
      </c>
      <c r="D95" s="2">
        <v>8498</v>
      </c>
      <c r="E95" s="2">
        <v>719</v>
      </c>
      <c r="F95" s="2" t="s">
        <v>187</v>
      </c>
      <c r="G95" s="2" t="s">
        <v>174</v>
      </c>
      <c r="H95" s="2" t="s">
        <v>150</v>
      </c>
      <c r="I95" s="2" t="s">
        <v>124</v>
      </c>
      <c r="J95" s="2">
        <v>8</v>
      </c>
      <c r="K95" s="2" t="s">
        <v>151</v>
      </c>
      <c r="L95" s="2" t="s">
        <v>152</v>
      </c>
      <c r="M95" s="2" t="s">
        <v>182</v>
      </c>
      <c r="N95" s="2" t="str">
        <f>HYPERLINK("https://klocwork.dal.design.ti.com:443/review/insight-review.html#issuedetails_goto:problemid=8498,project=MCUSW_J7_KW_FULL,searchquery=taxonomy:'' build:RS-2022-10-06_06-07-58 grouping:off module:CddIpc","KW Issue Link")</f>
        <v>KW Issue Link</v>
      </c>
      <c r="O95" s="2"/>
      <c r="P95" s="2"/>
      <c r="Q95" s="2"/>
      <c r="R95" s="2"/>
      <c r="S95" s="2" t="s">
        <v>154</v>
      </c>
      <c r="T95" s="2"/>
    </row>
    <row r="96" spans="1:20" ht="105" x14ac:dyDescent="0.25">
      <c r="A96" s="2" t="s">
        <v>179</v>
      </c>
      <c r="B96" s="2" t="s">
        <v>180</v>
      </c>
      <c r="C96" s="2" t="s">
        <v>147</v>
      </c>
      <c r="D96" s="2">
        <v>8499</v>
      </c>
      <c r="E96" s="2">
        <v>839</v>
      </c>
      <c r="F96" s="2" t="s">
        <v>188</v>
      </c>
      <c r="G96" s="2" t="s">
        <v>175</v>
      </c>
      <c r="H96" s="2" t="s">
        <v>150</v>
      </c>
      <c r="I96" s="2" t="s">
        <v>124</v>
      </c>
      <c r="J96" s="2">
        <v>8</v>
      </c>
      <c r="K96" s="2" t="s">
        <v>151</v>
      </c>
      <c r="L96" s="2" t="s">
        <v>152</v>
      </c>
      <c r="M96" s="2" t="s">
        <v>182</v>
      </c>
      <c r="N96" s="2" t="str">
        <f>HYPERLINK("https://klocwork.dal.design.ti.com:443/review/insight-review.html#issuedetails_goto:problemid=8499,project=MCUSW_J7_KW_FULL,searchquery=taxonomy:'' build:RS-2022-10-06_06-07-58 grouping:off module:CddIpc","KW Issue Link")</f>
        <v>KW Issue Link</v>
      </c>
      <c r="O96" s="2"/>
      <c r="P96" s="2"/>
      <c r="Q96" s="2"/>
      <c r="R96" s="2"/>
      <c r="S96" s="2" t="s">
        <v>154</v>
      </c>
      <c r="T96" s="2"/>
    </row>
    <row r="97" spans="1:20" ht="105" x14ac:dyDescent="0.25">
      <c r="A97" s="2" t="s">
        <v>179</v>
      </c>
      <c r="B97" s="2" t="s">
        <v>180</v>
      </c>
      <c r="C97" s="2" t="s">
        <v>147</v>
      </c>
      <c r="D97" s="2">
        <v>8500</v>
      </c>
      <c r="E97" s="2">
        <v>1030</v>
      </c>
      <c r="F97" s="2" t="s">
        <v>189</v>
      </c>
      <c r="G97" s="2" t="s">
        <v>190</v>
      </c>
      <c r="H97" s="2" t="s">
        <v>150</v>
      </c>
      <c r="I97" s="2" t="s">
        <v>124</v>
      </c>
      <c r="J97" s="2">
        <v>8</v>
      </c>
      <c r="K97" s="2" t="s">
        <v>151</v>
      </c>
      <c r="L97" s="2" t="s">
        <v>152</v>
      </c>
      <c r="M97" s="2" t="s">
        <v>182</v>
      </c>
      <c r="N97" s="2" t="str">
        <f>HYPERLINK("https://klocwork.dal.design.ti.com:443/review/insight-review.html#issuedetails_goto:problemid=8500,project=MCUSW_J7_KW_FULL,searchquery=taxonomy:'' build:RS-2022-10-06_06-07-58 grouping:off module:CddIpc","KW Issue Link")</f>
        <v>KW Issue Link</v>
      </c>
      <c r="O97" s="2"/>
      <c r="P97" s="2"/>
      <c r="Q97" s="2"/>
      <c r="R97" s="2"/>
      <c r="S97" s="2" t="s">
        <v>154</v>
      </c>
      <c r="T97" s="2"/>
    </row>
    <row r="98" spans="1:20" ht="105" x14ac:dyDescent="0.25">
      <c r="A98" s="2" t="s">
        <v>191</v>
      </c>
      <c r="B98" s="2" t="s">
        <v>192</v>
      </c>
      <c r="C98" s="2" t="s">
        <v>147</v>
      </c>
      <c r="D98" s="2">
        <v>8502</v>
      </c>
      <c r="E98" s="2">
        <v>335</v>
      </c>
      <c r="F98" s="2" t="s">
        <v>193</v>
      </c>
      <c r="G98" s="2" t="s">
        <v>168</v>
      </c>
      <c r="H98" s="2" t="s">
        <v>150</v>
      </c>
      <c r="I98" s="2" t="s">
        <v>123</v>
      </c>
      <c r="J98" s="2">
        <v>4</v>
      </c>
      <c r="K98" s="2" t="s">
        <v>151</v>
      </c>
      <c r="L98" s="2" t="s">
        <v>152</v>
      </c>
      <c r="M98" s="2" t="s">
        <v>153</v>
      </c>
      <c r="N98" s="2" t="str">
        <f>HYPERLINK("https://klocwork.dal.design.ti.com:443/review/insight-review.html#issuedetails_goto:problemid=8502,project=MCUSW_J7_KW_FULL,searchquery=taxonomy:'' build:RS-2022-10-06_06-07-58 grouping:off module:CddIpc","KW Issue Link")</f>
        <v>KW Issue Link</v>
      </c>
      <c r="O98" s="2"/>
      <c r="P98" s="2"/>
      <c r="Q98" s="2"/>
      <c r="R98" s="2"/>
      <c r="S98" s="2" t="s">
        <v>154</v>
      </c>
      <c r="T98" s="2"/>
    </row>
    <row r="99" spans="1:20" ht="105" x14ac:dyDescent="0.25">
      <c r="A99" s="2" t="s">
        <v>191</v>
      </c>
      <c r="B99" s="2" t="s">
        <v>192</v>
      </c>
      <c r="C99" s="2" t="s">
        <v>147</v>
      </c>
      <c r="D99" s="2">
        <v>8503</v>
      </c>
      <c r="E99" s="2">
        <v>773</v>
      </c>
      <c r="F99" s="2" t="s">
        <v>194</v>
      </c>
      <c r="G99" s="2" t="s">
        <v>195</v>
      </c>
      <c r="H99" s="2" t="s">
        <v>150</v>
      </c>
      <c r="I99" s="2" t="s">
        <v>123</v>
      </c>
      <c r="J99" s="2">
        <v>4</v>
      </c>
      <c r="K99" s="2" t="s">
        <v>151</v>
      </c>
      <c r="L99" s="2" t="s">
        <v>152</v>
      </c>
      <c r="M99" s="2" t="s">
        <v>153</v>
      </c>
      <c r="N99" s="2" t="str">
        <f>HYPERLINK("https://klocwork.dal.design.ti.com:443/review/insight-review.html#issuedetails_goto:problemid=8503,project=MCUSW_J7_KW_FULL,searchquery=taxonomy:'' build:RS-2022-10-06_06-07-58 grouping:off module:CddIpc","KW Issue Link")</f>
        <v>KW Issue Link</v>
      </c>
      <c r="O99" s="2"/>
      <c r="P99" s="2"/>
      <c r="Q99" s="2"/>
      <c r="R99" s="2"/>
      <c r="S99" s="2" t="s">
        <v>154</v>
      </c>
      <c r="T99" s="2"/>
    </row>
    <row r="100" spans="1:20" ht="105" x14ac:dyDescent="0.25">
      <c r="A100" s="2" t="s">
        <v>196</v>
      </c>
      <c r="B100" s="2" t="s">
        <v>197</v>
      </c>
      <c r="C100" s="2" t="s">
        <v>147</v>
      </c>
      <c r="D100" s="2">
        <v>8512</v>
      </c>
      <c r="E100" s="2">
        <v>835</v>
      </c>
      <c r="F100" s="2" t="s">
        <v>198</v>
      </c>
      <c r="G100" s="2" t="s">
        <v>199</v>
      </c>
      <c r="H100" s="2" t="s">
        <v>150</v>
      </c>
      <c r="I100" s="2" t="s">
        <v>123</v>
      </c>
      <c r="J100" s="2">
        <v>4</v>
      </c>
      <c r="K100" s="2" t="s">
        <v>151</v>
      </c>
      <c r="L100" s="2" t="s">
        <v>152</v>
      </c>
      <c r="M100" s="2" t="s">
        <v>153</v>
      </c>
      <c r="N100" s="2" t="str">
        <f>HYPERLINK("https://klocwork.dal.design.ti.com:443/review/insight-review.html#issuedetails_goto:problemid=8512,project=MCUSW_J7_KW_FULL,searchquery=taxonomy:'' build:RS-2022-10-06_06-07-58 grouping:off module:CddIpc","KW Issue Link")</f>
        <v>KW Issue Link</v>
      </c>
      <c r="O100" s="2"/>
      <c r="P100" s="2"/>
      <c r="Q100" s="2"/>
      <c r="R100" s="2"/>
      <c r="S100" s="2" t="s">
        <v>154</v>
      </c>
      <c r="T100" s="2"/>
    </row>
    <row r="101" spans="1:20" ht="105" x14ac:dyDescent="0.25">
      <c r="A101" s="2" t="s">
        <v>200</v>
      </c>
      <c r="B101" s="2" t="s">
        <v>201</v>
      </c>
      <c r="C101" s="2" t="s">
        <v>147</v>
      </c>
      <c r="D101" s="2">
        <v>8518</v>
      </c>
      <c r="E101" s="2">
        <v>361</v>
      </c>
      <c r="F101" s="2" t="s">
        <v>202</v>
      </c>
      <c r="G101" s="2" t="s">
        <v>168</v>
      </c>
      <c r="H101" s="2" t="s">
        <v>150</v>
      </c>
      <c r="I101" s="2" t="s">
        <v>88</v>
      </c>
      <c r="J101" s="2">
        <v>6</v>
      </c>
      <c r="K101" s="2" t="s">
        <v>151</v>
      </c>
      <c r="L101" s="2" t="s">
        <v>152</v>
      </c>
      <c r="M101" s="2" t="s">
        <v>158</v>
      </c>
      <c r="N101" s="2" t="str">
        <f>HYPERLINK("https://klocwork.dal.design.ti.com:443/review/insight-review.html#issuedetails_goto:problemid=8518,project=MCUSW_J7_KW_FULL,searchquery=taxonomy:'' build:RS-2022-10-06_06-07-58 grouping:off module:CddIpc","KW Issue Link")</f>
        <v>KW Issue Link</v>
      </c>
      <c r="O101" s="2" t="s">
        <v>203</v>
      </c>
      <c r="P101" s="2" t="s">
        <v>204</v>
      </c>
      <c r="Q101" s="2" t="s">
        <v>161</v>
      </c>
      <c r="R101" s="2" t="s">
        <v>205</v>
      </c>
      <c r="S101" s="2" t="s">
        <v>154</v>
      </c>
      <c r="T101" s="2"/>
    </row>
    <row r="102" spans="1:20" ht="105" x14ac:dyDescent="0.25">
      <c r="A102" s="2" t="s">
        <v>206</v>
      </c>
      <c r="B102" s="2" t="s">
        <v>207</v>
      </c>
      <c r="C102" s="2" t="s">
        <v>147</v>
      </c>
      <c r="D102" s="2">
        <v>8520</v>
      </c>
      <c r="E102" s="2">
        <v>835</v>
      </c>
      <c r="F102" s="2" t="s">
        <v>208</v>
      </c>
      <c r="G102" s="2" t="s">
        <v>199</v>
      </c>
      <c r="H102" s="2" t="s">
        <v>150</v>
      </c>
      <c r="I102" s="2" t="s">
        <v>88</v>
      </c>
      <c r="J102" s="2">
        <v>6</v>
      </c>
      <c r="K102" s="2" t="s">
        <v>151</v>
      </c>
      <c r="L102" s="2" t="s">
        <v>152</v>
      </c>
      <c r="M102" s="2" t="s">
        <v>158</v>
      </c>
      <c r="N102" s="2" t="str">
        <f>HYPERLINK("https://klocwork.dal.design.ti.com:443/review/insight-review.html#issuedetails_goto:problemid=8520,project=MCUSW_J7_KW_FULL,searchquery=taxonomy:'' build:RS-2022-10-06_06-07-58 grouping:off module:CddIpc","KW Issue Link")</f>
        <v>KW Issue Link</v>
      </c>
      <c r="O102" s="2" t="s">
        <v>209</v>
      </c>
      <c r="P102" s="2" t="s">
        <v>210</v>
      </c>
      <c r="Q102" s="2" t="s">
        <v>211</v>
      </c>
      <c r="R102" s="2" t="s">
        <v>212</v>
      </c>
      <c r="S102" s="2" t="s">
        <v>154</v>
      </c>
      <c r="T102" s="2" t="s">
        <v>213</v>
      </c>
    </row>
    <row r="103" spans="1:20" ht="105" x14ac:dyDescent="0.25">
      <c r="A103" s="2" t="s">
        <v>214</v>
      </c>
      <c r="B103" s="2" t="s">
        <v>215</v>
      </c>
      <c r="C103" s="2" t="s">
        <v>147</v>
      </c>
      <c r="D103" s="2">
        <v>8528</v>
      </c>
      <c r="E103" s="2">
        <v>474</v>
      </c>
      <c r="F103" s="2" t="s">
        <v>216</v>
      </c>
      <c r="G103" s="2" t="s">
        <v>170</v>
      </c>
      <c r="H103" s="2" t="s">
        <v>150</v>
      </c>
      <c r="I103" s="2" t="s">
        <v>88</v>
      </c>
      <c r="J103" s="2">
        <v>6</v>
      </c>
      <c r="K103" s="2" t="s">
        <v>151</v>
      </c>
      <c r="L103" s="2" t="s">
        <v>152</v>
      </c>
      <c r="M103" s="2" t="s">
        <v>158</v>
      </c>
      <c r="N103" s="2" t="str">
        <f>HYPERLINK("https://klocwork.dal.design.ti.com:443/review/insight-review.html#issuedetails_goto:problemid=8528,project=MCUSW_J7_KW_FULL,searchquery=taxonomy:'' build:RS-2022-10-06_06-07-58 grouping:off module:CddIpc","KW Issue Link")</f>
        <v>KW Issue Link</v>
      </c>
      <c r="O103" s="2" t="s">
        <v>217</v>
      </c>
      <c r="P103" s="2" t="s">
        <v>218</v>
      </c>
      <c r="Q103" s="2" t="s">
        <v>219</v>
      </c>
      <c r="R103" s="2" t="s">
        <v>220</v>
      </c>
      <c r="S103" s="2" t="s">
        <v>154</v>
      </c>
      <c r="T103" s="2" t="s">
        <v>221</v>
      </c>
    </row>
    <row r="104" spans="1:20" ht="105" x14ac:dyDescent="0.25">
      <c r="A104" s="2" t="s">
        <v>214</v>
      </c>
      <c r="B104" s="2" t="s">
        <v>215</v>
      </c>
      <c r="C104" s="2" t="s">
        <v>147</v>
      </c>
      <c r="D104" s="2">
        <v>8529</v>
      </c>
      <c r="E104" s="2">
        <v>479</v>
      </c>
      <c r="F104" s="2" t="s">
        <v>216</v>
      </c>
      <c r="G104" s="2" t="s">
        <v>170</v>
      </c>
      <c r="H104" s="2" t="s">
        <v>150</v>
      </c>
      <c r="I104" s="2" t="s">
        <v>88</v>
      </c>
      <c r="J104" s="2">
        <v>6</v>
      </c>
      <c r="K104" s="2" t="s">
        <v>151</v>
      </c>
      <c r="L104" s="2" t="s">
        <v>152</v>
      </c>
      <c r="M104" s="2" t="s">
        <v>158</v>
      </c>
      <c r="N104" s="2" t="str">
        <f>HYPERLINK("https://klocwork.dal.design.ti.com:443/review/insight-review.html#issuedetails_goto:problemid=8529,project=MCUSW_J7_KW_FULL,searchquery=taxonomy:'' build:RS-2022-10-06_06-07-58 grouping:off module:CddIpc","KW Issue Link")</f>
        <v>KW Issue Link</v>
      </c>
      <c r="O104" s="2" t="s">
        <v>217</v>
      </c>
      <c r="P104" s="2" t="s">
        <v>218</v>
      </c>
      <c r="Q104" s="2" t="s">
        <v>219</v>
      </c>
      <c r="R104" s="2" t="s">
        <v>220</v>
      </c>
      <c r="S104" s="2" t="s">
        <v>154</v>
      </c>
      <c r="T104" s="2" t="s">
        <v>221</v>
      </c>
    </row>
    <row r="105" spans="1:20" ht="105" x14ac:dyDescent="0.25">
      <c r="A105" s="2" t="s">
        <v>222</v>
      </c>
      <c r="B105" s="2" t="s">
        <v>223</v>
      </c>
      <c r="C105" s="2" t="s">
        <v>147</v>
      </c>
      <c r="D105" s="2">
        <v>8531</v>
      </c>
      <c r="E105" s="2">
        <v>775</v>
      </c>
      <c r="F105" s="2" t="s">
        <v>224</v>
      </c>
      <c r="G105" s="2" t="s">
        <v>195</v>
      </c>
      <c r="H105" s="2" t="s">
        <v>150</v>
      </c>
      <c r="I105" s="2" t="s">
        <v>123</v>
      </c>
      <c r="J105" s="2">
        <v>4</v>
      </c>
      <c r="K105" s="2" t="s">
        <v>151</v>
      </c>
      <c r="L105" s="2" t="s">
        <v>152</v>
      </c>
      <c r="M105" s="2" t="s">
        <v>153</v>
      </c>
      <c r="N105" s="2" t="str">
        <f>HYPERLINK("https://klocwork.dal.design.ti.com:443/review/insight-review.html#issuedetails_goto:problemid=8531,project=MCUSW_J7_KW_FULL,searchquery=taxonomy:'' build:RS-2022-10-06_06-07-58 grouping:off module:CddIpc","KW Issue Link")</f>
        <v>KW Issue Link</v>
      </c>
      <c r="O105" s="2"/>
      <c r="P105" s="2"/>
      <c r="Q105" s="2"/>
      <c r="R105" s="2"/>
      <c r="S105" s="2" t="s">
        <v>154</v>
      </c>
      <c r="T105" s="2"/>
    </row>
    <row r="106" spans="1:20" ht="105" x14ac:dyDescent="0.25">
      <c r="A106" s="2" t="s">
        <v>222</v>
      </c>
      <c r="B106" s="2" t="s">
        <v>223</v>
      </c>
      <c r="C106" s="2" t="s">
        <v>147</v>
      </c>
      <c r="D106" s="2">
        <v>8532</v>
      </c>
      <c r="E106" s="2">
        <v>814</v>
      </c>
      <c r="F106" s="2" t="s">
        <v>224</v>
      </c>
      <c r="G106" s="2" t="s">
        <v>225</v>
      </c>
      <c r="H106" s="2" t="s">
        <v>150</v>
      </c>
      <c r="I106" s="2" t="s">
        <v>123</v>
      </c>
      <c r="J106" s="2">
        <v>4</v>
      </c>
      <c r="K106" s="2" t="s">
        <v>151</v>
      </c>
      <c r="L106" s="2" t="s">
        <v>152</v>
      </c>
      <c r="M106" s="2" t="s">
        <v>153</v>
      </c>
      <c r="N106" s="2" t="str">
        <f>HYPERLINK("https://klocwork.dal.design.ti.com:443/review/insight-review.html#issuedetails_goto:problemid=8532,project=MCUSW_J7_KW_FULL,searchquery=taxonomy:'' build:RS-2022-10-06_06-07-58 grouping:off module:CddIpc","KW Issue Link")</f>
        <v>KW Issue Link</v>
      </c>
      <c r="O106" s="2"/>
      <c r="P106" s="2"/>
      <c r="Q106" s="2"/>
      <c r="R106" s="2"/>
      <c r="S106" s="2" t="s">
        <v>154</v>
      </c>
      <c r="T106" s="2"/>
    </row>
    <row r="107" spans="1:20" ht="105" x14ac:dyDescent="0.25">
      <c r="A107" s="2" t="s">
        <v>226</v>
      </c>
      <c r="B107" s="2" t="s">
        <v>227</v>
      </c>
      <c r="C107" s="2" t="s">
        <v>147</v>
      </c>
      <c r="D107" s="2">
        <v>8534</v>
      </c>
      <c r="E107" s="2">
        <v>493</v>
      </c>
      <c r="F107" s="2" t="s">
        <v>228</v>
      </c>
      <c r="G107" s="2" t="s">
        <v>170</v>
      </c>
      <c r="H107" s="2" t="s">
        <v>150</v>
      </c>
      <c r="I107" s="2" t="s">
        <v>123</v>
      </c>
      <c r="J107" s="2">
        <v>4</v>
      </c>
      <c r="K107" s="2" t="s">
        <v>151</v>
      </c>
      <c r="L107" s="2" t="s">
        <v>152</v>
      </c>
      <c r="M107" s="2" t="s">
        <v>153</v>
      </c>
      <c r="N107" s="2" t="str">
        <f>HYPERLINK("https://klocwork.dal.design.ti.com:443/review/insight-review.html#issuedetails_goto:problemid=8534,project=MCUSW_J7_KW_FULL,searchquery=taxonomy:'' build:RS-2022-10-06_06-07-58 grouping:off module:CddIpc","KW Issue Link")</f>
        <v>KW Issue Link</v>
      </c>
      <c r="O107" s="2"/>
      <c r="P107" s="2"/>
      <c r="Q107" s="2"/>
      <c r="R107" s="2"/>
      <c r="S107" s="2" t="s">
        <v>154</v>
      </c>
      <c r="T107" s="2"/>
    </row>
    <row r="108" spans="1:20" ht="105" x14ac:dyDescent="0.25">
      <c r="A108" s="2" t="s">
        <v>229</v>
      </c>
      <c r="B108" s="2" t="s">
        <v>230</v>
      </c>
      <c r="C108" s="2" t="s">
        <v>147</v>
      </c>
      <c r="D108" s="2">
        <v>8538</v>
      </c>
      <c r="E108" s="2">
        <v>762</v>
      </c>
      <c r="F108" s="2" t="s">
        <v>231</v>
      </c>
      <c r="G108" s="2" t="s">
        <v>232</v>
      </c>
      <c r="H108" s="2" t="s">
        <v>150</v>
      </c>
      <c r="I108" s="2" t="s">
        <v>89</v>
      </c>
      <c r="J108" s="2">
        <v>7</v>
      </c>
      <c r="K108" s="2" t="s">
        <v>151</v>
      </c>
      <c r="L108" s="2" t="s">
        <v>152</v>
      </c>
      <c r="M108" s="2" t="s">
        <v>158</v>
      </c>
      <c r="N108" s="2" t="str">
        <f>HYPERLINK("https://klocwork.dal.design.ti.com:443/review/insight-review.html#issuedetails_goto:problemid=8538,project=MCUSW_J7_KW_FULL,searchquery=taxonomy:'' build:RS-2022-10-06_06-07-58 grouping:off module:CddIpc","KW Issue Link")</f>
        <v>KW Issue Link</v>
      </c>
      <c r="O108" s="2" t="s">
        <v>233</v>
      </c>
      <c r="P108" s="2" t="s">
        <v>234</v>
      </c>
      <c r="Q108" s="2" t="s">
        <v>161</v>
      </c>
      <c r="R108" s="2" t="s">
        <v>235</v>
      </c>
      <c r="S108" s="2" t="s">
        <v>154</v>
      </c>
      <c r="T108" s="2"/>
    </row>
    <row r="109" spans="1:20" ht="105" x14ac:dyDescent="0.25">
      <c r="A109" s="2" t="s">
        <v>229</v>
      </c>
      <c r="B109" s="2" t="s">
        <v>230</v>
      </c>
      <c r="C109" s="2" t="s">
        <v>147</v>
      </c>
      <c r="D109" s="2">
        <v>8539</v>
      </c>
      <c r="E109" s="2">
        <v>817</v>
      </c>
      <c r="F109" s="2" t="s">
        <v>236</v>
      </c>
      <c r="G109" s="2" t="s">
        <v>237</v>
      </c>
      <c r="H109" s="2" t="s">
        <v>150</v>
      </c>
      <c r="I109" s="2" t="s">
        <v>89</v>
      </c>
      <c r="J109" s="2">
        <v>7</v>
      </c>
      <c r="K109" s="2" t="s">
        <v>151</v>
      </c>
      <c r="L109" s="2" t="s">
        <v>152</v>
      </c>
      <c r="M109" s="2" t="s">
        <v>158</v>
      </c>
      <c r="N109" s="2" t="str">
        <f>HYPERLINK("https://klocwork.dal.design.ti.com:443/review/insight-review.html#issuedetails_goto:problemid=8539,project=MCUSW_J7_KW_FULL,searchquery=taxonomy:'' build:RS-2022-10-06_06-07-58 grouping:off module:CddIpc","KW Issue Link")</f>
        <v>KW Issue Link</v>
      </c>
      <c r="O109" s="2" t="s">
        <v>233</v>
      </c>
      <c r="P109" s="2" t="s">
        <v>234</v>
      </c>
      <c r="Q109" s="2" t="s">
        <v>161</v>
      </c>
      <c r="R109" s="2" t="s">
        <v>235</v>
      </c>
      <c r="S109" s="2" t="s">
        <v>154</v>
      </c>
      <c r="T109" s="2"/>
    </row>
    <row r="110" spans="1:20" ht="105" x14ac:dyDescent="0.25">
      <c r="A110" s="2" t="s">
        <v>229</v>
      </c>
      <c r="B110" s="2" t="s">
        <v>230</v>
      </c>
      <c r="C110" s="2" t="s">
        <v>147</v>
      </c>
      <c r="D110" s="2">
        <v>8540</v>
      </c>
      <c r="E110" s="2">
        <v>824</v>
      </c>
      <c r="F110" s="2" t="s">
        <v>238</v>
      </c>
      <c r="G110" s="2" t="s">
        <v>239</v>
      </c>
      <c r="H110" s="2" t="s">
        <v>150</v>
      </c>
      <c r="I110" s="2" t="s">
        <v>89</v>
      </c>
      <c r="J110" s="2">
        <v>7</v>
      </c>
      <c r="K110" s="2" t="s">
        <v>151</v>
      </c>
      <c r="L110" s="2" t="s">
        <v>152</v>
      </c>
      <c r="M110" s="2" t="s">
        <v>158</v>
      </c>
      <c r="N110" s="2" t="str">
        <f>HYPERLINK("https://klocwork.dal.design.ti.com:443/review/insight-review.html#issuedetails_goto:problemid=8540,project=MCUSW_J7_KW_FULL,searchquery=taxonomy:'' build:RS-2022-10-06_06-07-58 grouping:off module:CddIpc","KW Issue Link")</f>
        <v>KW Issue Link</v>
      </c>
      <c r="O110" s="2" t="s">
        <v>233</v>
      </c>
      <c r="P110" s="2" t="s">
        <v>234</v>
      </c>
      <c r="Q110" s="2" t="s">
        <v>161</v>
      </c>
      <c r="R110" s="2" t="s">
        <v>235</v>
      </c>
      <c r="S110" s="2" t="s">
        <v>154</v>
      </c>
      <c r="T110" s="2"/>
    </row>
    <row r="111" spans="1:20" ht="105" x14ac:dyDescent="0.25">
      <c r="A111" s="2" t="s">
        <v>229</v>
      </c>
      <c r="B111" s="2" t="s">
        <v>230</v>
      </c>
      <c r="C111" s="2" t="s">
        <v>147</v>
      </c>
      <c r="D111" s="2">
        <v>8541</v>
      </c>
      <c r="E111" s="2">
        <v>831</v>
      </c>
      <c r="F111" s="2" t="s">
        <v>240</v>
      </c>
      <c r="G111" s="2" t="s">
        <v>199</v>
      </c>
      <c r="H111" s="2" t="s">
        <v>150</v>
      </c>
      <c r="I111" s="2" t="s">
        <v>89</v>
      </c>
      <c r="J111" s="2">
        <v>7</v>
      </c>
      <c r="K111" s="2" t="s">
        <v>151</v>
      </c>
      <c r="L111" s="2" t="s">
        <v>152</v>
      </c>
      <c r="M111" s="2" t="s">
        <v>158</v>
      </c>
      <c r="N111" s="2" t="str">
        <f>HYPERLINK("https://klocwork.dal.design.ti.com:443/review/insight-review.html#issuedetails_goto:problemid=8541,project=MCUSW_J7_KW_FULL,searchquery=taxonomy:'' build:RS-2022-10-06_06-07-58 grouping:off module:CddIpc","KW Issue Link")</f>
        <v>KW Issue Link</v>
      </c>
      <c r="O111" s="2" t="s">
        <v>233</v>
      </c>
      <c r="P111" s="2" t="s">
        <v>234</v>
      </c>
      <c r="Q111" s="2" t="s">
        <v>161</v>
      </c>
      <c r="R111" s="2" t="s">
        <v>235</v>
      </c>
      <c r="S111" s="2" t="s">
        <v>154</v>
      </c>
      <c r="T111" s="2"/>
    </row>
    <row r="112" spans="1:20" ht="105" x14ac:dyDescent="0.25">
      <c r="A112" s="2" t="s">
        <v>229</v>
      </c>
      <c r="B112" s="2" t="s">
        <v>230</v>
      </c>
      <c r="C112" s="2" t="s">
        <v>147</v>
      </c>
      <c r="D112" s="2">
        <v>8542</v>
      </c>
      <c r="E112" s="2">
        <v>902</v>
      </c>
      <c r="F112" s="2" t="s">
        <v>241</v>
      </c>
      <c r="G112" s="2" t="s">
        <v>176</v>
      </c>
      <c r="H112" s="2" t="s">
        <v>150</v>
      </c>
      <c r="I112" s="2" t="s">
        <v>89</v>
      </c>
      <c r="J112" s="2">
        <v>7</v>
      </c>
      <c r="K112" s="2" t="s">
        <v>151</v>
      </c>
      <c r="L112" s="2" t="s">
        <v>152</v>
      </c>
      <c r="M112" s="2" t="s">
        <v>158</v>
      </c>
      <c r="N112" s="2" t="str">
        <f>HYPERLINK("https://klocwork.dal.design.ti.com:443/review/insight-review.html#issuedetails_goto:problemid=8542,project=MCUSW_J7_KW_FULL,searchquery=taxonomy:'' build:RS-2022-10-06_06-07-58 grouping:off module:CddIpc","KW Issue Link")</f>
        <v>KW Issue Link</v>
      </c>
      <c r="O112" s="2" t="s">
        <v>233</v>
      </c>
      <c r="P112" s="2" t="s">
        <v>234</v>
      </c>
      <c r="Q112" s="2" t="s">
        <v>161</v>
      </c>
      <c r="R112" s="2" t="s">
        <v>235</v>
      </c>
      <c r="S112" s="2" t="s">
        <v>154</v>
      </c>
      <c r="T112" s="2"/>
    </row>
    <row r="113" spans="1:20" ht="105" x14ac:dyDescent="0.25">
      <c r="A113" s="2" t="s">
        <v>242</v>
      </c>
      <c r="B113" s="2" t="s">
        <v>243</v>
      </c>
      <c r="C113" s="2" t="s">
        <v>147</v>
      </c>
      <c r="D113" s="2">
        <v>8543</v>
      </c>
      <c r="E113" s="2">
        <v>636</v>
      </c>
      <c r="F113" s="2" t="s">
        <v>244</v>
      </c>
      <c r="G113" s="2" t="s">
        <v>172</v>
      </c>
      <c r="H113" s="2" t="s">
        <v>150</v>
      </c>
      <c r="I113" s="2" t="s">
        <v>123</v>
      </c>
      <c r="J113" s="2">
        <v>4</v>
      </c>
      <c r="K113" s="2" t="s">
        <v>151</v>
      </c>
      <c r="L113" s="2" t="s">
        <v>152</v>
      </c>
      <c r="M113" s="2" t="s">
        <v>153</v>
      </c>
      <c r="N113" s="2" t="str">
        <f>HYPERLINK("https://klocwork.dal.design.ti.com:443/review/insight-review.html#issuedetails_goto:problemid=8543,project=MCUSW_J7_KW_FULL,searchquery=taxonomy:'' build:RS-2022-10-06_06-07-58 grouping:off module:CddIpc","KW Issue Link")</f>
        <v>KW Issue Link</v>
      </c>
      <c r="O113" s="2"/>
      <c r="P113" s="2"/>
      <c r="Q113" s="2"/>
      <c r="R113" s="2"/>
      <c r="S113" s="2" t="s">
        <v>154</v>
      </c>
      <c r="T113" s="2"/>
    </row>
    <row r="114" spans="1:20" ht="105" x14ac:dyDescent="0.25">
      <c r="A114" s="2" t="s">
        <v>242</v>
      </c>
      <c r="B114" s="2" t="s">
        <v>243</v>
      </c>
      <c r="C114" s="2" t="s">
        <v>147</v>
      </c>
      <c r="D114" s="2">
        <v>8544</v>
      </c>
      <c r="E114" s="2">
        <v>773</v>
      </c>
      <c r="F114" s="2" t="s">
        <v>245</v>
      </c>
      <c r="G114" s="2" t="s">
        <v>195</v>
      </c>
      <c r="H114" s="2" t="s">
        <v>150</v>
      </c>
      <c r="I114" s="2" t="s">
        <v>123</v>
      </c>
      <c r="J114" s="2">
        <v>4</v>
      </c>
      <c r="K114" s="2" t="s">
        <v>151</v>
      </c>
      <c r="L114" s="2" t="s">
        <v>152</v>
      </c>
      <c r="M114" s="2" t="s">
        <v>153</v>
      </c>
      <c r="N114" s="2" t="str">
        <f>HYPERLINK("https://klocwork.dal.design.ti.com:443/review/insight-review.html#issuedetails_goto:problemid=8544,project=MCUSW_J7_KW_FULL,searchquery=taxonomy:'' build:RS-2022-10-06_06-07-58 grouping:off module:CddIpc","KW Issue Link")</f>
        <v>KW Issue Link</v>
      </c>
      <c r="O114" s="2"/>
      <c r="P114" s="2"/>
      <c r="Q114" s="2"/>
      <c r="R114" s="2"/>
      <c r="S114" s="2" t="s">
        <v>154</v>
      </c>
      <c r="T114" s="2"/>
    </row>
    <row r="115" spans="1:20" ht="105" x14ac:dyDescent="0.25">
      <c r="A115" s="2" t="s">
        <v>246</v>
      </c>
      <c r="B115" s="2" t="s">
        <v>247</v>
      </c>
      <c r="C115" s="2" t="s">
        <v>147</v>
      </c>
      <c r="D115" s="2">
        <v>8545</v>
      </c>
      <c r="E115" s="2">
        <v>643</v>
      </c>
      <c r="F115" s="2" t="s">
        <v>248</v>
      </c>
      <c r="G115" s="2" t="s">
        <v>172</v>
      </c>
      <c r="H115" s="2" t="s">
        <v>150</v>
      </c>
      <c r="I115" s="2" t="s">
        <v>123</v>
      </c>
      <c r="J115" s="2">
        <v>4</v>
      </c>
      <c r="K115" s="2" t="s">
        <v>151</v>
      </c>
      <c r="L115" s="2" t="s">
        <v>152</v>
      </c>
      <c r="M115" s="2" t="s">
        <v>153</v>
      </c>
      <c r="N115" s="2" t="str">
        <f>HYPERLINK("https://klocwork.dal.design.ti.com:443/review/insight-review.html#issuedetails_goto:problemid=8545,project=MCUSW_J7_KW_FULL,searchquery=taxonomy:'' build:RS-2022-10-06_06-07-58 grouping:off module:CddIpc","KW Issue Link")</f>
        <v>KW Issue Link</v>
      </c>
      <c r="O115" s="2"/>
      <c r="P115" s="2"/>
      <c r="Q115" s="2"/>
      <c r="R115" s="2"/>
      <c r="S115" s="2" t="s">
        <v>154</v>
      </c>
      <c r="T115" s="2"/>
    </row>
    <row r="116" spans="1:20" ht="105" x14ac:dyDescent="0.25">
      <c r="A116" s="2" t="s">
        <v>246</v>
      </c>
      <c r="B116" s="2" t="s">
        <v>247</v>
      </c>
      <c r="C116" s="2" t="s">
        <v>147</v>
      </c>
      <c r="D116" s="2">
        <v>8546</v>
      </c>
      <c r="E116" s="2">
        <v>705</v>
      </c>
      <c r="F116" s="2" t="s">
        <v>249</v>
      </c>
      <c r="G116" s="2" t="s">
        <v>173</v>
      </c>
      <c r="H116" s="2" t="s">
        <v>150</v>
      </c>
      <c r="I116" s="2" t="s">
        <v>123</v>
      </c>
      <c r="J116" s="2">
        <v>4</v>
      </c>
      <c r="K116" s="2" t="s">
        <v>151</v>
      </c>
      <c r="L116" s="2" t="s">
        <v>152</v>
      </c>
      <c r="M116" s="2" t="s">
        <v>153</v>
      </c>
      <c r="N116" s="2" t="str">
        <f>HYPERLINK("https://klocwork.dal.design.ti.com:443/review/insight-review.html#issuedetails_goto:problemid=8546,project=MCUSW_J7_KW_FULL,searchquery=taxonomy:'' build:RS-2022-10-06_06-07-58 grouping:off module:CddIpc","KW Issue Link")</f>
        <v>KW Issue Link</v>
      </c>
      <c r="O116" s="2"/>
      <c r="P116" s="2"/>
      <c r="Q116" s="2"/>
      <c r="R116" s="2"/>
      <c r="S116" s="2" t="s">
        <v>154</v>
      </c>
      <c r="T116" s="2"/>
    </row>
    <row r="117" spans="1:20" ht="105" x14ac:dyDescent="0.25">
      <c r="A117" s="2" t="s">
        <v>246</v>
      </c>
      <c r="B117" s="2" t="s">
        <v>247</v>
      </c>
      <c r="C117" s="2" t="s">
        <v>147</v>
      </c>
      <c r="D117" s="2">
        <v>8547</v>
      </c>
      <c r="E117" s="2">
        <v>776</v>
      </c>
      <c r="F117" s="2" t="s">
        <v>250</v>
      </c>
      <c r="G117" s="2" t="s">
        <v>195</v>
      </c>
      <c r="H117" s="2" t="s">
        <v>150</v>
      </c>
      <c r="I117" s="2" t="s">
        <v>123</v>
      </c>
      <c r="J117" s="2">
        <v>4</v>
      </c>
      <c r="K117" s="2" t="s">
        <v>151</v>
      </c>
      <c r="L117" s="2" t="s">
        <v>152</v>
      </c>
      <c r="M117" s="2" t="s">
        <v>153</v>
      </c>
      <c r="N117" s="2" t="str">
        <f>HYPERLINK("https://klocwork.dal.design.ti.com:443/review/insight-review.html#issuedetails_goto:problemid=8547,project=MCUSW_J7_KW_FULL,searchquery=taxonomy:'' build:RS-2022-10-06_06-07-58 grouping:off module:CddIpc","KW Issue Link")</f>
        <v>KW Issue Link</v>
      </c>
      <c r="O117" s="2"/>
      <c r="P117" s="2"/>
      <c r="Q117" s="2"/>
      <c r="R117" s="2"/>
      <c r="S117" s="2" t="s">
        <v>154</v>
      </c>
      <c r="T117" s="2"/>
    </row>
    <row r="118" spans="1:20" ht="105" x14ac:dyDescent="0.25">
      <c r="A118" s="2" t="s">
        <v>246</v>
      </c>
      <c r="B118" s="2" t="s">
        <v>247</v>
      </c>
      <c r="C118" s="2" t="s">
        <v>147</v>
      </c>
      <c r="D118" s="2">
        <v>8548</v>
      </c>
      <c r="E118" s="2">
        <v>789</v>
      </c>
      <c r="F118" s="2" t="s">
        <v>251</v>
      </c>
      <c r="G118" s="2" t="s">
        <v>252</v>
      </c>
      <c r="H118" s="2" t="s">
        <v>150</v>
      </c>
      <c r="I118" s="2" t="s">
        <v>123</v>
      </c>
      <c r="J118" s="2">
        <v>4</v>
      </c>
      <c r="K118" s="2" t="s">
        <v>151</v>
      </c>
      <c r="L118" s="2" t="s">
        <v>152</v>
      </c>
      <c r="M118" s="2" t="s">
        <v>153</v>
      </c>
      <c r="N118" s="2" t="str">
        <f>HYPERLINK("https://klocwork.dal.design.ti.com:443/review/insight-review.html#issuedetails_goto:problemid=8548,project=MCUSW_J7_KW_FULL,searchquery=taxonomy:'' build:RS-2022-10-06_06-07-58 grouping:off module:CddIpc","KW Issue Link")</f>
        <v>KW Issue Link</v>
      </c>
      <c r="O118" s="2"/>
      <c r="P118" s="2"/>
      <c r="Q118" s="2"/>
      <c r="R118" s="2"/>
      <c r="S118" s="2" t="s">
        <v>154</v>
      </c>
      <c r="T118" s="2"/>
    </row>
    <row r="119" spans="1:20" ht="105" x14ac:dyDescent="0.25">
      <c r="A119" s="2" t="s">
        <v>246</v>
      </c>
      <c r="B119" s="2" t="s">
        <v>247</v>
      </c>
      <c r="C119" s="2" t="s">
        <v>147</v>
      </c>
      <c r="D119" s="2">
        <v>8549</v>
      </c>
      <c r="E119" s="2">
        <v>790</v>
      </c>
      <c r="F119" s="2" t="s">
        <v>250</v>
      </c>
      <c r="G119" s="2" t="s">
        <v>252</v>
      </c>
      <c r="H119" s="2" t="s">
        <v>150</v>
      </c>
      <c r="I119" s="2" t="s">
        <v>123</v>
      </c>
      <c r="J119" s="2">
        <v>4</v>
      </c>
      <c r="K119" s="2" t="s">
        <v>151</v>
      </c>
      <c r="L119" s="2" t="s">
        <v>152</v>
      </c>
      <c r="M119" s="2" t="s">
        <v>153</v>
      </c>
      <c r="N119" s="2" t="str">
        <f>HYPERLINK("https://klocwork.dal.design.ti.com:443/review/insight-review.html#issuedetails_goto:problemid=8549,project=MCUSW_J7_KW_FULL,searchquery=taxonomy:'' build:RS-2022-10-06_06-07-58 grouping:off module:CddIpc","KW Issue Link")</f>
        <v>KW Issue Link</v>
      </c>
      <c r="O119" s="2"/>
      <c r="P119" s="2"/>
      <c r="Q119" s="2"/>
      <c r="R119" s="2"/>
      <c r="S119" s="2" t="s">
        <v>154</v>
      </c>
      <c r="T119" s="2"/>
    </row>
    <row r="120" spans="1:20" ht="105" x14ac:dyDescent="0.25">
      <c r="A120" s="2" t="s">
        <v>246</v>
      </c>
      <c r="B120" s="2" t="s">
        <v>247</v>
      </c>
      <c r="C120" s="2" t="s">
        <v>147</v>
      </c>
      <c r="D120" s="2">
        <v>8550</v>
      </c>
      <c r="E120" s="2">
        <v>863</v>
      </c>
      <c r="F120" s="2" t="s">
        <v>253</v>
      </c>
      <c r="G120" s="2" t="s">
        <v>175</v>
      </c>
      <c r="H120" s="2" t="s">
        <v>150</v>
      </c>
      <c r="I120" s="2" t="s">
        <v>123</v>
      </c>
      <c r="J120" s="2">
        <v>4</v>
      </c>
      <c r="K120" s="2" t="s">
        <v>151</v>
      </c>
      <c r="L120" s="2" t="s">
        <v>152</v>
      </c>
      <c r="M120" s="2" t="s">
        <v>153</v>
      </c>
      <c r="N120" s="2" t="str">
        <f>HYPERLINK("https://klocwork.dal.design.ti.com:443/review/insight-review.html#issuedetails_goto:problemid=8550,project=MCUSW_J7_KW_FULL,searchquery=taxonomy:'' build:RS-2022-10-06_06-07-58 grouping:off module:CddIpc","KW Issue Link")</f>
        <v>KW Issue Link</v>
      </c>
      <c r="O120" s="2"/>
      <c r="P120" s="2"/>
      <c r="Q120" s="2"/>
      <c r="R120" s="2"/>
      <c r="S120" s="2" t="s">
        <v>154</v>
      </c>
      <c r="T120" s="2"/>
    </row>
    <row r="121" spans="1:20" ht="105" x14ac:dyDescent="0.25">
      <c r="A121" s="2" t="s">
        <v>246</v>
      </c>
      <c r="B121" s="2" t="s">
        <v>247</v>
      </c>
      <c r="C121" s="2" t="s">
        <v>147</v>
      </c>
      <c r="D121" s="2">
        <v>8551</v>
      </c>
      <c r="E121" s="2">
        <v>885</v>
      </c>
      <c r="F121" s="2" t="s">
        <v>254</v>
      </c>
      <c r="G121" s="2" t="s">
        <v>175</v>
      </c>
      <c r="H121" s="2" t="s">
        <v>150</v>
      </c>
      <c r="I121" s="2" t="s">
        <v>123</v>
      </c>
      <c r="J121" s="2">
        <v>4</v>
      </c>
      <c r="K121" s="2" t="s">
        <v>151</v>
      </c>
      <c r="L121" s="2" t="s">
        <v>152</v>
      </c>
      <c r="M121" s="2" t="s">
        <v>153</v>
      </c>
      <c r="N121" s="2" t="str">
        <f>HYPERLINK("https://klocwork.dal.design.ti.com:443/review/insight-review.html#issuedetails_goto:problemid=8551,project=MCUSW_J7_KW_FULL,searchquery=taxonomy:'' build:RS-2022-10-06_06-07-58 grouping:off module:CddIpc","KW Issue Link")</f>
        <v>KW Issue Link</v>
      </c>
      <c r="O121" s="2"/>
      <c r="P121" s="2"/>
      <c r="Q121" s="2"/>
      <c r="R121" s="2"/>
      <c r="S121" s="2" t="s">
        <v>154</v>
      </c>
      <c r="T121" s="2"/>
    </row>
    <row r="122" spans="1:20" ht="105" x14ac:dyDescent="0.25">
      <c r="A122" s="2" t="s">
        <v>246</v>
      </c>
      <c r="B122" s="2" t="s">
        <v>247</v>
      </c>
      <c r="C122" s="2" t="s">
        <v>147</v>
      </c>
      <c r="D122" s="2">
        <v>8552</v>
      </c>
      <c r="E122" s="2">
        <v>887</v>
      </c>
      <c r="F122" s="2" t="s">
        <v>255</v>
      </c>
      <c r="G122" s="2" t="s">
        <v>175</v>
      </c>
      <c r="H122" s="2" t="s">
        <v>150</v>
      </c>
      <c r="I122" s="2" t="s">
        <v>123</v>
      </c>
      <c r="J122" s="2">
        <v>4</v>
      </c>
      <c r="K122" s="2" t="s">
        <v>151</v>
      </c>
      <c r="L122" s="2" t="s">
        <v>152</v>
      </c>
      <c r="M122" s="2" t="s">
        <v>153</v>
      </c>
      <c r="N122" s="2" t="str">
        <f>HYPERLINK("https://klocwork.dal.design.ti.com:443/review/insight-review.html#issuedetails_goto:problemid=8552,project=MCUSW_J7_KW_FULL,searchquery=taxonomy:'' build:RS-2022-10-06_06-07-58 grouping:off module:CddIpc","KW Issue Link")</f>
        <v>KW Issue Link</v>
      </c>
      <c r="O122" s="2"/>
      <c r="P122" s="2"/>
      <c r="Q122" s="2"/>
      <c r="R122" s="2"/>
      <c r="S122" s="2" t="s">
        <v>154</v>
      </c>
      <c r="T122" s="2"/>
    </row>
    <row r="123" spans="1:20" ht="105" x14ac:dyDescent="0.25">
      <c r="A123" s="2" t="s">
        <v>246</v>
      </c>
      <c r="B123" s="2" t="s">
        <v>247</v>
      </c>
      <c r="C123" s="2" t="s">
        <v>147</v>
      </c>
      <c r="D123" s="2">
        <v>8553</v>
      </c>
      <c r="E123" s="2">
        <v>889</v>
      </c>
      <c r="F123" s="2" t="s">
        <v>256</v>
      </c>
      <c r="G123" s="2" t="s">
        <v>175</v>
      </c>
      <c r="H123" s="2" t="s">
        <v>150</v>
      </c>
      <c r="I123" s="2" t="s">
        <v>123</v>
      </c>
      <c r="J123" s="2">
        <v>4</v>
      </c>
      <c r="K123" s="2" t="s">
        <v>151</v>
      </c>
      <c r="L123" s="2" t="s">
        <v>152</v>
      </c>
      <c r="M123" s="2" t="s">
        <v>153</v>
      </c>
      <c r="N123" s="2" t="str">
        <f>HYPERLINK("https://klocwork.dal.design.ti.com:443/review/insight-review.html#issuedetails_goto:problemid=8553,project=MCUSW_J7_KW_FULL,searchquery=taxonomy:'' build:RS-2022-10-06_06-07-58 grouping:off module:CddIpc","KW Issue Link")</f>
        <v>KW Issue Link</v>
      </c>
      <c r="O123" s="2"/>
      <c r="P123" s="2"/>
      <c r="Q123" s="2"/>
      <c r="R123" s="2"/>
      <c r="S123" s="2" t="s">
        <v>154</v>
      </c>
      <c r="T123" s="2"/>
    </row>
    <row r="124" spans="1:20" ht="105" x14ac:dyDescent="0.25">
      <c r="A124" s="2" t="s">
        <v>246</v>
      </c>
      <c r="B124" s="2" t="s">
        <v>247</v>
      </c>
      <c r="C124" s="2" t="s">
        <v>147</v>
      </c>
      <c r="D124" s="2">
        <v>8554</v>
      </c>
      <c r="E124" s="2">
        <v>945</v>
      </c>
      <c r="F124" s="2" t="s">
        <v>257</v>
      </c>
      <c r="G124" s="2" t="s">
        <v>177</v>
      </c>
      <c r="H124" s="2" t="s">
        <v>150</v>
      </c>
      <c r="I124" s="2" t="s">
        <v>123</v>
      </c>
      <c r="J124" s="2">
        <v>4</v>
      </c>
      <c r="K124" s="2" t="s">
        <v>151</v>
      </c>
      <c r="L124" s="2" t="s">
        <v>152</v>
      </c>
      <c r="M124" s="2" t="s">
        <v>153</v>
      </c>
      <c r="N124" s="2" t="str">
        <f>HYPERLINK("https://klocwork.dal.design.ti.com:443/review/insight-review.html#issuedetails_goto:problemid=8554,project=MCUSW_J7_KW_FULL,searchquery=taxonomy:'' build:RS-2022-10-06_06-07-58 grouping:off module:CddIpc","KW Issue Link")</f>
        <v>KW Issue Link</v>
      </c>
      <c r="O124" s="2"/>
      <c r="P124" s="2"/>
      <c r="Q124" s="2"/>
      <c r="R124" s="2"/>
      <c r="S124" s="2" t="s">
        <v>154</v>
      </c>
      <c r="T124" s="2"/>
    </row>
    <row r="125" spans="1:20" ht="105" x14ac:dyDescent="0.25">
      <c r="A125" s="2" t="s">
        <v>246</v>
      </c>
      <c r="B125" s="2" t="s">
        <v>247</v>
      </c>
      <c r="C125" s="2" t="s">
        <v>147</v>
      </c>
      <c r="D125" s="2">
        <v>8555</v>
      </c>
      <c r="E125" s="2">
        <v>980</v>
      </c>
      <c r="F125" s="2" t="s">
        <v>249</v>
      </c>
      <c r="G125" s="2" t="s">
        <v>178</v>
      </c>
      <c r="H125" s="2" t="s">
        <v>150</v>
      </c>
      <c r="I125" s="2" t="s">
        <v>123</v>
      </c>
      <c r="J125" s="2">
        <v>4</v>
      </c>
      <c r="K125" s="2" t="s">
        <v>151</v>
      </c>
      <c r="L125" s="2" t="s">
        <v>152</v>
      </c>
      <c r="M125" s="2" t="s">
        <v>153</v>
      </c>
      <c r="N125" s="2" t="str">
        <f>HYPERLINK("https://klocwork.dal.design.ti.com:443/review/insight-review.html#issuedetails_goto:problemid=8555,project=MCUSW_J7_KW_FULL,searchquery=taxonomy:'' build:RS-2022-10-06_06-07-58 grouping:off module:CddIpc","KW Issue Link")</f>
        <v>KW Issue Link</v>
      </c>
      <c r="O125" s="2"/>
      <c r="P125" s="2"/>
      <c r="Q125" s="2"/>
      <c r="R125" s="2"/>
      <c r="S125" s="2" t="s">
        <v>154</v>
      </c>
      <c r="T125" s="2"/>
    </row>
    <row r="126" spans="1:20" ht="105" x14ac:dyDescent="0.25">
      <c r="A126" s="2" t="s">
        <v>246</v>
      </c>
      <c r="B126" s="2" t="s">
        <v>247</v>
      </c>
      <c r="C126" s="2" t="s">
        <v>147</v>
      </c>
      <c r="D126" s="2">
        <v>8556</v>
      </c>
      <c r="E126" s="2">
        <v>997</v>
      </c>
      <c r="F126" s="2" t="s">
        <v>249</v>
      </c>
      <c r="G126" s="2" t="s">
        <v>178</v>
      </c>
      <c r="H126" s="2" t="s">
        <v>150</v>
      </c>
      <c r="I126" s="2" t="s">
        <v>123</v>
      </c>
      <c r="J126" s="2">
        <v>4</v>
      </c>
      <c r="K126" s="2" t="s">
        <v>151</v>
      </c>
      <c r="L126" s="2" t="s">
        <v>152</v>
      </c>
      <c r="M126" s="2" t="s">
        <v>153</v>
      </c>
      <c r="N126" s="2" t="str">
        <f>HYPERLINK("https://klocwork.dal.design.ti.com:443/review/insight-review.html#issuedetails_goto:problemid=8556,project=MCUSW_J7_KW_FULL,searchquery=taxonomy:'' build:RS-2022-10-06_06-07-58 grouping:off module:CddIpc","KW Issue Link")</f>
        <v>KW Issue Link</v>
      </c>
      <c r="O126" s="2"/>
      <c r="P126" s="2"/>
      <c r="Q126" s="2"/>
      <c r="R126" s="2"/>
      <c r="S126" s="2" t="s">
        <v>154</v>
      </c>
      <c r="T126" s="2"/>
    </row>
    <row r="127" spans="1:20" ht="105" x14ac:dyDescent="0.25">
      <c r="A127" s="2" t="s">
        <v>246</v>
      </c>
      <c r="B127" s="2" t="s">
        <v>247</v>
      </c>
      <c r="C127" s="2" t="s">
        <v>147</v>
      </c>
      <c r="D127" s="2">
        <v>8557</v>
      </c>
      <c r="E127" s="2">
        <v>1009</v>
      </c>
      <c r="F127" s="2" t="s">
        <v>249</v>
      </c>
      <c r="G127" s="2" t="s">
        <v>178</v>
      </c>
      <c r="H127" s="2" t="s">
        <v>150</v>
      </c>
      <c r="I127" s="2" t="s">
        <v>123</v>
      </c>
      <c r="J127" s="2">
        <v>4</v>
      </c>
      <c r="K127" s="2" t="s">
        <v>151</v>
      </c>
      <c r="L127" s="2" t="s">
        <v>152</v>
      </c>
      <c r="M127" s="2" t="s">
        <v>153</v>
      </c>
      <c r="N127" s="2" t="str">
        <f>HYPERLINK("https://klocwork.dal.design.ti.com:443/review/insight-review.html#issuedetails_goto:problemid=8557,project=MCUSW_J7_KW_FULL,searchquery=taxonomy:'' build:RS-2022-10-06_06-07-58 grouping:off module:CddIpc","KW Issue Link")</f>
        <v>KW Issue Link</v>
      </c>
      <c r="O127" s="2"/>
      <c r="P127" s="2"/>
      <c r="Q127" s="2"/>
      <c r="R127" s="2"/>
      <c r="S127" s="2" t="s">
        <v>154</v>
      </c>
      <c r="T127" s="2"/>
    </row>
    <row r="128" spans="1:20" ht="105" x14ac:dyDescent="0.25">
      <c r="A128" s="2" t="s">
        <v>258</v>
      </c>
      <c r="B128" s="2" t="s">
        <v>259</v>
      </c>
      <c r="C128" s="2" t="s">
        <v>147</v>
      </c>
      <c r="D128" s="2">
        <v>8563</v>
      </c>
      <c r="E128" s="2">
        <v>768</v>
      </c>
      <c r="F128" s="2" t="s">
        <v>260</v>
      </c>
      <c r="G128" s="2" t="s">
        <v>149</v>
      </c>
      <c r="H128" s="2" t="s">
        <v>150</v>
      </c>
      <c r="I128" s="2" t="s">
        <v>89</v>
      </c>
      <c r="J128" s="2">
        <v>7</v>
      </c>
      <c r="K128" s="2" t="s">
        <v>151</v>
      </c>
      <c r="L128" s="2" t="s">
        <v>152</v>
      </c>
      <c r="M128" s="2" t="s">
        <v>158</v>
      </c>
      <c r="N128" s="2" t="str">
        <f>HYPERLINK("https://klocwork.dal.design.ti.com:443/review/insight-review.html#issuedetails_goto:problemid=8563,project=MCUSW_J7_KW_FULL,searchquery=taxonomy:'' build:RS-2022-10-06_06-07-58 grouping:off module:CddIpc","KW Issue Link")</f>
        <v>KW Issue Link</v>
      </c>
      <c r="O128" s="2" t="s">
        <v>261</v>
      </c>
      <c r="P128" s="2" t="s">
        <v>204</v>
      </c>
      <c r="Q128" s="2" t="s">
        <v>161</v>
      </c>
      <c r="R128" s="2" t="s">
        <v>262</v>
      </c>
      <c r="S128" s="2" t="s">
        <v>154</v>
      </c>
      <c r="T128" s="2"/>
    </row>
    <row r="129" spans="1:20" ht="105" x14ac:dyDescent="0.25">
      <c r="A129" s="2" t="s">
        <v>263</v>
      </c>
      <c r="B129" s="2" t="s">
        <v>264</v>
      </c>
      <c r="C129" s="2" t="s">
        <v>147</v>
      </c>
      <c r="D129" s="2">
        <v>8564</v>
      </c>
      <c r="E129" s="2">
        <v>775</v>
      </c>
      <c r="F129" s="2" t="s">
        <v>265</v>
      </c>
      <c r="G129" s="2" t="s">
        <v>195</v>
      </c>
      <c r="H129" s="2" t="s">
        <v>150</v>
      </c>
      <c r="I129" s="2" t="s">
        <v>88</v>
      </c>
      <c r="J129" s="2">
        <v>6</v>
      </c>
      <c r="K129" s="2" t="s">
        <v>151</v>
      </c>
      <c r="L129" s="2" t="s">
        <v>152</v>
      </c>
      <c r="M129" s="2" t="s">
        <v>158</v>
      </c>
      <c r="N129" s="2" t="str">
        <f>HYPERLINK("https://klocwork.dal.design.ti.com:443/review/insight-review.html#issuedetails_goto:problemid=8564,project=MCUSW_J7_KW_FULL,searchquery=taxonomy:'' build:RS-2022-10-06_06-07-58 grouping:off module:CddIpc","KW Issue Link")</f>
        <v>KW Issue Link</v>
      </c>
      <c r="O129" s="2" t="s">
        <v>266</v>
      </c>
      <c r="P129" s="2" t="s">
        <v>267</v>
      </c>
      <c r="Q129" s="2" t="s">
        <v>161</v>
      </c>
      <c r="R129" s="2" t="s">
        <v>268</v>
      </c>
      <c r="S129" s="2" t="s">
        <v>154</v>
      </c>
      <c r="T129" s="2"/>
    </row>
    <row r="130" spans="1:20" ht="105" x14ac:dyDescent="0.25">
      <c r="A130" s="2" t="s">
        <v>263</v>
      </c>
      <c r="B130" s="2" t="s">
        <v>264</v>
      </c>
      <c r="C130" s="2" t="s">
        <v>147</v>
      </c>
      <c r="D130" s="2">
        <v>8565</v>
      </c>
      <c r="E130" s="2">
        <v>814</v>
      </c>
      <c r="F130" s="2" t="s">
        <v>265</v>
      </c>
      <c r="G130" s="2" t="s">
        <v>225</v>
      </c>
      <c r="H130" s="2" t="s">
        <v>150</v>
      </c>
      <c r="I130" s="2" t="s">
        <v>88</v>
      </c>
      <c r="J130" s="2">
        <v>6</v>
      </c>
      <c r="K130" s="2" t="s">
        <v>151</v>
      </c>
      <c r="L130" s="2" t="s">
        <v>152</v>
      </c>
      <c r="M130" s="2" t="s">
        <v>158</v>
      </c>
      <c r="N130" s="2" t="str">
        <f>HYPERLINK("https://klocwork.dal.design.ti.com:443/review/insight-review.html#issuedetails_goto:problemid=8565,project=MCUSW_J7_KW_FULL,searchquery=taxonomy:'' build:RS-2022-10-06_06-07-58 grouping:off module:CddIpc","KW Issue Link")</f>
        <v>KW Issue Link</v>
      </c>
      <c r="O130" s="2" t="s">
        <v>266</v>
      </c>
      <c r="P130" s="2" t="s">
        <v>267</v>
      </c>
      <c r="Q130" s="2" t="s">
        <v>161</v>
      </c>
      <c r="R130" s="2" t="s">
        <v>268</v>
      </c>
      <c r="S130" s="2" t="s">
        <v>154</v>
      </c>
      <c r="T130" s="2"/>
    </row>
    <row r="131" spans="1:20" ht="105" x14ac:dyDescent="0.25">
      <c r="A131" s="2" t="s">
        <v>269</v>
      </c>
      <c r="B131" s="2" t="s">
        <v>270</v>
      </c>
      <c r="C131" s="2" t="s">
        <v>147</v>
      </c>
      <c r="D131" s="2">
        <v>8566</v>
      </c>
      <c r="E131" s="2">
        <v>779</v>
      </c>
      <c r="F131" s="2" t="s">
        <v>271</v>
      </c>
      <c r="G131" s="2" t="s">
        <v>195</v>
      </c>
      <c r="H131" s="2" t="s">
        <v>150</v>
      </c>
      <c r="I131" s="2" t="s">
        <v>123</v>
      </c>
      <c r="J131" s="2">
        <v>4</v>
      </c>
      <c r="K131" s="2" t="s">
        <v>151</v>
      </c>
      <c r="L131" s="2" t="s">
        <v>152</v>
      </c>
      <c r="M131" s="2" t="s">
        <v>153</v>
      </c>
      <c r="N131" s="2" t="str">
        <f>HYPERLINK("https://klocwork.dal.design.ti.com:443/review/insight-review.html#issuedetails_goto:problemid=8566,project=MCUSW_J7_KW_FULL,searchquery=taxonomy:'' build:RS-2022-10-06_06-07-58 grouping:off module:CddIpc","KW Issue Link")</f>
        <v>KW Issue Link</v>
      </c>
      <c r="O131" s="2"/>
      <c r="P131" s="2"/>
      <c r="Q131" s="2"/>
      <c r="R131" s="2"/>
      <c r="S131" s="2" t="s">
        <v>154</v>
      </c>
      <c r="T131" s="2"/>
    </row>
    <row r="132" spans="1:20" ht="105" x14ac:dyDescent="0.25">
      <c r="A132" s="2" t="s">
        <v>269</v>
      </c>
      <c r="B132" s="2" t="s">
        <v>270</v>
      </c>
      <c r="C132" s="2" t="s">
        <v>147</v>
      </c>
      <c r="D132" s="2">
        <v>8567</v>
      </c>
      <c r="E132" s="2">
        <v>805</v>
      </c>
      <c r="F132" s="2" t="s">
        <v>271</v>
      </c>
      <c r="G132" s="2" t="s">
        <v>272</v>
      </c>
      <c r="H132" s="2" t="s">
        <v>150</v>
      </c>
      <c r="I132" s="2" t="s">
        <v>123</v>
      </c>
      <c r="J132" s="2">
        <v>4</v>
      </c>
      <c r="K132" s="2" t="s">
        <v>151</v>
      </c>
      <c r="L132" s="2" t="s">
        <v>152</v>
      </c>
      <c r="M132" s="2" t="s">
        <v>153</v>
      </c>
      <c r="N132" s="2" t="str">
        <f>HYPERLINK("https://klocwork.dal.design.ti.com:443/review/insight-review.html#issuedetails_goto:problemid=8567,project=MCUSW_J7_KW_FULL,searchquery=taxonomy:'' build:RS-2022-10-06_06-07-58 grouping:off module:CddIpc","KW Issue Link")</f>
        <v>KW Issue Link</v>
      </c>
      <c r="O132" s="2"/>
      <c r="P132" s="2"/>
      <c r="Q132" s="2"/>
      <c r="R132" s="2"/>
      <c r="S132" s="2" t="s">
        <v>154</v>
      </c>
      <c r="T132" s="2"/>
    </row>
    <row r="133" spans="1:20" ht="165" x14ac:dyDescent="0.25">
      <c r="A133" s="2" t="s">
        <v>269</v>
      </c>
      <c r="B133" s="2" t="s">
        <v>270</v>
      </c>
      <c r="C133" s="2" t="s">
        <v>147</v>
      </c>
      <c r="D133" s="2">
        <v>8568</v>
      </c>
      <c r="E133" s="2">
        <v>867</v>
      </c>
      <c r="F133" s="2" t="s">
        <v>273</v>
      </c>
      <c r="G133" s="2" t="s">
        <v>175</v>
      </c>
      <c r="H133" s="2" t="s">
        <v>150</v>
      </c>
      <c r="I133" s="2" t="s">
        <v>123</v>
      </c>
      <c r="J133" s="2">
        <v>4</v>
      </c>
      <c r="K133" s="2" t="s">
        <v>151</v>
      </c>
      <c r="L133" s="2" t="s">
        <v>152</v>
      </c>
      <c r="M133" s="2" t="s">
        <v>153</v>
      </c>
      <c r="N133" s="2" t="str">
        <f>HYPERLINK("https://klocwork.dal.design.ti.com:443/review/insight-review.html#issuedetails_goto:problemid=8568,project=MCUSW_J7_KW_FULL,searchquery=taxonomy:'' build:RS-2022-10-06_06-07-58 grouping:off module:CddIpc","KW Issue Link")</f>
        <v>KW Issue Link</v>
      </c>
      <c r="O133" s="2"/>
      <c r="P133" s="2"/>
      <c r="Q133" s="2"/>
      <c r="R133" s="2"/>
      <c r="S133" s="2" t="s">
        <v>154</v>
      </c>
      <c r="T133" s="2"/>
    </row>
    <row r="134" spans="1:20" ht="150" x14ac:dyDescent="0.25">
      <c r="A134" s="2" t="s">
        <v>269</v>
      </c>
      <c r="B134" s="2" t="s">
        <v>270</v>
      </c>
      <c r="C134" s="2" t="s">
        <v>147</v>
      </c>
      <c r="D134" s="2">
        <v>8569</v>
      </c>
      <c r="E134" s="2">
        <v>869</v>
      </c>
      <c r="F134" s="2" t="s">
        <v>274</v>
      </c>
      <c r="G134" s="2" t="s">
        <v>175</v>
      </c>
      <c r="H134" s="2" t="s">
        <v>150</v>
      </c>
      <c r="I134" s="2" t="s">
        <v>123</v>
      </c>
      <c r="J134" s="2">
        <v>4</v>
      </c>
      <c r="K134" s="2" t="s">
        <v>151</v>
      </c>
      <c r="L134" s="2" t="s">
        <v>152</v>
      </c>
      <c r="M134" s="2" t="s">
        <v>153</v>
      </c>
      <c r="N134" s="2" t="str">
        <f>HYPERLINK("https://klocwork.dal.design.ti.com:443/review/insight-review.html#issuedetails_goto:problemid=8569,project=MCUSW_J7_KW_FULL,searchquery=taxonomy:'' build:RS-2022-10-06_06-07-58 grouping:off module:CddIpc","KW Issue Link")</f>
        <v>KW Issue Link</v>
      </c>
      <c r="O134" s="2"/>
      <c r="P134" s="2"/>
      <c r="Q134" s="2"/>
      <c r="R134" s="2"/>
      <c r="S134" s="2" t="s">
        <v>154</v>
      </c>
      <c r="T134" s="2"/>
    </row>
    <row r="135" spans="1:20" ht="135" x14ac:dyDescent="0.25">
      <c r="A135" s="2" t="s">
        <v>269</v>
      </c>
      <c r="B135" s="2" t="s">
        <v>270</v>
      </c>
      <c r="C135" s="2" t="s">
        <v>147</v>
      </c>
      <c r="D135" s="2">
        <v>8570</v>
      </c>
      <c r="E135" s="2">
        <v>870</v>
      </c>
      <c r="F135" s="2" t="s">
        <v>275</v>
      </c>
      <c r="G135" s="2" t="s">
        <v>175</v>
      </c>
      <c r="H135" s="2" t="s">
        <v>150</v>
      </c>
      <c r="I135" s="2" t="s">
        <v>123</v>
      </c>
      <c r="J135" s="2">
        <v>4</v>
      </c>
      <c r="K135" s="2" t="s">
        <v>151</v>
      </c>
      <c r="L135" s="2" t="s">
        <v>152</v>
      </c>
      <c r="M135" s="2" t="s">
        <v>153</v>
      </c>
      <c r="N135" s="2" t="str">
        <f>HYPERLINK("https://klocwork.dal.design.ti.com:443/review/insight-review.html#issuedetails_goto:problemid=8570,project=MCUSW_J7_KW_FULL,searchquery=taxonomy:'' build:RS-2022-10-06_06-07-58 grouping:off module:CddIpc","KW Issue Link")</f>
        <v>KW Issue Link</v>
      </c>
      <c r="O135" s="2"/>
      <c r="P135" s="2"/>
      <c r="Q135" s="2"/>
      <c r="R135" s="2"/>
      <c r="S135" s="2" t="s">
        <v>154</v>
      </c>
      <c r="T135" s="2"/>
    </row>
    <row r="136" spans="1:20" ht="165" x14ac:dyDescent="0.25">
      <c r="A136" s="2" t="s">
        <v>269</v>
      </c>
      <c r="B136" s="2" t="s">
        <v>270</v>
      </c>
      <c r="C136" s="2" t="s">
        <v>147</v>
      </c>
      <c r="D136" s="2">
        <v>8571</v>
      </c>
      <c r="E136" s="2">
        <v>872</v>
      </c>
      <c r="F136" s="2" t="s">
        <v>276</v>
      </c>
      <c r="G136" s="2" t="s">
        <v>175</v>
      </c>
      <c r="H136" s="2" t="s">
        <v>150</v>
      </c>
      <c r="I136" s="2" t="s">
        <v>123</v>
      </c>
      <c r="J136" s="2">
        <v>4</v>
      </c>
      <c r="K136" s="2" t="s">
        <v>151</v>
      </c>
      <c r="L136" s="2" t="s">
        <v>152</v>
      </c>
      <c r="M136" s="2" t="s">
        <v>153</v>
      </c>
      <c r="N136" s="2" t="str">
        <f>HYPERLINK("https://klocwork.dal.design.ti.com:443/review/insight-review.html#issuedetails_goto:problemid=8571,project=MCUSW_J7_KW_FULL,searchquery=taxonomy:'' build:RS-2022-10-06_06-07-58 grouping:off module:CddIpc","KW Issue Link")</f>
        <v>KW Issue Link</v>
      </c>
      <c r="O136" s="2"/>
      <c r="P136" s="2"/>
      <c r="Q136" s="2"/>
      <c r="R136" s="2"/>
      <c r="S136" s="2" t="s">
        <v>154</v>
      </c>
      <c r="T136" s="2"/>
    </row>
    <row r="137" spans="1:20" ht="105" x14ac:dyDescent="0.25">
      <c r="A137" s="2" t="s">
        <v>277</v>
      </c>
      <c r="B137" s="2" t="s">
        <v>278</v>
      </c>
      <c r="C137" s="2" t="s">
        <v>147</v>
      </c>
      <c r="D137" s="2">
        <v>8578</v>
      </c>
      <c r="E137" s="2">
        <v>878</v>
      </c>
      <c r="F137" s="2" t="s">
        <v>279</v>
      </c>
      <c r="G137" s="2" t="s">
        <v>175</v>
      </c>
      <c r="H137" s="2" t="s">
        <v>150</v>
      </c>
      <c r="I137" s="2" t="s">
        <v>88</v>
      </c>
      <c r="J137" s="2">
        <v>6</v>
      </c>
      <c r="K137" s="2" t="s">
        <v>151</v>
      </c>
      <c r="L137" s="2" t="s">
        <v>152</v>
      </c>
      <c r="M137" s="2" t="s">
        <v>153</v>
      </c>
      <c r="N137" s="2" t="str">
        <f>HYPERLINK("https://klocwork.dal.design.ti.com:443/review/insight-review.html#issuedetails_goto:problemid=8578,project=MCUSW_J7_KW_FULL,searchquery=taxonomy:'' build:RS-2022-10-06_06-07-58 grouping:off module:CddIpc","KW Issue Link")</f>
        <v>KW Issue Link</v>
      </c>
      <c r="O137" s="2" t="s">
        <v>280</v>
      </c>
      <c r="P137" s="2" t="s">
        <v>281</v>
      </c>
      <c r="Q137" s="2" t="s">
        <v>219</v>
      </c>
      <c r="R137" s="2" t="s">
        <v>282</v>
      </c>
      <c r="S137" s="2" t="s">
        <v>154</v>
      </c>
      <c r="T137" s="2" t="s">
        <v>283</v>
      </c>
    </row>
    <row r="138" spans="1:20" ht="105" x14ac:dyDescent="0.25">
      <c r="A138" s="2" t="s">
        <v>284</v>
      </c>
      <c r="B138" s="2" t="s">
        <v>285</v>
      </c>
      <c r="C138" s="2" t="s">
        <v>147</v>
      </c>
      <c r="D138" s="2">
        <v>8579</v>
      </c>
      <c r="E138" s="2">
        <v>880</v>
      </c>
      <c r="F138" s="2" t="s">
        <v>286</v>
      </c>
      <c r="G138" s="2" t="s">
        <v>175</v>
      </c>
      <c r="H138" s="2" t="s">
        <v>150</v>
      </c>
      <c r="I138" s="2" t="s">
        <v>88</v>
      </c>
      <c r="J138" s="2">
        <v>6</v>
      </c>
      <c r="K138" s="2" t="s">
        <v>151</v>
      </c>
      <c r="L138" s="2" t="s">
        <v>152</v>
      </c>
      <c r="M138" s="2" t="s">
        <v>153</v>
      </c>
      <c r="N138" s="2" t="str">
        <f>HYPERLINK("https://klocwork.dal.design.ti.com:443/review/insight-review.html#issuedetails_goto:problemid=8579,project=MCUSW_J7_KW_FULL,searchquery=taxonomy:'' build:RS-2022-10-06_06-07-58 grouping:off module:CddIpc","KW Issue Link")</f>
        <v>KW Issue Link</v>
      </c>
      <c r="O138" s="2" t="s">
        <v>287</v>
      </c>
      <c r="P138" s="2" t="s">
        <v>281</v>
      </c>
      <c r="Q138" s="2" t="s">
        <v>219</v>
      </c>
      <c r="R138" s="2" t="s">
        <v>288</v>
      </c>
      <c r="S138" s="2" t="s">
        <v>154</v>
      </c>
      <c r="T138" s="2" t="s">
        <v>289</v>
      </c>
    </row>
    <row r="139" spans="1:20" ht="105" x14ac:dyDescent="0.25">
      <c r="A139" s="2" t="s">
        <v>290</v>
      </c>
      <c r="B139" s="2" t="s">
        <v>291</v>
      </c>
      <c r="C139" s="2" t="s">
        <v>147</v>
      </c>
      <c r="D139" s="2">
        <v>8580</v>
      </c>
      <c r="E139" s="2">
        <v>891</v>
      </c>
      <c r="F139" s="2" t="s">
        <v>292</v>
      </c>
      <c r="G139" s="2" t="s">
        <v>175</v>
      </c>
      <c r="H139" s="2" t="s">
        <v>150</v>
      </c>
      <c r="I139" s="2" t="s">
        <v>123</v>
      </c>
      <c r="J139" s="2">
        <v>4</v>
      </c>
      <c r="K139" s="2" t="s">
        <v>151</v>
      </c>
      <c r="L139" s="2" t="s">
        <v>152</v>
      </c>
      <c r="M139" s="2" t="s">
        <v>153</v>
      </c>
      <c r="N139" s="2" t="str">
        <f>HYPERLINK("https://klocwork.dal.design.ti.com:443/review/insight-review.html#issuedetails_goto:problemid=8580,project=MCUSW_J7_KW_FULL,searchquery=taxonomy:'' build:RS-2022-10-06_06-07-58 grouping:off module:CddIpc","KW Issue Link")</f>
        <v>KW Issue Link</v>
      </c>
      <c r="O139" s="2"/>
      <c r="P139" s="2"/>
      <c r="Q139" s="2"/>
      <c r="R139" s="2"/>
      <c r="S139" s="2" t="s">
        <v>154</v>
      </c>
      <c r="T139" s="2"/>
    </row>
    <row r="140" spans="1:20" ht="105" x14ac:dyDescent="0.25">
      <c r="A140" s="2" t="s">
        <v>290</v>
      </c>
      <c r="B140" s="2" t="s">
        <v>291</v>
      </c>
      <c r="C140" s="2" t="s">
        <v>147</v>
      </c>
      <c r="D140" s="2">
        <v>8581</v>
      </c>
      <c r="E140" s="2">
        <v>893</v>
      </c>
      <c r="F140" s="2" t="s">
        <v>293</v>
      </c>
      <c r="G140" s="2" t="s">
        <v>175</v>
      </c>
      <c r="H140" s="2" t="s">
        <v>150</v>
      </c>
      <c r="I140" s="2" t="s">
        <v>123</v>
      </c>
      <c r="J140" s="2">
        <v>4</v>
      </c>
      <c r="K140" s="2" t="s">
        <v>151</v>
      </c>
      <c r="L140" s="2" t="s">
        <v>152</v>
      </c>
      <c r="M140" s="2" t="s">
        <v>153</v>
      </c>
      <c r="N140" s="2" t="str">
        <f>HYPERLINK("https://klocwork.dal.design.ti.com:443/review/insight-review.html#issuedetails_goto:problemid=8581,project=MCUSW_J7_KW_FULL,searchquery=taxonomy:'' build:RS-2022-10-06_06-07-58 grouping:off module:CddIpc","KW Issue Link")</f>
        <v>KW Issue Link</v>
      </c>
      <c r="O140" s="2"/>
      <c r="P140" s="2"/>
      <c r="Q140" s="2"/>
      <c r="R140" s="2"/>
      <c r="S140" s="2" t="s">
        <v>154</v>
      </c>
      <c r="T140" s="2"/>
    </row>
    <row r="141" spans="1:20" ht="105" x14ac:dyDescent="0.25">
      <c r="A141" s="2" t="s">
        <v>290</v>
      </c>
      <c r="B141" s="2" t="s">
        <v>291</v>
      </c>
      <c r="C141" s="2" t="s">
        <v>147</v>
      </c>
      <c r="D141" s="2">
        <v>8582</v>
      </c>
      <c r="E141" s="2">
        <v>1005</v>
      </c>
      <c r="F141" s="2" t="s">
        <v>294</v>
      </c>
      <c r="G141" s="2" t="s">
        <v>178</v>
      </c>
      <c r="H141" s="2" t="s">
        <v>150</v>
      </c>
      <c r="I141" s="2" t="s">
        <v>123</v>
      </c>
      <c r="J141" s="2">
        <v>4</v>
      </c>
      <c r="K141" s="2" t="s">
        <v>151</v>
      </c>
      <c r="L141" s="2" t="s">
        <v>152</v>
      </c>
      <c r="M141" s="2" t="s">
        <v>153</v>
      </c>
      <c r="N141" s="2" t="str">
        <f>HYPERLINK("https://klocwork.dal.design.ti.com:443/review/insight-review.html#issuedetails_goto:problemid=8582,project=MCUSW_J7_KW_FULL,searchquery=taxonomy:'' build:RS-2022-10-06_06-07-58 grouping:off module:CddIpc","KW Issue Link")</f>
        <v>KW Issue Link</v>
      </c>
      <c r="O141" s="2"/>
      <c r="P141" s="2"/>
      <c r="Q141" s="2"/>
      <c r="R141" s="2"/>
      <c r="S141" s="2" t="s">
        <v>154</v>
      </c>
      <c r="T141" s="2"/>
    </row>
    <row r="142" spans="1:20" ht="105" x14ac:dyDescent="0.25">
      <c r="A142" s="2" t="s">
        <v>295</v>
      </c>
      <c r="B142" s="2" t="s">
        <v>296</v>
      </c>
      <c r="C142" s="2" t="s">
        <v>297</v>
      </c>
      <c r="D142" s="2">
        <v>8583</v>
      </c>
      <c r="E142" s="2">
        <v>110</v>
      </c>
      <c r="F142" s="2" t="s">
        <v>298</v>
      </c>
      <c r="G142" s="2" t="s">
        <v>299</v>
      </c>
      <c r="H142" s="2" t="s">
        <v>150</v>
      </c>
      <c r="I142" s="2" t="s">
        <v>123</v>
      </c>
      <c r="J142" s="2">
        <v>4</v>
      </c>
      <c r="K142" s="2" t="s">
        <v>151</v>
      </c>
      <c r="L142" s="2" t="s">
        <v>152</v>
      </c>
      <c r="M142" s="2" t="s">
        <v>153</v>
      </c>
      <c r="N142" s="2" t="str">
        <f>HYPERLINK("https://klocwork.dal.design.ti.com:443/review/insight-review.html#issuedetails_goto:problemid=8583,project=MCUSW_J7_KW_FULL,searchquery=taxonomy:'' build:RS-2022-10-06_06-07-58 grouping:off module:CddIpc","KW Issue Link")</f>
        <v>KW Issue Link</v>
      </c>
      <c r="O142" s="2"/>
      <c r="P142" s="2"/>
      <c r="Q142" s="2"/>
      <c r="R142" s="2"/>
      <c r="S142" s="2" t="s">
        <v>154</v>
      </c>
      <c r="T142" s="2"/>
    </row>
    <row r="143" spans="1:20" ht="105" x14ac:dyDescent="0.25">
      <c r="A143" s="2" t="s">
        <v>145</v>
      </c>
      <c r="B143" s="2" t="s">
        <v>146</v>
      </c>
      <c r="C143" s="2" t="s">
        <v>300</v>
      </c>
      <c r="D143" s="2">
        <v>8590</v>
      </c>
      <c r="E143" s="2">
        <v>1</v>
      </c>
      <c r="F143" s="2" t="s">
        <v>148</v>
      </c>
      <c r="G143" s="2" t="s">
        <v>301</v>
      </c>
      <c r="H143" s="2" t="s">
        <v>150</v>
      </c>
      <c r="I143" s="2" t="s">
        <v>123</v>
      </c>
      <c r="J143" s="2">
        <v>4</v>
      </c>
      <c r="K143" s="2" t="s">
        <v>151</v>
      </c>
      <c r="L143" s="2" t="s">
        <v>152</v>
      </c>
      <c r="M143" s="2" t="s">
        <v>153</v>
      </c>
      <c r="N143" s="2" t="str">
        <f>HYPERLINK("https://klocwork.dal.design.ti.com:443/review/insight-review.html#issuedetails_goto:problemid=8590,project=MCUSW_J7_KW_FULL,searchquery=taxonomy:'' build:RS-2022-10-06_06-07-58 grouping:off module:CddIpc","KW Issue Link")</f>
        <v>KW Issue Link</v>
      </c>
      <c r="O143" s="2"/>
      <c r="P143" s="2"/>
      <c r="Q143" s="2"/>
      <c r="R143" s="2"/>
      <c r="S143" s="2" t="s">
        <v>154</v>
      </c>
      <c r="T143" s="2"/>
    </row>
    <row r="144" spans="1:20" ht="105" x14ac:dyDescent="0.25">
      <c r="A144" s="2" t="s">
        <v>155</v>
      </c>
      <c r="B144" s="2" t="s">
        <v>156</v>
      </c>
      <c r="C144" s="2" t="s">
        <v>300</v>
      </c>
      <c r="D144" s="2">
        <v>8592</v>
      </c>
      <c r="E144" s="2">
        <v>121</v>
      </c>
      <c r="F144" s="2" t="s">
        <v>157</v>
      </c>
      <c r="G144" s="2" t="s">
        <v>301</v>
      </c>
      <c r="H144" s="2" t="s">
        <v>150</v>
      </c>
      <c r="I144" s="2" t="s">
        <v>89</v>
      </c>
      <c r="J144" s="2">
        <v>7</v>
      </c>
      <c r="K144" s="2" t="s">
        <v>151</v>
      </c>
      <c r="L144" s="2" t="s">
        <v>152</v>
      </c>
      <c r="M144" s="2" t="s">
        <v>158</v>
      </c>
      <c r="N144" s="2" t="str">
        <f>HYPERLINK("https://klocwork.dal.design.ti.com:443/review/insight-review.html#issuedetails_goto:problemid=8592,project=MCUSW_J7_KW_FULL,searchquery=taxonomy:'' build:RS-2022-10-06_06-07-58 grouping:off module:CddIpc","KW Issue Link")</f>
        <v>KW Issue Link</v>
      </c>
      <c r="O144" s="2" t="s">
        <v>159</v>
      </c>
      <c r="P144" s="2" t="s">
        <v>160</v>
      </c>
      <c r="Q144" s="2" t="s">
        <v>161</v>
      </c>
      <c r="R144" s="2" t="s">
        <v>162</v>
      </c>
      <c r="S144" s="2" t="s">
        <v>154</v>
      </c>
      <c r="T144" s="2"/>
    </row>
    <row r="145" spans="1:20" ht="120" x14ac:dyDescent="0.25">
      <c r="A145" s="2" t="s">
        <v>302</v>
      </c>
      <c r="B145" s="2" t="s">
        <v>303</v>
      </c>
      <c r="C145" s="2" t="s">
        <v>304</v>
      </c>
      <c r="D145" s="2">
        <v>8593</v>
      </c>
      <c r="E145" s="2">
        <v>1</v>
      </c>
      <c r="F145" s="2" t="s">
        <v>305</v>
      </c>
      <c r="G145" s="2" t="s">
        <v>306</v>
      </c>
      <c r="H145" s="2" t="s">
        <v>150</v>
      </c>
      <c r="I145" s="2" t="s">
        <v>123</v>
      </c>
      <c r="J145" s="2">
        <v>4</v>
      </c>
      <c r="K145" s="2" t="s">
        <v>151</v>
      </c>
      <c r="L145" s="2" t="s">
        <v>152</v>
      </c>
      <c r="M145" s="2" t="s">
        <v>153</v>
      </c>
      <c r="N145" s="2" t="str">
        <f>HYPERLINK("https://klocwork.dal.design.ti.com:443/review/insight-review.html#issuedetails_goto:problemid=8593,project=MCUSW_J7_KW_FULL,searchquery=taxonomy:'' build:RS-2022-10-06_06-07-58 grouping:off module:CddIpc","KW Issue Link")</f>
        <v>KW Issue Link</v>
      </c>
      <c r="O145" s="2"/>
      <c r="P145" s="2"/>
      <c r="Q145" s="2"/>
      <c r="R145" s="2"/>
      <c r="S145" s="2" t="s">
        <v>154</v>
      </c>
      <c r="T145" s="2"/>
    </row>
    <row r="146" spans="1:20" ht="120" x14ac:dyDescent="0.25">
      <c r="A146" s="2" t="s">
        <v>145</v>
      </c>
      <c r="B146" s="2" t="s">
        <v>146</v>
      </c>
      <c r="C146" s="2" t="s">
        <v>304</v>
      </c>
      <c r="D146" s="2">
        <v>8594</v>
      </c>
      <c r="E146" s="2">
        <v>1</v>
      </c>
      <c r="F146" s="2" t="s">
        <v>148</v>
      </c>
      <c r="G146" s="2" t="s">
        <v>306</v>
      </c>
      <c r="H146" s="2" t="s">
        <v>150</v>
      </c>
      <c r="I146" s="2" t="s">
        <v>123</v>
      </c>
      <c r="J146" s="2">
        <v>4</v>
      </c>
      <c r="K146" s="2" t="s">
        <v>151</v>
      </c>
      <c r="L146" s="2" t="s">
        <v>152</v>
      </c>
      <c r="M146" s="2" t="s">
        <v>153</v>
      </c>
      <c r="N146" s="2" t="str">
        <f>HYPERLINK("https://klocwork.dal.design.ti.com:443/review/insight-review.html#issuedetails_goto:problemid=8594,project=MCUSW_J7_KW_FULL,searchquery=taxonomy:'' build:RS-2022-10-06_06-07-58 grouping:off module:CddIpc","KW Issue Link")</f>
        <v>KW Issue Link</v>
      </c>
      <c r="O146" s="2"/>
      <c r="P146" s="2"/>
      <c r="Q146" s="2"/>
      <c r="R146" s="2"/>
      <c r="S146" s="2" t="s">
        <v>154</v>
      </c>
      <c r="T146" s="2"/>
    </row>
    <row r="147" spans="1:20" ht="120" x14ac:dyDescent="0.25">
      <c r="A147" s="2" t="s">
        <v>307</v>
      </c>
      <c r="B147" s="2" t="s">
        <v>308</v>
      </c>
      <c r="C147" s="2" t="s">
        <v>304</v>
      </c>
      <c r="D147" s="2">
        <v>8595</v>
      </c>
      <c r="E147" s="2">
        <v>79</v>
      </c>
      <c r="F147" s="2" t="s">
        <v>309</v>
      </c>
      <c r="G147" s="2" t="s">
        <v>306</v>
      </c>
      <c r="H147" s="2" t="s">
        <v>150</v>
      </c>
      <c r="I147" s="2" t="s">
        <v>88</v>
      </c>
      <c r="J147" s="2">
        <v>6</v>
      </c>
      <c r="K147" s="2" t="s">
        <v>151</v>
      </c>
      <c r="L147" s="2" t="s">
        <v>152</v>
      </c>
      <c r="M147" s="2" t="s">
        <v>158</v>
      </c>
      <c r="N147" s="2" t="str">
        <f>HYPERLINK("https://klocwork.dal.design.ti.com:443/review/insight-review.html#issuedetails_goto:problemid=8595,project=MCUSW_J7_KW_FULL,searchquery=taxonomy:'' build:RS-2022-10-06_06-07-58 grouping:off module:CddIpc","KW Issue Link")</f>
        <v>KW Issue Link</v>
      </c>
      <c r="O147" s="2"/>
      <c r="P147" s="2"/>
      <c r="Q147" s="2"/>
      <c r="R147" s="2"/>
      <c r="S147" s="2" t="s">
        <v>154</v>
      </c>
      <c r="T147" s="2"/>
    </row>
    <row r="148" spans="1:20" ht="120" x14ac:dyDescent="0.25">
      <c r="A148" s="2" t="s">
        <v>307</v>
      </c>
      <c r="B148" s="2" t="s">
        <v>308</v>
      </c>
      <c r="C148" s="2" t="s">
        <v>304</v>
      </c>
      <c r="D148" s="2">
        <v>8596</v>
      </c>
      <c r="E148" s="2">
        <v>127</v>
      </c>
      <c r="F148" s="2" t="s">
        <v>310</v>
      </c>
      <c r="G148" s="2" t="s">
        <v>306</v>
      </c>
      <c r="H148" s="2" t="s">
        <v>150</v>
      </c>
      <c r="I148" s="2" t="s">
        <v>88</v>
      </c>
      <c r="J148" s="2">
        <v>6</v>
      </c>
      <c r="K148" s="2" t="s">
        <v>151</v>
      </c>
      <c r="L148" s="2" t="s">
        <v>152</v>
      </c>
      <c r="M148" s="2" t="s">
        <v>158</v>
      </c>
      <c r="N148" s="2" t="str">
        <f>HYPERLINK("https://klocwork.dal.design.ti.com:443/review/insight-review.html#issuedetails_goto:problemid=8596,project=MCUSW_J7_KW_FULL,searchquery=taxonomy:'' build:RS-2022-10-06_06-07-58 grouping:off module:CddIpc","KW Issue Link")</f>
        <v>KW Issue Link</v>
      </c>
      <c r="O148" s="2"/>
      <c r="P148" s="2"/>
      <c r="Q148" s="2"/>
      <c r="R148" s="2"/>
      <c r="S148" s="2" t="s">
        <v>154</v>
      </c>
      <c r="T148" s="2"/>
    </row>
    <row r="149" spans="1:20" ht="120" x14ac:dyDescent="0.25">
      <c r="A149" s="2" t="s">
        <v>295</v>
      </c>
      <c r="B149" s="2" t="s">
        <v>296</v>
      </c>
      <c r="C149" s="2" t="s">
        <v>304</v>
      </c>
      <c r="D149" s="2">
        <v>8604</v>
      </c>
      <c r="E149" s="2">
        <v>131</v>
      </c>
      <c r="F149" s="2" t="s">
        <v>298</v>
      </c>
      <c r="G149" s="2" t="s">
        <v>306</v>
      </c>
      <c r="H149" s="2" t="s">
        <v>150</v>
      </c>
      <c r="I149" s="2" t="s">
        <v>123</v>
      </c>
      <c r="J149" s="2">
        <v>4</v>
      </c>
      <c r="K149" s="2" t="s">
        <v>151</v>
      </c>
      <c r="L149" s="2" t="s">
        <v>152</v>
      </c>
      <c r="M149" s="2" t="s">
        <v>153</v>
      </c>
      <c r="N149" s="2" t="str">
        <f>HYPERLINK("https://klocwork.dal.design.ti.com:443/review/insight-review.html#issuedetails_goto:problemid=8604,project=MCUSW_J7_KW_FULL,searchquery=taxonomy:'' build:RS-2022-10-06_06-07-58 grouping:off module:CddIpc","KW Issue Link")</f>
        <v>KW Issue Link</v>
      </c>
      <c r="O149" s="2"/>
      <c r="P149" s="2"/>
      <c r="Q149" s="2"/>
      <c r="R149" s="2"/>
      <c r="S149" s="2" t="s">
        <v>154</v>
      </c>
      <c r="T149" s="2"/>
    </row>
    <row r="150" spans="1:20" ht="120" x14ac:dyDescent="0.25">
      <c r="A150" s="2" t="s">
        <v>295</v>
      </c>
      <c r="B150" s="2" t="s">
        <v>296</v>
      </c>
      <c r="C150" s="2" t="s">
        <v>304</v>
      </c>
      <c r="D150" s="2">
        <v>8605</v>
      </c>
      <c r="E150" s="2">
        <v>160</v>
      </c>
      <c r="F150" s="2" t="s">
        <v>298</v>
      </c>
      <c r="G150" s="2" t="s">
        <v>306</v>
      </c>
      <c r="H150" s="2" t="s">
        <v>150</v>
      </c>
      <c r="I150" s="2" t="s">
        <v>123</v>
      </c>
      <c r="J150" s="2">
        <v>4</v>
      </c>
      <c r="K150" s="2" t="s">
        <v>151</v>
      </c>
      <c r="L150" s="2" t="s">
        <v>152</v>
      </c>
      <c r="M150" s="2" t="s">
        <v>153</v>
      </c>
      <c r="N150" s="2" t="str">
        <f>HYPERLINK("https://klocwork.dal.design.ti.com:443/review/insight-review.html#issuedetails_goto:problemid=8605,project=MCUSW_J7_KW_FULL,searchquery=taxonomy:'' build:RS-2022-10-06_06-07-58 grouping:off module:CddIpc","KW Issue Link")</f>
        <v>KW Issue Link</v>
      </c>
      <c r="O150" s="2"/>
      <c r="P150" s="2"/>
      <c r="Q150" s="2"/>
      <c r="R150" s="2"/>
      <c r="S150" s="2" t="s">
        <v>154</v>
      </c>
      <c r="T150" s="2"/>
    </row>
    <row r="151" spans="1:20" ht="120" x14ac:dyDescent="0.25">
      <c r="A151" s="2" t="s">
        <v>258</v>
      </c>
      <c r="B151" s="2" t="s">
        <v>259</v>
      </c>
      <c r="C151" s="2" t="s">
        <v>304</v>
      </c>
      <c r="D151" s="2">
        <v>8614</v>
      </c>
      <c r="E151" s="2">
        <v>227</v>
      </c>
      <c r="F151" s="2" t="s">
        <v>311</v>
      </c>
      <c r="G151" s="2" t="s">
        <v>306</v>
      </c>
      <c r="H151" s="2" t="s">
        <v>150</v>
      </c>
      <c r="I151" s="2" t="s">
        <v>89</v>
      </c>
      <c r="J151" s="2">
        <v>7</v>
      </c>
      <c r="K151" s="2" t="s">
        <v>151</v>
      </c>
      <c r="L151" s="2" t="s">
        <v>152</v>
      </c>
      <c r="M151" s="2" t="s">
        <v>158</v>
      </c>
      <c r="N151" s="2" t="str">
        <f>HYPERLINK("https://klocwork.dal.design.ti.com:443/review/insight-review.html#issuedetails_goto:problemid=8614,project=MCUSW_J7_KW_FULL,searchquery=taxonomy:'' build:RS-2022-10-06_06-07-58 grouping:off module:CddIpc","KW Issue Link")</f>
        <v>KW Issue Link</v>
      </c>
      <c r="O151" s="2" t="s">
        <v>261</v>
      </c>
      <c r="P151" s="2" t="s">
        <v>204</v>
      </c>
      <c r="Q151" s="2" t="s">
        <v>161</v>
      </c>
      <c r="R151" s="2" t="s">
        <v>262</v>
      </c>
      <c r="S151" s="2" t="s">
        <v>154</v>
      </c>
      <c r="T151" s="2"/>
    </row>
    <row r="152" spans="1:20" ht="120" x14ac:dyDescent="0.25">
      <c r="A152" s="2" t="s">
        <v>258</v>
      </c>
      <c r="B152" s="2" t="s">
        <v>259</v>
      </c>
      <c r="C152" s="2" t="s">
        <v>304</v>
      </c>
      <c r="D152" s="2">
        <v>8615</v>
      </c>
      <c r="E152" s="2">
        <v>564</v>
      </c>
      <c r="F152" s="2" t="s">
        <v>312</v>
      </c>
      <c r="G152" s="2" t="s">
        <v>306</v>
      </c>
      <c r="H152" s="2" t="s">
        <v>150</v>
      </c>
      <c r="I152" s="2" t="s">
        <v>89</v>
      </c>
      <c r="J152" s="2">
        <v>7</v>
      </c>
      <c r="K152" s="2" t="s">
        <v>151</v>
      </c>
      <c r="L152" s="2" t="s">
        <v>152</v>
      </c>
      <c r="M152" s="2" t="s">
        <v>158</v>
      </c>
      <c r="N152" s="2" t="str">
        <f>HYPERLINK("https://klocwork.dal.design.ti.com:443/review/insight-review.html#issuedetails_goto:problemid=8615,project=MCUSW_J7_KW_FULL,searchquery=taxonomy:'' build:RS-2022-10-06_06-07-58 grouping:off module:CddIpc","KW Issue Link")</f>
        <v>KW Issue Link</v>
      </c>
      <c r="O152" s="2" t="s">
        <v>261</v>
      </c>
      <c r="P152" s="2" t="s">
        <v>204</v>
      </c>
      <c r="Q152" s="2" t="s">
        <v>161</v>
      </c>
      <c r="R152" s="2" t="s">
        <v>262</v>
      </c>
      <c r="S152" s="2" t="s">
        <v>154</v>
      </c>
      <c r="T152" s="2"/>
    </row>
    <row r="153" spans="1:20" ht="120" x14ac:dyDescent="0.25">
      <c r="A153" s="2" t="s">
        <v>258</v>
      </c>
      <c r="B153" s="2" t="s">
        <v>259</v>
      </c>
      <c r="C153" s="2" t="s">
        <v>304</v>
      </c>
      <c r="D153" s="2">
        <v>8616</v>
      </c>
      <c r="E153" s="2">
        <v>948</v>
      </c>
      <c r="F153" s="2" t="s">
        <v>313</v>
      </c>
      <c r="G153" s="2" t="s">
        <v>306</v>
      </c>
      <c r="H153" s="2" t="s">
        <v>150</v>
      </c>
      <c r="I153" s="2" t="s">
        <v>89</v>
      </c>
      <c r="J153" s="2">
        <v>7</v>
      </c>
      <c r="K153" s="2" t="s">
        <v>151</v>
      </c>
      <c r="L153" s="2" t="s">
        <v>152</v>
      </c>
      <c r="M153" s="2" t="s">
        <v>158</v>
      </c>
      <c r="N153" s="2" t="str">
        <f>HYPERLINK("https://klocwork.dal.design.ti.com:443/review/insight-review.html#issuedetails_goto:problemid=8616,project=MCUSW_J7_KW_FULL,searchquery=taxonomy:'' build:RS-2022-10-06_06-07-58 grouping:off module:CddIpc","KW Issue Link")</f>
        <v>KW Issue Link</v>
      </c>
      <c r="O153" s="2" t="s">
        <v>261</v>
      </c>
      <c r="P153" s="2" t="s">
        <v>204</v>
      </c>
      <c r="Q153" s="2" t="s">
        <v>161</v>
      </c>
      <c r="R153" s="2" t="s">
        <v>262</v>
      </c>
      <c r="S153" s="2" t="s">
        <v>154</v>
      </c>
      <c r="T153" s="2"/>
    </row>
    <row r="154" spans="1:20" ht="120" x14ac:dyDescent="0.25">
      <c r="A154" s="2" t="s">
        <v>258</v>
      </c>
      <c r="B154" s="2" t="s">
        <v>259</v>
      </c>
      <c r="C154" s="2" t="s">
        <v>304</v>
      </c>
      <c r="D154" s="2">
        <v>8617</v>
      </c>
      <c r="E154" s="2">
        <v>1071</v>
      </c>
      <c r="F154" s="2" t="s">
        <v>313</v>
      </c>
      <c r="G154" s="2" t="s">
        <v>306</v>
      </c>
      <c r="H154" s="2" t="s">
        <v>150</v>
      </c>
      <c r="I154" s="2" t="s">
        <v>89</v>
      </c>
      <c r="J154" s="2">
        <v>7</v>
      </c>
      <c r="K154" s="2" t="s">
        <v>151</v>
      </c>
      <c r="L154" s="2" t="s">
        <v>152</v>
      </c>
      <c r="M154" s="2" t="s">
        <v>158</v>
      </c>
      <c r="N154" s="2" t="str">
        <f>HYPERLINK("https://klocwork.dal.design.ti.com:443/review/insight-review.html#issuedetails_goto:problemid=8617,project=MCUSW_J7_KW_FULL,searchquery=taxonomy:'' build:RS-2022-10-06_06-07-58 grouping:off module:CddIpc","KW Issue Link")</f>
        <v>KW Issue Link</v>
      </c>
      <c r="O154" s="2" t="s">
        <v>261</v>
      </c>
      <c r="P154" s="2" t="s">
        <v>204</v>
      </c>
      <c r="Q154" s="2" t="s">
        <v>161</v>
      </c>
      <c r="R154" s="2" t="s">
        <v>262</v>
      </c>
      <c r="S154" s="2" t="s">
        <v>154</v>
      </c>
      <c r="T154" s="2"/>
    </row>
    <row r="155" spans="1:20" ht="120" x14ac:dyDescent="0.25">
      <c r="A155" s="2" t="s">
        <v>258</v>
      </c>
      <c r="B155" s="2" t="s">
        <v>259</v>
      </c>
      <c r="C155" s="2" t="s">
        <v>304</v>
      </c>
      <c r="D155" s="2">
        <v>8618</v>
      </c>
      <c r="E155" s="2">
        <v>1291</v>
      </c>
      <c r="F155" s="2" t="s">
        <v>314</v>
      </c>
      <c r="G155" s="2" t="s">
        <v>306</v>
      </c>
      <c r="H155" s="2" t="s">
        <v>150</v>
      </c>
      <c r="I155" s="2" t="s">
        <v>89</v>
      </c>
      <c r="J155" s="2">
        <v>7</v>
      </c>
      <c r="K155" s="2" t="s">
        <v>151</v>
      </c>
      <c r="L155" s="2" t="s">
        <v>152</v>
      </c>
      <c r="M155" s="2" t="s">
        <v>158</v>
      </c>
      <c r="N155" s="2" t="str">
        <f>HYPERLINK("https://klocwork.dal.design.ti.com:443/review/insight-review.html#issuedetails_goto:problemid=8618,project=MCUSW_J7_KW_FULL,searchquery=taxonomy:'' build:RS-2022-10-06_06-07-58 grouping:off module:CddIpc","KW Issue Link")</f>
        <v>KW Issue Link</v>
      </c>
      <c r="O155" s="2" t="s">
        <v>261</v>
      </c>
      <c r="P155" s="2" t="s">
        <v>204</v>
      </c>
      <c r="Q155" s="2" t="s">
        <v>161</v>
      </c>
      <c r="R155" s="2" t="s">
        <v>262</v>
      </c>
      <c r="S155" s="2" t="s">
        <v>154</v>
      </c>
      <c r="T155" s="2"/>
    </row>
    <row r="156" spans="1:20" ht="120" x14ac:dyDescent="0.25">
      <c r="A156" s="2" t="s">
        <v>258</v>
      </c>
      <c r="B156" s="2" t="s">
        <v>259</v>
      </c>
      <c r="C156" s="2" t="s">
        <v>304</v>
      </c>
      <c r="D156" s="2">
        <v>8619</v>
      </c>
      <c r="E156" s="2">
        <v>1422</v>
      </c>
      <c r="F156" s="2" t="s">
        <v>315</v>
      </c>
      <c r="G156" s="2" t="s">
        <v>306</v>
      </c>
      <c r="H156" s="2" t="s">
        <v>150</v>
      </c>
      <c r="I156" s="2" t="s">
        <v>89</v>
      </c>
      <c r="J156" s="2">
        <v>7</v>
      </c>
      <c r="K156" s="2" t="s">
        <v>151</v>
      </c>
      <c r="L156" s="2" t="s">
        <v>152</v>
      </c>
      <c r="M156" s="2" t="s">
        <v>158</v>
      </c>
      <c r="N156" s="2" t="str">
        <f>HYPERLINK("https://klocwork.dal.design.ti.com:443/review/insight-review.html#issuedetails_goto:problemid=8619,project=MCUSW_J7_KW_FULL,searchquery=taxonomy:'' build:RS-2022-10-06_06-07-58 grouping:off module:CddIpc","KW Issue Link")</f>
        <v>KW Issue Link</v>
      </c>
      <c r="O156" s="2" t="s">
        <v>261</v>
      </c>
      <c r="P156" s="2" t="s">
        <v>204</v>
      </c>
      <c r="Q156" s="2" t="s">
        <v>161</v>
      </c>
      <c r="R156" s="2" t="s">
        <v>262</v>
      </c>
      <c r="S156" s="2" t="s">
        <v>154</v>
      </c>
      <c r="T156" s="2"/>
    </row>
    <row r="157" spans="1:20" ht="120" x14ac:dyDescent="0.25">
      <c r="A157" s="2" t="s">
        <v>316</v>
      </c>
      <c r="B157" s="2" t="s">
        <v>317</v>
      </c>
      <c r="C157" s="2" t="s">
        <v>304</v>
      </c>
      <c r="D157" s="2">
        <v>8620</v>
      </c>
      <c r="E157" s="2">
        <v>229</v>
      </c>
      <c r="F157" s="2" t="s">
        <v>318</v>
      </c>
      <c r="G157" s="2" t="s">
        <v>319</v>
      </c>
      <c r="H157" s="2" t="s">
        <v>150</v>
      </c>
      <c r="I157" s="2" t="s">
        <v>89</v>
      </c>
      <c r="J157" s="2">
        <v>7</v>
      </c>
      <c r="K157" s="2" t="s">
        <v>151</v>
      </c>
      <c r="L157" s="2" t="s">
        <v>152</v>
      </c>
      <c r="M157" s="2" t="s">
        <v>158</v>
      </c>
      <c r="N157" s="2" t="str">
        <f>HYPERLINK("https://klocwork.dal.design.ti.com:443/review/insight-review.html#issuedetails_goto:problemid=8620,project=MCUSW_J7_KW_FULL,searchquery=taxonomy:'' build:RS-2022-10-06_06-07-58 grouping:off module:CddIpc","KW Issue Link")</f>
        <v>KW Issue Link</v>
      </c>
      <c r="O157" s="2" t="s">
        <v>320</v>
      </c>
      <c r="P157" s="2" t="s">
        <v>321</v>
      </c>
      <c r="Q157" s="2" t="s">
        <v>161</v>
      </c>
      <c r="R157" s="2" t="s">
        <v>322</v>
      </c>
      <c r="S157" s="2" t="s">
        <v>154</v>
      </c>
      <c r="T157" s="2"/>
    </row>
    <row r="158" spans="1:20" ht="120" x14ac:dyDescent="0.25">
      <c r="A158" s="2" t="s">
        <v>316</v>
      </c>
      <c r="B158" s="2" t="s">
        <v>317</v>
      </c>
      <c r="C158" s="2" t="s">
        <v>304</v>
      </c>
      <c r="D158" s="2">
        <v>8621</v>
      </c>
      <c r="E158" s="2">
        <v>234</v>
      </c>
      <c r="F158" s="2" t="s">
        <v>318</v>
      </c>
      <c r="G158" s="2" t="s">
        <v>323</v>
      </c>
      <c r="H158" s="2" t="s">
        <v>150</v>
      </c>
      <c r="I158" s="2" t="s">
        <v>89</v>
      </c>
      <c r="J158" s="2">
        <v>7</v>
      </c>
      <c r="K158" s="2" t="s">
        <v>151</v>
      </c>
      <c r="L158" s="2" t="s">
        <v>152</v>
      </c>
      <c r="M158" s="2" t="s">
        <v>158</v>
      </c>
      <c r="N158" s="2" t="str">
        <f>HYPERLINK("https://klocwork.dal.design.ti.com:443/review/insight-review.html#issuedetails_goto:problemid=8621,project=MCUSW_J7_KW_FULL,searchquery=taxonomy:'' build:RS-2022-10-06_06-07-58 grouping:off module:CddIpc","KW Issue Link")</f>
        <v>KW Issue Link</v>
      </c>
      <c r="O158" s="2" t="s">
        <v>320</v>
      </c>
      <c r="P158" s="2" t="s">
        <v>321</v>
      </c>
      <c r="Q158" s="2" t="s">
        <v>161</v>
      </c>
      <c r="R158" s="2" t="s">
        <v>322</v>
      </c>
      <c r="S158" s="2" t="s">
        <v>154</v>
      </c>
      <c r="T158" s="2"/>
    </row>
    <row r="159" spans="1:20" ht="120" x14ac:dyDescent="0.25">
      <c r="A159" s="2" t="s">
        <v>316</v>
      </c>
      <c r="B159" s="2" t="s">
        <v>317</v>
      </c>
      <c r="C159" s="2" t="s">
        <v>304</v>
      </c>
      <c r="D159" s="2">
        <v>8622</v>
      </c>
      <c r="E159" s="2">
        <v>373</v>
      </c>
      <c r="F159" s="2" t="s">
        <v>324</v>
      </c>
      <c r="G159" s="2" t="s">
        <v>325</v>
      </c>
      <c r="H159" s="2" t="s">
        <v>150</v>
      </c>
      <c r="I159" s="2" t="s">
        <v>89</v>
      </c>
      <c r="J159" s="2">
        <v>7</v>
      </c>
      <c r="K159" s="2" t="s">
        <v>151</v>
      </c>
      <c r="L159" s="2" t="s">
        <v>152</v>
      </c>
      <c r="M159" s="2" t="s">
        <v>158</v>
      </c>
      <c r="N159" s="2" t="str">
        <f>HYPERLINK("https://klocwork.dal.design.ti.com:443/review/insight-review.html#issuedetails_goto:problemid=8622,project=MCUSW_J7_KW_FULL,searchquery=taxonomy:'' build:RS-2022-10-06_06-07-58 grouping:off module:CddIpc","KW Issue Link")</f>
        <v>KW Issue Link</v>
      </c>
      <c r="O159" s="2" t="s">
        <v>320</v>
      </c>
      <c r="P159" s="2" t="s">
        <v>321</v>
      </c>
      <c r="Q159" s="2" t="s">
        <v>161</v>
      </c>
      <c r="R159" s="2" t="s">
        <v>322</v>
      </c>
      <c r="S159" s="2" t="s">
        <v>154</v>
      </c>
      <c r="T159" s="2"/>
    </row>
    <row r="160" spans="1:20" ht="120" x14ac:dyDescent="0.25">
      <c r="A160" s="2" t="s">
        <v>316</v>
      </c>
      <c r="B160" s="2" t="s">
        <v>317</v>
      </c>
      <c r="C160" s="2" t="s">
        <v>304</v>
      </c>
      <c r="D160" s="2">
        <v>8623</v>
      </c>
      <c r="E160" s="2">
        <v>460</v>
      </c>
      <c r="F160" s="2" t="s">
        <v>326</v>
      </c>
      <c r="G160" s="2" t="s">
        <v>327</v>
      </c>
      <c r="H160" s="2" t="s">
        <v>150</v>
      </c>
      <c r="I160" s="2" t="s">
        <v>89</v>
      </c>
      <c r="J160" s="2">
        <v>7</v>
      </c>
      <c r="K160" s="2" t="s">
        <v>151</v>
      </c>
      <c r="L160" s="2" t="s">
        <v>152</v>
      </c>
      <c r="M160" s="2" t="s">
        <v>158</v>
      </c>
      <c r="N160" s="2" t="str">
        <f>HYPERLINK("https://klocwork.dal.design.ti.com:443/review/insight-review.html#issuedetails_goto:problemid=8623,project=MCUSW_J7_KW_FULL,searchquery=taxonomy:'' build:RS-2022-10-06_06-07-58 grouping:off module:CddIpc","KW Issue Link")</f>
        <v>KW Issue Link</v>
      </c>
      <c r="O160" s="2" t="s">
        <v>320</v>
      </c>
      <c r="P160" s="2" t="s">
        <v>321</v>
      </c>
      <c r="Q160" s="2" t="s">
        <v>161</v>
      </c>
      <c r="R160" s="2" t="s">
        <v>322</v>
      </c>
      <c r="S160" s="2" t="s">
        <v>154</v>
      </c>
      <c r="T160" s="2"/>
    </row>
    <row r="161" spans="1:20" ht="120" x14ac:dyDescent="0.25">
      <c r="A161" s="2" t="s">
        <v>316</v>
      </c>
      <c r="B161" s="2" t="s">
        <v>317</v>
      </c>
      <c r="C161" s="2" t="s">
        <v>304</v>
      </c>
      <c r="D161" s="2">
        <v>8624</v>
      </c>
      <c r="E161" s="2">
        <v>672</v>
      </c>
      <c r="F161" s="2" t="s">
        <v>328</v>
      </c>
      <c r="G161" s="2" t="s">
        <v>329</v>
      </c>
      <c r="H161" s="2" t="s">
        <v>150</v>
      </c>
      <c r="I161" s="2" t="s">
        <v>89</v>
      </c>
      <c r="J161" s="2">
        <v>7</v>
      </c>
      <c r="K161" s="2" t="s">
        <v>151</v>
      </c>
      <c r="L161" s="2" t="s">
        <v>152</v>
      </c>
      <c r="M161" s="2" t="s">
        <v>158</v>
      </c>
      <c r="N161" s="2" t="str">
        <f>HYPERLINK("https://klocwork.dal.design.ti.com:443/review/insight-review.html#issuedetails_goto:problemid=8624,project=MCUSW_J7_KW_FULL,searchquery=taxonomy:'' build:RS-2022-10-06_06-07-58 grouping:off module:CddIpc","KW Issue Link")</f>
        <v>KW Issue Link</v>
      </c>
      <c r="O161" s="2" t="s">
        <v>320</v>
      </c>
      <c r="P161" s="2" t="s">
        <v>321</v>
      </c>
      <c r="Q161" s="2" t="s">
        <v>161</v>
      </c>
      <c r="R161" s="2" t="s">
        <v>322</v>
      </c>
      <c r="S161" s="2" t="s">
        <v>154</v>
      </c>
      <c r="T161" s="2"/>
    </row>
    <row r="162" spans="1:20" ht="120" x14ac:dyDescent="0.25">
      <c r="A162" s="2" t="s">
        <v>316</v>
      </c>
      <c r="B162" s="2" t="s">
        <v>317</v>
      </c>
      <c r="C162" s="2" t="s">
        <v>304</v>
      </c>
      <c r="D162" s="2">
        <v>8625</v>
      </c>
      <c r="E162" s="2">
        <v>690</v>
      </c>
      <c r="F162" s="2" t="s">
        <v>328</v>
      </c>
      <c r="G162" s="2" t="s">
        <v>329</v>
      </c>
      <c r="H162" s="2" t="s">
        <v>150</v>
      </c>
      <c r="I162" s="2" t="s">
        <v>89</v>
      </c>
      <c r="J162" s="2">
        <v>7</v>
      </c>
      <c r="K162" s="2" t="s">
        <v>151</v>
      </c>
      <c r="L162" s="2" t="s">
        <v>152</v>
      </c>
      <c r="M162" s="2" t="s">
        <v>158</v>
      </c>
      <c r="N162" s="2" t="str">
        <f>HYPERLINK("https://klocwork.dal.design.ti.com:443/review/insight-review.html#issuedetails_goto:problemid=8625,project=MCUSW_J7_KW_FULL,searchquery=taxonomy:'' build:RS-2022-10-06_06-07-58 grouping:off module:CddIpc","KW Issue Link")</f>
        <v>KW Issue Link</v>
      </c>
      <c r="O162" s="2" t="s">
        <v>320</v>
      </c>
      <c r="P162" s="2" t="s">
        <v>321</v>
      </c>
      <c r="Q162" s="2" t="s">
        <v>161</v>
      </c>
      <c r="R162" s="2" t="s">
        <v>322</v>
      </c>
      <c r="S162" s="2" t="s">
        <v>154</v>
      </c>
      <c r="T162" s="2"/>
    </row>
    <row r="163" spans="1:20" ht="120" x14ac:dyDescent="0.25">
      <c r="A163" s="2" t="s">
        <v>316</v>
      </c>
      <c r="B163" s="2" t="s">
        <v>317</v>
      </c>
      <c r="C163" s="2" t="s">
        <v>304</v>
      </c>
      <c r="D163" s="2">
        <v>8626</v>
      </c>
      <c r="E163" s="2">
        <v>822</v>
      </c>
      <c r="F163" s="2" t="s">
        <v>328</v>
      </c>
      <c r="G163" s="2" t="s">
        <v>330</v>
      </c>
      <c r="H163" s="2" t="s">
        <v>150</v>
      </c>
      <c r="I163" s="2" t="s">
        <v>89</v>
      </c>
      <c r="J163" s="2">
        <v>7</v>
      </c>
      <c r="K163" s="2" t="s">
        <v>151</v>
      </c>
      <c r="L163" s="2" t="s">
        <v>152</v>
      </c>
      <c r="M163" s="2" t="s">
        <v>158</v>
      </c>
      <c r="N163" s="2" t="str">
        <f>HYPERLINK("https://klocwork.dal.design.ti.com:443/review/insight-review.html#issuedetails_goto:problemid=8626,project=MCUSW_J7_KW_FULL,searchquery=taxonomy:'' build:RS-2022-10-06_06-07-58 grouping:off module:CddIpc","KW Issue Link")</f>
        <v>KW Issue Link</v>
      </c>
      <c r="O163" s="2" t="s">
        <v>320</v>
      </c>
      <c r="P163" s="2" t="s">
        <v>321</v>
      </c>
      <c r="Q163" s="2" t="s">
        <v>161</v>
      </c>
      <c r="R163" s="2" t="s">
        <v>322</v>
      </c>
      <c r="S163" s="2" t="s">
        <v>154</v>
      </c>
      <c r="T163" s="2"/>
    </row>
    <row r="164" spans="1:20" ht="120" x14ac:dyDescent="0.25">
      <c r="A164" s="2" t="s">
        <v>316</v>
      </c>
      <c r="B164" s="2" t="s">
        <v>317</v>
      </c>
      <c r="C164" s="2" t="s">
        <v>304</v>
      </c>
      <c r="D164" s="2">
        <v>8627</v>
      </c>
      <c r="E164" s="2">
        <v>841</v>
      </c>
      <c r="F164" s="2" t="s">
        <v>328</v>
      </c>
      <c r="G164" s="2" t="s">
        <v>330</v>
      </c>
      <c r="H164" s="2" t="s">
        <v>150</v>
      </c>
      <c r="I164" s="2" t="s">
        <v>89</v>
      </c>
      <c r="J164" s="2">
        <v>7</v>
      </c>
      <c r="K164" s="2" t="s">
        <v>151</v>
      </c>
      <c r="L164" s="2" t="s">
        <v>152</v>
      </c>
      <c r="M164" s="2" t="s">
        <v>158</v>
      </c>
      <c r="N164" s="2" t="str">
        <f>HYPERLINK("https://klocwork.dal.design.ti.com:443/review/insight-review.html#issuedetails_goto:problemid=8627,project=MCUSW_J7_KW_FULL,searchquery=taxonomy:'' build:RS-2022-10-06_06-07-58 grouping:off module:CddIpc","KW Issue Link")</f>
        <v>KW Issue Link</v>
      </c>
      <c r="O164" s="2" t="s">
        <v>320</v>
      </c>
      <c r="P164" s="2" t="s">
        <v>321</v>
      </c>
      <c r="Q164" s="2" t="s">
        <v>161</v>
      </c>
      <c r="R164" s="2" t="s">
        <v>322</v>
      </c>
      <c r="S164" s="2" t="s">
        <v>154</v>
      </c>
      <c r="T164" s="2"/>
    </row>
    <row r="165" spans="1:20" ht="120" x14ac:dyDescent="0.25">
      <c r="A165" s="2" t="s">
        <v>316</v>
      </c>
      <c r="B165" s="2" t="s">
        <v>317</v>
      </c>
      <c r="C165" s="2" t="s">
        <v>304</v>
      </c>
      <c r="D165" s="2">
        <v>8628</v>
      </c>
      <c r="E165" s="2">
        <v>1023</v>
      </c>
      <c r="F165" s="2" t="s">
        <v>331</v>
      </c>
      <c r="G165" s="2" t="s">
        <v>332</v>
      </c>
      <c r="H165" s="2" t="s">
        <v>150</v>
      </c>
      <c r="I165" s="2" t="s">
        <v>89</v>
      </c>
      <c r="J165" s="2">
        <v>7</v>
      </c>
      <c r="K165" s="2" t="s">
        <v>151</v>
      </c>
      <c r="L165" s="2" t="s">
        <v>152</v>
      </c>
      <c r="M165" s="2" t="s">
        <v>158</v>
      </c>
      <c r="N165" s="2" t="str">
        <f>HYPERLINK("https://klocwork.dal.design.ti.com:443/review/insight-review.html#issuedetails_goto:problemid=8628,project=MCUSW_J7_KW_FULL,searchquery=taxonomy:'' build:RS-2022-10-06_06-07-58 grouping:off module:CddIpc","KW Issue Link")</f>
        <v>KW Issue Link</v>
      </c>
      <c r="O165" s="2" t="s">
        <v>320</v>
      </c>
      <c r="P165" s="2" t="s">
        <v>321</v>
      </c>
      <c r="Q165" s="2" t="s">
        <v>161</v>
      </c>
      <c r="R165" s="2" t="s">
        <v>322</v>
      </c>
      <c r="S165" s="2" t="s">
        <v>154</v>
      </c>
      <c r="T165" s="2"/>
    </row>
    <row r="166" spans="1:20" ht="120" x14ac:dyDescent="0.25">
      <c r="A166" s="2" t="s">
        <v>316</v>
      </c>
      <c r="B166" s="2" t="s">
        <v>317</v>
      </c>
      <c r="C166" s="2" t="s">
        <v>304</v>
      </c>
      <c r="D166" s="2">
        <v>8629</v>
      </c>
      <c r="E166" s="2">
        <v>1239</v>
      </c>
      <c r="F166" s="2" t="s">
        <v>324</v>
      </c>
      <c r="G166" s="2" t="s">
        <v>333</v>
      </c>
      <c r="H166" s="2" t="s">
        <v>150</v>
      </c>
      <c r="I166" s="2" t="s">
        <v>89</v>
      </c>
      <c r="J166" s="2">
        <v>7</v>
      </c>
      <c r="K166" s="2" t="s">
        <v>151</v>
      </c>
      <c r="L166" s="2" t="s">
        <v>152</v>
      </c>
      <c r="M166" s="2" t="s">
        <v>158</v>
      </c>
      <c r="N166" s="2" t="str">
        <f>HYPERLINK("https://klocwork.dal.design.ti.com:443/review/insight-review.html#issuedetails_goto:problemid=8629,project=MCUSW_J7_KW_FULL,searchquery=taxonomy:'' build:RS-2022-10-06_06-07-58 grouping:off module:CddIpc","KW Issue Link")</f>
        <v>KW Issue Link</v>
      </c>
      <c r="O166" s="2" t="s">
        <v>320</v>
      </c>
      <c r="P166" s="2" t="s">
        <v>321</v>
      </c>
      <c r="Q166" s="2" t="s">
        <v>161</v>
      </c>
      <c r="R166" s="2" t="s">
        <v>322</v>
      </c>
      <c r="S166" s="2" t="s">
        <v>154</v>
      </c>
      <c r="T166" s="2"/>
    </row>
    <row r="167" spans="1:20" ht="120" x14ac:dyDescent="0.25">
      <c r="A167" s="2" t="s">
        <v>222</v>
      </c>
      <c r="B167" s="2" t="s">
        <v>223</v>
      </c>
      <c r="C167" s="2" t="s">
        <v>304</v>
      </c>
      <c r="D167" s="2">
        <v>8630</v>
      </c>
      <c r="E167" s="2">
        <v>239</v>
      </c>
      <c r="F167" s="2" t="s">
        <v>224</v>
      </c>
      <c r="G167" s="2" t="s">
        <v>334</v>
      </c>
      <c r="H167" s="2" t="s">
        <v>150</v>
      </c>
      <c r="I167" s="2" t="s">
        <v>123</v>
      </c>
      <c r="J167" s="2">
        <v>4</v>
      </c>
      <c r="K167" s="2" t="s">
        <v>151</v>
      </c>
      <c r="L167" s="2" t="s">
        <v>152</v>
      </c>
      <c r="M167" s="2" t="s">
        <v>153</v>
      </c>
      <c r="N167" s="2" t="str">
        <f>HYPERLINK("https://klocwork.dal.design.ti.com:443/review/insight-review.html#issuedetails_goto:problemid=8630,project=MCUSW_J7_KW_FULL,searchquery=taxonomy:'' build:RS-2022-10-06_06-07-58 grouping:off module:CddIpc","KW Issue Link")</f>
        <v>KW Issue Link</v>
      </c>
      <c r="O167" s="2"/>
      <c r="P167" s="2"/>
      <c r="Q167" s="2"/>
      <c r="R167" s="2"/>
      <c r="S167" s="2" t="s">
        <v>154</v>
      </c>
      <c r="T167" s="2"/>
    </row>
    <row r="168" spans="1:20" ht="120" x14ac:dyDescent="0.25">
      <c r="A168" s="2" t="s">
        <v>222</v>
      </c>
      <c r="B168" s="2" t="s">
        <v>223</v>
      </c>
      <c r="C168" s="2" t="s">
        <v>304</v>
      </c>
      <c r="D168" s="2">
        <v>8632</v>
      </c>
      <c r="E168" s="2">
        <v>319</v>
      </c>
      <c r="F168" s="2" t="s">
        <v>224</v>
      </c>
      <c r="G168" s="2" t="s">
        <v>325</v>
      </c>
      <c r="H168" s="2" t="s">
        <v>150</v>
      </c>
      <c r="I168" s="2" t="s">
        <v>123</v>
      </c>
      <c r="J168" s="2">
        <v>4</v>
      </c>
      <c r="K168" s="2" t="s">
        <v>151</v>
      </c>
      <c r="L168" s="2" t="s">
        <v>152</v>
      </c>
      <c r="M168" s="2" t="s">
        <v>153</v>
      </c>
      <c r="N168" s="2" t="str">
        <f>HYPERLINK("https://klocwork.dal.design.ti.com:443/review/insight-review.html#issuedetails_goto:problemid=8632,project=MCUSW_J7_KW_FULL,searchquery=taxonomy:'' build:RS-2022-10-06_06-07-58 grouping:off module:CddIpc","KW Issue Link")</f>
        <v>KW Issue Link</v>
      </c>
      <c r="O168" s="2"/>
      <c r="P168" s="2"/>
      <c r="Q168" s="2"/>
      <c r="R168" s="2"/>
      <c r="S168" s="2" t="s">
        <v>154</v>
      </c>
      <c r="T168" s="2"/>
    </row>
    <row r="169" spans="1:20" ht="120" x14ac:dyDescent="0.25">
      <c r="A169" s="2" t="s">
        <v>222</v>
      </c>
      <c r="B169" s="2" t="s">
        <v>223</v>
      </c>
      <c r="C169" s="2" t="s">
        <v>304</v>
      </c>
      <c r="D169" s="2">
        <v>8633</v>
      </c>
      <c r="E169" s="2">
        <v>413</v>
      </c>
      <c r="F169" s="2" t="s">
        <v>224</v>
      </c>
      <c r="G169" s="2" t="s">
        <v>335</v>
      </c>
      <c r="H169" s="2" t="s">
        <v>150</v>
      </c>
      <c r="I169" s="2" t="s">
        <v>123</v>
      </c>
      <c r="J169" s="2">
        <v>4</v>
      </c>
      <c r="K169" s="2" t="s">
        <v>151</v>
      </c>
      <c r="L169" s="2" t="s">
        <v>152</v>
      </c>
      <c r="M169" s="2" t="s">
        <v>153</v>
      </c>
      <c r="N169" s="2" t="str">
        <f>HYPERLINK("https://klocwork.dal.design.ti.com:443/review/insight-review.html#issuedetails_goto:problemid=8633,project=MCUSW_J7_KW_FULL,searchquery=taxonomy:'' build:RS-2022-10-06_06-07-58 grouping:off module:CddIpc","KW Issue Link")</f>
        <v>KW Issue Link</v>
      </c>
      <c r="O169" s="2"/>
      <c r="P169" s="2"/>
      <c r="Q169" s="2"/>
      <c r="R169" s="2"/>
      <c r="S169" s="2" t="s">
        <v>154</v>
      </c>
      <c r="T169" s="2"/>
    </row>
    <row r="170" spans="1:20" ht="120" x14ac:dyDescent="0.25">
      <c r="A170" s="2" t="s">
        <v>222</v>
      </c>
      <c r="B170" s="2" t="s">
        <v>223</v>
      </c>
      <c r="C170" s="2" t="s">
        <v>304</v>
      </c>
      <c r="D170" s="2">
        <v>8634</v>
      </c>
      <c r="E170" s="2">
        <v>452</v>
      </c>
      <c r="F170" s="2" t="s">
        <v>224</v>
      </c>
      <c r="G170" s="2" t="s">
        <v>327</v>
      </c>
      <c r="H170" s="2" t="s">
        <v>150</v>
      </c>
      <c r="I170" s="2" t="s">
        <v>123</v>
      </c>
      <c r="J170" s="2">
        <v>4</v>
      </c>
      <c r="K170" s="2" t="s">
        <v>151</v>
      </c>
      <c r="L170" s="2" t="s">
        <v>152</v>
      </c>
      <c r="M170" s="2" t="s">
        <v>153</v>
      </c>
      <c r="N170" s="2" t="str">
        <f>HYPERLINK("https://klocwork.dal.design.ti.com:443/review/insight-review.html#issuedetails_goto:problemid=8634,project=MCUSW_J7_KW_FULL,searchquery=taxonomy:'' build:RS-2022-10-06_06-07-58 grouping:off module:CddIpc","KW Issue Link")</f>
        <v>KW Issue Link</v>
      </c>
      <c r="O170" s="2"/>
      <c r="P170" s="2"/>
      <c r="Q170" s="2"/>
      <c r="R170" s="2"/>
      <c r="S170" s="2" t="s">
        <v>154</v>
      </c>
      <c r="T170" s="2"/>
    </row>
    <row r="171" spans="1:20" ht="120" x14ac:dyDescent="0.25">
      <c r="A171" s="2" t="s">
        <v>222</v>
      </c>
      <c r="B171" s="2" t="s">
        <v>223</v>
      </c>
      <c r="C171" s="2" t="s">
        <v>304</v>
      </c>
      <c r="D171" s="2">
        <v>8635</v>
      </c>
      <c r="E171" s="2">
        <v>1028</v>
      </c>
      <c r="F171" s="2" t="s">
        <v>224</v>
      </c>
      <c r="G171" s="2" t="s">
        <v>332</v>
      </c>
      <c r="H171" s="2" t="s">
        <v>150</v>
      </c>
      <c r="I171" s="2" t="s">
        <v>123</v>
      </c>
      <c r="J171" s="2">
        <v>4</v>
      </c>
      <c r="K171" s="2" t="s">
        <v>151</v>
      </c>
      <c r="L171" s="2" t="s">
        <v>152</v>
      </c>
      <c r="M171" s="2" t="s">
        <v>153</v>
      </c>
      <c r="N171" s="2" t="str">
        <f>HYPERLINK("https://klocwork.dal.design.ti.com:443/review/insight-review.html#issuedetails_goto:problemid=8635,project=MCUSW_J7_KW_FULL,searchquery=taxonomy:'' build:RS-2022-10-06_06-07-58 grouping:off module:CddIpc","KW Issue Link")</f>
        <v>KW Issue Link</v>
      </c>
      <c r="O171" s="2"/>
      <c r="P171" s="2"/>
      <c r="Q171" s="2"/>
      <c r="R171" s="2"/>
      <c r="S171" s="2" t="s">
        <v>154</v>
      </c>
      <c r="T171" s="2"/>
    </row>
    <row r="172" spans="1:20" ht="120" x14ac:dyDescent="0.25">
      <c r="A172" s="2" t="s">
        <v>222</v>
      </c>
      <c r="B172" s="2" t="s">
        <v>223</v>
      </c>
      <c r="C172" s="2" t="s">
        <v>304</v>
      </c>
      <c r="D172" s="2">
        <v>8636</v>
      </c>
      <c r="E172" s="2">
        <v>1028</v>
      </c>
      <c r="F172" s="2" t="s">
        <v>224</v>
      </c>
      <c r="G172" s="2" t="s">
        <v>332</v>
      </c>
      <c r="H172" s="2" t="s">
        <v>150</v>
      </c>
      <c r="I172" s="2" t="s">
        <v>123</v>
      </c>
      <c r="J172" s="2">
        <v>4</v>
      </c>
      <c r="K172" s="2" t="s">
        <v>151</v>
      </c>
      <c r="L172" s="2" t="s">
        <v>152</v>
      </c>
      <c r="M172" s="2" t="s">
        <v>153</v>
      </c>
      <c r="N172" s="2" t="str">
        <f>HYPERLINK("https://klocwork.dal.design.ti.com:443/review/insight-review.html#issuedetails_goto:problemid=8636,project=MCUSW_J7_KW_FULL,searchquery=taxonomy:'' build:RS-2022-10-06_06-07-58 grouping:off module:CddIpc","KW Issue Link")</f>
        <v>KW Issue Link</v>
      </c>
      <c r="O172" s="2"/>
      <c r="P172" s="2"/>
      <c r="Q172" s="2"/>
      <c r="R172" s="2"/>
      <c r="S172" s="2" t="s">
        <v>154</v>
      </c>
      <c r="T172" s="2"/>
    </row>
    <row r="173" spans="1:20" ht="120" x14ac:dyDescent="0.25">
      <c r="A173" s="2" t="s">
        <v>222</v>
      </c>
      <c r="B173" s="2" t="s">
        <v>223</v>
      </c>
      <c r="C173" s="2" t="s">
        <v>304</v>
      </c>
      <c r="D173" s="2">
        <v>8637</v>
      </c>
      <c r="E173" s="2">
        <v>1137</v>
      </c>
      <c r="F173" s="2" t="s">
        <v>224</v>
      </c>
      <c r="G173" s="2" t="s">
        <v>336</v>
      </c>
      <c r="H173" s="2" t="s">
        <v>150</v>
      </c>
      <c r="I173" s="2" t="s">
        <v>123</v>
      </c>
      <c r="J173" s="2">
        <v>4</v>
      </c>
      <c r="K173" s="2" t="s">
        <v>151</v>
      </c>
      <c r="L173" s="2" t="s">
        <v>152</v>
      </c>
      <c r="M173" s="2" t="s">
        <v>153</v>
      </c>
      <c r="N173" s="2" t="str">
        <f>HYPERLINK("https://klocwork.dal.design.ti.com:443/review/insight-review.html#issuedetails_goto:problemid=8637,project=MCUSW_J7_KW_FULL,searchquery=taxonomy:'' build:RS-2022-10-06_06-07-58 grouping:off module:CddIpc","KW Issue Link")</f>
        <v>KW Issue Link</v>
      </c>
      <c r="O173" s="2"/>
      <c r="P173" s="2"/>
      <c r="Q173" s="2"/>
      <c r="R173" s="2"/>
      <c r="S173" s="2" t="s">
        <v>154</v>
      </c>
      <c r="T173" s="2"/>
    </row>
    <row r="174" spans="1:20" ht="120" x14ac:dyDescent="0.25">
      <c r="A174" s="2" t="s">
        <v>222</v>
      </c>
      <c r="B174" s="2" t="s">
        <v>223</v>
      </c>
      <c r="C174" s="2" t="s">
        <v>304</v>
      </c>
      <c r="D174" s="2">
        <v>8638</v>
      </c>
      <c r="E174" s="2">
        <v>1141</v>
      </c>
      <c r="F174" s="2" t="s">
        <v>224</v>
      </c>
      <c r="G174" s="2" t="s">
        <v>336</v>
      </c>
      <c r="H174" s="2" t="s">
        <v>150</v>
      </c>
      <c r="I174" s="2" t="s">
        <v>123</v>
      </c>
      <c r="J174" s="2">
        <v>4</v>
      </c>
      <c r="K174" s="2" t="s">
        <v>151</v>
      </c>
      <c r="L174" s="2" t="s">
        <v>152</v>
      </c>
      <c r="M174" s="2" t="s">
        <v>153</v>
      </c>
      <c r="N174" s="2" t="str">
        <f>HYPERLINK("https://klocwork.dal.design.ti.com:443/review/insight-review.html#issuedetails_goto:problemid=8638,project=MCUSW_J7_KW_FULL,searchquery=taxonomy:'' build:RS-2022-10-06_06-07-58 grouping:off module:CddIpc","KW Issue Link")</f>
        <v>KW Issue Link</v>
      </c>
      <c r="O174" s="2"/>
      <c r="P174" s="2"/>
      <c r="Q174" s="2"/>
      <c r="R174" s="2"/>
      <c r="S174" s="2" t="s">
        <v>154</v>
      </c>
      <c r="T174" s="2"/>
    </row>
    <row r="175" spans="1:20" ht="120" x14ac:dyDescent="0.25">
      <c r="A175" s="2" t="s">
        <v>222</v>
      </c>
      <c r="B175" s="2" t="s">
        <v>223</v>
      </c>
      <c r="C175" s="2" t="s">
        <v>304</v>
      </c>
      <c r="D175" s="2">
        <v>8639</v>
      </c>
      <c r="E175" s="2">
        <v>1146</v>
      </c>
      <c r="F175" s="2" t="s">
        <v>224</v>
      </c>
      <c r="G175" s="2" t="s">
        <v>336</v>
      </c>
      <c r="H175" s="2" t="s">
        <v>150</v>
      </c>
      <c r="I175" s="2" t="s">
        <v>123</v>
      </c>
      <c r="J175" s="2">
        <v>4</v>
      </c>
      <c r="K175" s="2" t="s">
        <v>151</v>
      </c>
      <c r="L175" s="2" t="s">
        <v>152</v>
      </c>
      <c r="M175" s="2" t="s">
        <v>153</v>
      </c>
      <c r="N175" s="2" t="str">
        <f>HYPERLINK("https://klocwork.dal.design.ti.com:443/review/insight-review.html#issuedetails_goto:problemid=8639,project=MCUSW_J7_KW_FULL,searchquery=taxonomy:'' build:RS-2022-10-06_06-07-58 grouping:off module:CddIpc","KW Issue Link")</f>
        <v>KW Issue Link</v>
      </c>
      <c r="O175" s="2"/>
      <c r="P175" s="2"/>
      <c r="Q175" s="2"/>
      <c r="R175" s="2"/>
      <c r="S175" s="2" t="s">
        <v>154</v>
      </c>
      <c r="T175" s="2"/>
    </row>
    <row r="176" spans="1:20" ht="120" x14ac:dyDescent="0.25">
      <c r="A176" s="2" t="s">
        <v>263</v>
      </c>
      <c r="B176" s="2" t="s">
        <v>264</v>
      </c>
      <c r="C176" s="2" t="s">
        <v>304</v>
      </c>
      <c r="D176" s="2">
        <v>8641</v>
      </c>
      <c r="E176" s="2">
        <v>1028</v>
      </c>
      <c r="F176" s="2" t="s">
        <v>265</v>
      </c>
      <c r="G176" s="2" t="s">
        <v>332</v>
      </c>
      <c r="H176" s="2" t="s">
        <v>150</v>
      </c>
      <c r="I176" s="2" t="s">
        <v>88</v>
      </c>
      <c r="J176" s="2">
        <v>6</v>
      </c>
      <c r="K176" s="2" t="s">
        <v>151</v>
      </c>
      <c r="L176" s="2" t="s">
        <v>152</v>
      </c>
      <c r="M176" s="2" t="s">
        <v>158</v>
      </c>
      <c r="N176" s="2" t="str">
        <f>HYPERLINK("https://klocwork.dal.design.ti.com:443/review/insight-review.html#issuedetails_goto:problemid=8641,project=MCUSW_J7_KW_FULL,searchquery=taxonomy:'' build:RS-2022-10-06_06-07-58 grouping:off module:CddIpc","KW Issue Link")</f>
        <v>KW Issue Link</v>
      </c>
      <c r="O176" s="2" t="s">
        <v>266</v>
      </c>
      <c r="P176" s="2" t="s">
        <v>267</v>
      </c>
      <c r="Q176" s="2" t="s">
        <v>161</v>
      </c>
      <c r="R176" s="2" t="s">
        <v>268</v>
      </c>
      <c r="S176" s="2" t="s">
        <v>154</v>
      </c>
      <c r="T176" s="2"/>
    </row>
    <row r="177" spans="1:20" ht="120" x14ac:dyDescent="0.25">
      <c r="A177" s="2" t="s">
        <v>263</v>
      </c>
      <c r="B177" s="2" t="s">
        <v>264</v>
      </c>
      <c r="C177" s="2" t="s">
        <v>304</v>
      </c>
      <c r="D177" s="2">
        <v>8642</v>
      </c>
      <c r="E177" s="2">
        <v>1028</v>
      </c>
      <c r="F177" s="2" t="s">
        <v>265</v>
      </c>
      <c r="G177" s="2" t="s">
        <v>332</v>
      </c>
      <c r="H177" s="2" t="s">
        <v>150</v>
      </c>
      <c r="I177" s="2" t="s">
        <v>88</v>
      </c>
      <c r="J177" s="2">
        <v>6</v>
      </c>
      <c r="K177" s="2" t="s">
        <v>151</v>
      </c>
      <c r="L177" s="2" t="s">
        <v>152</v>
      </c>
      <c r="M177" s="2" t="s">
        <v>158</v>
      </c>
      <c r="N177" s="2" t="str">
        <f>HYPERLINK("https://klocwork.dal.design.ti.com:443/review/insight-review.html#issuedetails_goto:problemid=8642,project=MCUSW_J7_KW_FULL,searchquery=taxonomy:'' build:RS-2022-10-06_06-07-58 grouping:off module:CddIpc","KW Issue Link")</f>
        <v>KW Issue Link</v>
      </c>
      <c r="O177" s="2" t="s">
        <v>266</v>
      </c>
      <c r="P177" s="2" t="s">
        <v>267</v>
      </c>
      <c r="Q177" s="2" t="s">
        <v>161</v>
      </c>
      <c r="R177" s="2" t="s">
        <v>268</v>
      </c>
      <c r="S177" s="2" t="s">
        <v>154</v>
      </c>
      <c r="T177" s="2"/>
    </row>
    <row r="178" spans="1:20" ht="120" x14ac:dyDescent="0.25">
      <c r="A178" s="2" t="s">
        <v>263</v>
      </c>
      <c r="B178" s="2" t="s">
        <v>264</v>
      </c>
      <c r="C178" s="2" t="s">
        <v>304</v>
      </c>
      <c r="D178" s="2">
        <v>8643</v>
      </c>
      <c r="E178" s="2">
        <v>1141</v>
      </c>
      <c r="F178" s="2" t="s">
        <v>265</v>
      </c>
      <c r="G178" s="2" t="s">
        <v>336</v>
      </c>
      <c r="H178" s="2" t="s">
        <v>150</v>
      </c>
      <c r="I178" s="2" t="s">
        <v>88</v>
      </c>
      <c r="J178" s="2">
        <v>6</v>
      </c>
      <c r="K178" s="2" t="s">
        <v>151</v>
      </c>
      <c r="L178" s="2" t="s">
        <v>152</v>
      </c>
      <c r="M178" s="2" t="s">
        <v>158</v>
      </c>
      <c r="N178" s="2" t="str">
        <f>HYPERLINK("https://klocwork.dal.design.ti.com:443/review/insight-review.html#issuedetails_goto:problemid=8643,project=MCUSW_J7_KW_FULL,searchquery=taxonomy:'' build:RS-2022-10-06_06-07-58 grouping:off module:CddIpc","KW Issue Link")</f>
        <v>KW Issue Link</v>
      </c>
      <c r="O178" s="2" t="s">
        <v>266</v>
      </c>
      <c r="P178" s="2" t="s">
        <v>267</v>
      </c>
      <c r="Q178" s="2" t="s">
        <v>161</v>
      </c>
      <c r="R178" s="2" t="s">
        <v>268</v>
      </c>
      <c r="S178" s="2" t="s">
        <v>154</v>
      </c>
      <c r="T178" s="2"/>
    </row>
    <row r="179" spans="1:20" ht="120" x14ac:dyDescent="0.25">
      <c r="A179" s="2" t="s">
        <v>263</v>
      </c>
      <c r="B179" s="2" t="s">
        <v>264</v>
      </c>
      <c r="C179" s="2" t="s">
        <v>304</v>
      </c>
      <c r="D179" s="2">
        <v>8644</v>
      </c>
      <c r="E179" s="2">
        <v>1146</v>
      </c>
      <c r="F179" s="2" t="s">
        <v>265</v>
      </c>
      <c r="G179" s="2" t="s">
        <v>336</v>
      </c>
      <c r="H179" s="2" t="s">
        <v>150</v>
      </c>
      <c r="I179" s="2" t="s">
        <v>88</v>
      </c>
      <c r="J179" s="2">
        <v>6</v>
      </c>
      <c r="K179" s="2" t="s">
        <v>151</v>
      </c>
      <c r="L179" s="2" t="s">
        <v>152</v>
      </c>
      <c r="M179" s="2" t="s">
        <v>158</v>
      </c>
      <c r="N179" s="2" t="str">
        <f>HYPERLINK("https://klocwork.dal.design.ti.com:443/review/insight-review.html#issuedetails_goto:problemid=8644,project=MCUSW_J7_KW_FULL,searchquery=taxonomy:'' build:RS-2022-10-06_06-07-58 grouping:off module:CddIpc","KW Issue Link")</f>
        <v>KW Issue Link</v>
      </c>
      <c r="O179" s="2" t="s">
        <v>266</v>
      </c>
      <c r="P179" s="2" t="s">
        <v>267</v>
      </c>
      <c r="Q179" s="2" t="s">
        <v>161</v>
      </c>
      <c r="R179" s="2" t="s">
        <v>268</v>
      </c>
      <c r="S179" s="2" t="s">
        <v>154</v>
      </c>
      <c r="T179" s="2"/>
    </row>
    <row r="180" spans="1:20" ht="120" x14ac:dyDescent="0.25">
      <c r="A180" s="2" t="s">
        <v>206</v>
      </c>
      <c r="B180" s="2" t="s">
        <v>207</v>
      </c>
      <c r="C180" s="2" t="s">
        <v>304</v>
      </c>
      <c r="D180" s="2">
        <v>8647</v>
      </c>
      <c r="E180" s="2">
        <v>433</v>
      </c>
      <c r="F180" s="2" t="s">
        <v>337</v>
      </c>
      <c r="G180" s="2" t="s">
        <v>335</v>
      </c>
      <c r="H180" s="2" t="s">
        <v>150</v>
      </c>
      <c r="I180" s="2" t="s">
        <v>88</v>
      </c>
      <c r="J180" s="2">
        <v>6</v>
      </c>
      <c r="K180" s="2" t="s">
        <v>151</v>
      </c>
      <c r="L180" s="2" t="s">
        <v>152</v>
      </c>
      <c r="M180" s="2" t="s">
        <v>158</v>
      </c>
      <c r="N180" s="2" t="str">
        <f>HYPERLINK("https://klocwork.dal.design.ti.com:443/review/insight-review.html#issuedetails_goto:problemid=8647,project=MCUSW_J7_KW_FULL,searchquery=taxonomy:'' build:RS-2022-10-06_06-07-58 grouping:off module:CddIpc","KW Issue Link")</f>
        <v>KW Issue Link</v>
      </c>
      <c r="O180" s="2" t="s">
        <v>209</v>
      </c>
      <c r="P180" s="2" t="s">
        <v>210</v>
      </c>
      <c r="Q180" s="2" t="s">
        <v>211</v>
      </c>
      <c r="R180" s="2" t="s">
        <v>212</v>
      </c>
      <c r="S180" s="2" t="s">
        <v>154</v>
      </c>
      <c r="T180" s="2" t="s">
        <v>213</v>
      </c>
    </row>
    <row r="181" spans="1:20" ht="120" x14ac:dyDescent="0.25">
      <c r="A181" s="2" t="s">
        <v>206</v>
      </c>
      <c r="B181" s="2" t="s">
        <v>207</v>
      </c>
      <c r="C181" s="2" t="s">
        <v>304</v>
      </c>
      <c r="D181" s="2">
        <v>8649</v>
      </c>
      <c r="E181" s="2">
        <v>536</v>
      </c>
      <c r="F181" s="2" t="s">
        <v>338</v>
      </c>
      <c r="G181" s="2" t="s">
        <v>339</v>
      </c>
      <c r="H181" s="2" t="s">
        <v>150</v>
      </c>
      <c r="I181" s="2" t="s">
        <v>88</v>
      </c>
      <c r="J181" s="2">
        <v>6</v>
      </c>
      <c r="K181" s="2" t="s">
        <v>151</v>
      </c>
      <c r="L181" s="2" t="s">
        <v>152</v>
      </c>
      <c r="M181" s="2" t="s">
        <v>158</v>
      </c>
      <c r="N181" s="2" t="str">
        <f>HYPERLINK("https://klocwork.dal.design.ti.com:443/review/insight-review.html#issuedetails_goto:problemid=8649,project=MCUSW_J7_KW_FULL,searchquery=taxonomy:'' build:RS-2022-10-06_06-07-58 grouping:off module:CddIpc","KW Issue Link")</f>
        <v>KW Issue Link</v>
      </c>
      <c r="O181" s="2" t="s">
        <v>209</v>
      </c>
      <c r="P181" s="2" t="s">
        <v>210</v>
      </c>
      <c r="Q181" s="2" t="s">
        <v>211</v>
      </c>
      <c r="R181" s="2" t="s">
        <v>212</v>
      </c>
      <c r="S181" s="2" t="s">
        <v>154</v>
      </c>
      <c r="T181" s="2" t="s">
        <v>213</v>
      </c>
    </row>
    <row r="182" spans="1:20" ht="120" x14ac:dyDescent="0.25">
      <c r="A182" s="2" t="s">
        <v>206</v>
      </c>
      <c r="B182" s="2" t="s">
        <v>207</v>
      </c>
      <c r="C182" s="2" t="s">
        <v>304</v>
      </c>
      <c r="D182" s="2">
        <v>8650</v>
      </c>
      <c r="E182" s="2">
        <v>549</v>
      </c>
      <c r="F182" s="2" t="s">
        <v>338</v>
      </c>
      <c r="G182" s="2" t="s">
        <v>339</v>
      </c>
      <c r="H182" s="2" t="s">
        <v>150</v>
      </c>
      <c r="I182" s="2" t="s">
        <v>88</v>
      </c>
      <c r="J182" s="2">
        <v>6</v>
      </c>
      <c r="K182" s="2" t="s">
        <v>151</v>
      </c>
      <c r="L182" s="2" t="s">
        <v>152</v>
      </c>
      <c r="M182" s="2" t="s">
        <v>158</v>
      </c>
      <c r="N182" s="2" t="str">
        <f>HYPERLINK("https://klocwork.dal.design.ti.com:443/review/insight-review.html#issuedetails_goto:problemid=8650,project=MCUSW_J7_KW_FULL,searchquery=taxonomy:'' build:RS-2022-10-06_06-07-58 grouping:off module:CddIpc","KW Issue Link")</f>
        <v>KW Issue Link</v>
      </c>
      <c r="O182" s="2" t="s">
        <v>209</v>
      </c>
      <c r="P182" s="2" t="s">
        <v>210</v>
      </c>
      <c r="Q182" s="2" t="s">
        <v>211</v>
      </c>
      <c r="R182" s="2" t="s">
        <v>212</v>
      </c>
      <c r="S182" s="2" t="s">
        <v>154</v>
      </c>
      <c r="T182" s="2" t="s">
        <v>213</v>
      </c>
    </row>
    <row r="183" spans="1:20" ht="120" x14ac:dyDescent="0.25">
      <c r="A183" s="2" t="s">
        <v>206</v>
      </c>
      <c r="B183" s="2" t="s">
        <v>207</v>
      </c>
      <c r="C183" s="2" t="s">
        <v>304</v>
      </c>
      <c r="D183" s="2">
        <v>8660</v>
      </c>
      <c r="E183" s="2">
        <v>1237</v>
      </c>
      <c r="F183" s="2" t="s">
        <v>208</v>
      </c>
      <c r="G183" s="2" t="s">
        <v>333</v>
      </c>
      <c r="H183" s="2" t="s">
        <v>150</v>
      </c>
      <c r="I183" s="2" t="s">
        <v>88</v>
      </c>
      <c r="J183" s="2">
        <v>6</v>
      </c>
      <c r="K183" s="2" t="s">
        <v>151</v>
      </c>
      <c r="L183" s="2" t="s">
        <v>152</v>
      </c>
      <c r="M183" s="2" t="s">
        <v>158</v>
      </c>
      <c r="N183" s="2" t="str">
        <f>HYPERLINK("https://klocwork.dal.design.ti.com:443/review/insight-review.html#issuedetails_goto:problemid=8660,project=MCUSW_J7_KW_FULL,searchquery=taxonomy:'' build:RS-2022-10-06_06-07-58 grouping:off module:CddIpc","KW Issue Link")</f>
        <v>KW Issue Link</v>
      </c>
      <c r="O183" s="2" t="s">
        <v>209</v>
      </c>
      <c r="P183" s="2" t="s">
        <v>210</v>
      </c>
      <c r="Q183" s="2" t="s">
        <v>211</v>
      </c>
      <c r="R183" s="2" t="s">
        <v>212</v>
      </c>
      <c r="S183" s="2" t="s">
        <v>154</v>
      </c>
      <c r="T183" s="2" t="s">
        <v>213</v>
      </c>
    </row>
    <row r="184" spans="1:20" ht="120" x14ac:dyDescent="0.25">
      <c r="A184" s="2" t="s">
        <v>206</v>
      </c>
      <c r="B184" s="2" t="s">
        <v>207</v>
      </c>
      <c r="C184" s="2" t="s">
        <v>304</v>
      </c>
      <c r="D184" s="2">
        <v>8661</v>
      </c>
      <c r="E184" s="2">
        <v>1276</v>
      </c>
      <c r="F184" s="2" t="s">
        <v>340</v>
      </c>
      <c r="G184" s="2" t="s">
        <v>333</v>
      </c>
      <c r="H184" s="2" t="s">
        <v>150</v>
      </c>
      <c r="I184" s="2" t="s">
        <v>88</v>
      </c>
      <c r="J184" s="2">
        <v>6</v>
      </c>
      <c r="K184" s="2" t="s">
        <v>151</v>
      </c>
      <c r="L184" s="2" t="s">
        <v>152</v>
      </c>
      <c r="M184" s="2" t="s">
        <v>158</v>
      </c>
      <c r="N184" s="2" t="str">
        <f>HYPERLINK("https://klocwork.dal.design.ti.com:443/review/insight-review.html#issuedetails_goto:problemid=8661,project=MCUSW_J7_KW_FULL,searchquery=taxonomy:'' build:RS-2022-10-06_06-07-58 grouping:off module:CddIpc","KW Issue Link")</f>
        <v>KW Issue Link</v>
      </c>
      <c r="O184" s="2" t="s">
        <v>209</v>
      </c>
      <c r="P184" s="2" t="s">
        <v>210</v>
      </c>
      <c r="Q184" s="2" t="s">
        <v>211</v>
      </c>
      <c r="R184" s="2" t="s">
        <v>212</v>
      </c>
      <c r="S184" s="2" t="s">
        <v>154</v>
      </c>
      <c r="T184" s="2" t="s">
        <v>213</v>
      </c>
    </row>
    <row r="185" spans="1:20" ht="120" x14ac:dyDescent="0.25">
      <c r="A185" s="2" t="s">
        <v>206</v>
      </c>
      <c r="B185" s="2" t="s">
        <v>207</v>
      </c>
      <c r="C185" s="2" t="s">
        <v>304</v>
      </c>
      <c r="D185" s="2">
        <v>8662</v>
      </c>
      <c r="E185" s="2">
        <v>1342</v>
      </c>
      <c r="F185" s="2" t="s">
        <v>340</v>
      </c>
      <c r="G185" s="2" t="s">
        <v>341</v>
      </c>
      <c r="H185" s="2" t="s">
        <v>150</v>
      </c>
      <c r="I185" s="2" t="s">
        <v>88</v>
      </c>
      <c r="J185" s="2">
        <v>6</v>
      </c>
      <c r="K185" s="2" t="s">
        <v>151</v>
      </c>
      <c r="L185" s="2" t="s">
        <v>152</v>
      </c>
      <c r="M185" s="2" t="s">
        <v>158</v>
      </c>
      <c r="N185" s="2" t="str">
        <f>HYPERLINK("https://klocwork.dal.design.ti.com:443/review/insight-review.html#issuedetails_goto:problemid=8662,project=MCUSW_J7_KW_FULL,searchquery=taxonomy:'' build:RS-2022-10-06_06-07-58 grouping:off module:CddIpc","KW Issue Link")</f>
        <v>KW Issue Link</v>
      </c>
      <c r="O185" s="2" t="s">
        <v>209</v>
      </c>
      <c r="P185" s="2" t="s">
        <v>210</v>
      </c>
      <c r="Q185" s="2" t="s">
        <v>211</v>
      </c>
      <c r="R185" s="2" t="s">
        <v>212</v>
      </c>
      <c r="S185" s="2" t="s">
        <v>154</v>
      </c>
      <c r="T185" s="2" t="s">
        <v>213</v>
      </c>
    </row>
    <row r="186" spans="1:20" ht="120" x14ac:dyDescent="0.25">
      <c r="A186" s="2" t="s">
        <v>269</v>
      </c>
      <c r="B186" s="2" t="s">
        <v>270</v>
      </c>
      <c r="C186" s="2" t="s">
        <v>304</v>
      </c>
      <c r="D186" s="2">
        <v>8664</v>
      </c>
      <c r="E186" s="2">
        <v>346</v>
      </c>
      <c r="F186" s="2" t="s">
        <v>342</v>
      </c>
      <c r="G186" s="2" t="s">
        <v>325</v>
      </c>
      <c r="H186" s="2" t="s">
        <v>150</v>
      </c>
      <c r="I186" s="2" t="s">
        <v>123</v>
      </c>
      <c r="J186" s="2">
        <v>4</v>
      </c>
      <c r="K186" s="2" t="s">
        <v>151</v>
      </c>
      <c r="L186" s="2" t="s">
        <v>152</v>
      </c>
      <c r="M186" s="2" t="s">
        <v>153</v>
      </c>
      <c r="N186" s="2" t="str">
        <f>HYPERLINK("https://klocwork.dal.design.ti.com:443/review/insight-review.html#issuedetails_goto:problemid=8664,project=MCUSW_J7_KW_FULL,searchquery=taxonomy:'' build:RS-2022-10-06_06-07-58 grouping:off module:CddIpc","KW Issue Link")</f>
        <v>KW Issue Link</v>
      </c>
      <c r="O186" s="2"/>
      <c r="P186" s="2"/>
      <c r="Q186" s="2"/>
      <c r="R186" s="2"/>
      <c r="S186" s="2" t="s">
        <v>154</v>
      </c>
      <c r="T186" s="2"/>
    </row>
    <row r="187" spans="1:20" ht="120" x14ac:dyDescent="0.25">
      <c r="A187" s="2" t="s">
        <v>269</v>
      </c>
      <c r="B187" s="2" t="s">
        <v>270</v>
      </c>
      <c r="C187" s="2" t="s">
        <v>304</v>
      </c>
      <c r="D187" s="2">
        <v>8665</v>
      </c>
      <c r="E187" s="2">
        <v>378</v>
      </c>
      <c r="F187" s="2" t="s">
        <v>343</v>
      </c>
      <c r="G187" s="2" t="s">
        <v>325</v>
      </c>
      <c r="H187" s="2" t="s">
        <v>150</v>
      </c>
      <c r="I187" s="2" t="s">
        <v>123</v>
      </c>
      <c r="J187" s="2">
        <v>4</v>
      </c>
      <c r="K187" s="2" t="s">
        <v>151</v>
      </c>
      <c r="L187" s="2" t="s">
        <v>152</v>
      </c>
      <c r="M187" s="2" t="s">
        <v>153</v>
      </c>
      <c r="N187" s="2" t="str">
        <f>HYPERLINK("https://klocwork.dal.design.ti.com:443/review/insight-review.html#issuedetails_goto:problemid=8665,project=MCUSW_J7_KW_FULL,searchquery=taxonomy:'' build:RS-2022-10-06_06-07-58 grouping:off module:CddIpc","KW Issue Link")</f>
        <v>KW Issue Link</v>
      </c>
      <c r="O187" s="2"/>
      <c r="P187" s="2"/>
      <c r="Q187" s="2"/>
      <c r="R187" s="2"/>
      <c r="S187" s="2" t="s">
        <v>154</v>
      </c>
      <c r="T187" s="2"/>
    </row>
    <row r="188" spans="1:20" ht="120" x14ac:dyDescent="0.25">
      <c r="A188" s="2" t="s">
        <v>269</v>
      </c>
      <c r="B188" s="2" t="s">
        <v>270</v>
      </c>
      <c r="C188" s="2" t="s">
        <v>304</v>
      </c>
      <c r="D188" s="2">
        <v>8671</v>
      </c>
      <c r="E188" s="2">
        <v>1237</v>
      </c>
      <c r="F188" s="2" t="s">
        <v>344</v>
      </c>
      <c r="G188" s="2" t="s">
        <v>333</v>
      </c>
      <c r="H188" s="2" t="s">
        <v>150</v>
      </c>
      <c r="I188" s="2" t="s">
        <v>123</v>
      </c>
      <c r="J188" s="2">
        <v>4</v>
      </c>
      <c r="K188" s="2" t="s">
        <v>151</v>
      </c>
      <c r="L188" s="2" t="s">
        <v>152</v>
      </c>
      <c r="M188" s="2" t="s">
        <v>153</v>
      </c>
      <c r="N188" s="2" t="str">
        <f>HYPERLINK("https://klocwork.dal.design.ti.com:443/review/insight-review.html#issuedetails_goto:problemid=8671,project=MCUSW_J7_KW_FULL,searchquery=taxonomy:'' build:RS-2022-10-06_06-07-58 grouping:off module:CddIpc","KW Issue Link")</f>
        <v>KW Issue Link</v>
      </c>
      <c r="O188" s="2"/>
      <c r="P188" s="2"/>
      <c r="Q188" s="2"/>
      <c r="R188" s="2"/>
      <c r="S188" s="2" t="s">
        <v>154</v>
      </c>
      <c r="T188" s="2"/>
    </row>
    <row r="189" spans="1:20" ht="120" x14ac:dyDescent="0.25">
      <c r="A189" s="2" t="s">
        <v>163</v>
      </c>
      <c r="B189" s="2" t="s">
        <v>164</v>
      </c>
      <c r="C189" s="2" t="s">
        <v>304</v>
      </c>
      <c r="D189" s="2">
        <v>8702</v>
      </c>
      <c r="E189" s="2">
        <v>1138</v>
      </c>
      <c r="F189" s="2" t="s">
        <v>165</v>
      </c>
      <c r="G189" s="2" t="s">
        <v>336</v>
      </c>
      <c r="H189" s="2" t="s">
        <v>150</v>
      </c>
      <c r="I189" s="2" t="s">
        <v>123</v>
      </c>
      <c r="J189" s="2">
        <v>4</v>
      </c>
      <c r="K189" s="2" t="s">
        <v>151</v>
      </c>
      <c r="L189" s="2" t="s">
        <v>152</v>
      </c>
      <c r="M189" s="2" t="s">
        <v>153</v>
      </c>
      <c r="N189" s="2" t="str">
        <f>HYPERLINK("https://klocwork.dal.design.ti.com:443/review/insight-review.html#issuedetails_goto:problemid=8702,project=MCUSW_J7_KW_FULL,searchquery=taxonomy:'' build:RS-2022-10-06_06-07-58 grouping:off module:CddIpc","KW Issue Link")</f>
        <v>KW Issue Link</v>
      </c>
      <c r="O189" s="2"/>
      <c r="P189" s="2"/>
      <c r="Q189" s="2"/>
      <c r="R189" s="2"/>
      <c r="S189" s="2" t="s">
        <v>154</v>
      </c>
      <c r="T189" s="2"/>
    </row>
    <row r="190" spans="1:20" ht="120" x14ac:dyDescent="0.25">
      <c r="A190" s="2" t="s">
        <v>163</v>
      </c>
      <c r="B190" s="2" t="s">
        <v>164</v>
      </c>
      <c r="C190" s="2" t="s">
        <v>304</v>
      </c>
      <c r="D190" s="2">
        <v>8704</v>
      </c>
      <c r="E190" s="2">
        <v>1257</v>
      </c>
      <c r="F190" s="2" t="s">
        <v>165</v>
      </c>
      <c r="G190" s="2" t="s">
        <v>333</v>
      </c>
      <c r="H190" s="2" t="s">
        <v>150</v>
      </c>
      <c r="I190" s="2" t="s">
        <v>123</v>
      </c>
      <c r="J190" s="2">
        <v>4</v>
      </c>
      <c r="K190" s="2" t="s">
        <v>151</v>
      </c>
      <c r="L190" s="2" t="s">
        <v>152</v>
      </c>
      <c r="M190" s="2" t="s">
        <v>153</v>
      </c>
      <c r="N190" s="2" t="str">
        <f>HYPERLINK("https://klocwork.dal.design.ti.com:443/review/insight-review.html#issuedetails_goto:problemid=8704,project=MCUSW_J7_KW_FULL,searchquery=taxonomy:'' build:RS-2022-10-06_06-07-58 grouping:off module:CddIpc","KW Issue Link")</f>
        <v>KW Issue Link</v>
      </c>
      <c r="O190" s="2"/>
      <c r="P190" s="2"/>
      <c r="Q190" s="2"/>
      <c r="R190" s="2"/>
      <c r="S190" s="2" t="s">
        <v>154</v>
      </c>
      <c r="T190" s="2"/>
    </row>
    <row r="191" spans="1:20" ht="120" x14ac:dyDescent="0.25">
      <c r="A191" s="2" t="s">
        <v>345</v>
      </c>
      <c r="B191" s="2" t="s">
        <v>346</v>
      </c>
      <c r="C191" s="2" t="s">
        <v>304</v>
      </c>
      <c r="D191" s="2">
        <v>8705</v>
      </c>
      <c r="E191" s="2">
        <v>256</v>
      </c>
      <c r="F191" s="2" t="s">
        <v>347</v>
      </c>
      <c r="G191" s="2" t="s">
        <v>348</v>
      </c>
      <c r="H191" s="2" t="s">
        <v>150</v>
      </c>
      <c r="I191" s="2" t="s">
        <v>123</v>
      </c>
      <c r="J191" s="2">
        <v>4</v>
      </c>
      <c r="K191" s="2" t="s">
        <v>151</v>
      </c>
      <c r="L191" s="2" t="s">
        <v>152</v>
      </c>
      <c r="M191" s="2" t="s">
        <v>153</v>
      </c>
      <c r="N191" s="2" t="str">
        <f>HYPERLINK("https://klocwork.dal.design.ti.com:443/review/insight-review.html#issuedetails_goto:problemid=8705,project=MCUSW_J7_KW_FULL,searchquery=taxonomy:'' build:RS-2022-10-06_06-07-58 grouping:off module:CddIpc","KW Issue Link")</f>
        <v>KW Issue Link</v>
      </c>
      <c r="O191" s="2"/>
      <c r="P191" s="2"/>
      <c r="Q191" s="2"/>
      <c r="R191" s="2"/>
      <c r="S191" s="2" t="s">
        <v>154</v>
      </c>
      <c r="T191" s="2"/>
    </row>
    <row r="192" spans="1:20" ht="120" x14ac:dyDescent="0.25">
      <c r="A192" s="2" t="s">
        <v>345</v>
      </c>
      <c r="B192" s="2" t="s">
        <v>346</v>
      </c>
      <c r="C192" s="2" t="s">
        <v>304</v>
      </c>
      <c r="D192" s="2">
        <v>8706</v>
      </c>
      <c r="E192" s="2">
        <v>283</v>
      </c>
      <c r="F192" s="2" t="s">
        <v>349</v>
      </c>
      <c r="G192" s="2" t="s">
        <v>350</v>
      </c>
      <c r="H192" s="2" t="s">
        <v>150</v>
      </c>
      <c r="I192" s="2" t="s">
        <v>123</v>
      </c>
      <c r="J192" s="2">
        <v>4</v>
      </c>
      <c r="K192" s="2" t="s">
        <v>151</v>
      </c>
      <c r="L192" s="2" t="s">
        <v>152</v>
      </c>
      <c r="M192" s="2" t="s">
        <v>153</v>
      </c>
      <c r="N192" s="2" t="str">
        <f>HYPERLINK("https://klocwork.dal.design.ti.com:443/review/insight-review.html#issuedetails_goto:problemid=8706,project=MCUSW_J7_KW_FULL,searchquery=taxonomy:'' build:RS-2022-10-06_06-07-58 grouping:off module:CddIpc","KW Issue Link")</f>
        <v>KW Issue Link</v>
      </c>
      <c r="O192" s="2"/>
      <c r="P192" s="2"/>
      <c r="Q192" s="2"/>
      <c r="R192" s="2"/>
      <c r="S192" s="2" t="s">
        <v>154</v>
      </c>
      <c r="T192" s="2"/>
    </row>
    <row r="193" spans="1:20" ht="120" x14ac:dyDescent="0.25">
      <c r="A193" s="2" t="s">
        <v>345</v>
      </c>
      <c r="B193" s="2" t="s">
        <v>346</v>
      </c>
      <c r="C193" s="2" t="s">
        <v>304</v>
      </c>
      <c r="D193" s="2">
        <v>8707</v>
      </c>
      <c r="E193" s="2">
        <v>375</v>
      </c>
      <c r="F193" s="2" t="s">
        <v>351</v>
      </c>
      <c r="G193" s="2" t="s">
        <v>325</v>
      </c>
      <c r="H193" s="2" t="s">
        <v>150</v>
      </c>
      <c r="I193" s="2" t="s">
        <v>123</v>
      </c>
      <c r="J193" s="2">
        <v>4</v>
      </c>
      <c r="K193" s="2" t="s">
        <v>151</v>
      </c>
      <c r="L193" s="2" t="s">
        <v>152</v>
      </c>
      <c r="M193" s="2" t="s">
        <v>153</v>
      </c>
      <c r="N193" s="2" t="str">
        <f>HYPERLINK("https://klocwork.dal.design.ti.com:443/review/insight-review.html#issuedetails_goto:problemid=8707,project=MCUSW_J7_KW_FULL,searchquery=taxonomy:'' build:RS-2022-10-06_06-07-58 grouping:off module:CddIpc","KW Issue Link")</f>
        <v>KW Issue Link</v>
      </c>
      <c r="O193" s="2"/>
      <c r="P193" s="2"/>
      <c r="Q193" s="2"/>
      <c r="R193" s="2"/>
      <c r="S193" s="2" t="s">
        <v>154</v>
      </c>
      <c r="T193" s="2"/>
    </row>
    <row r="194" spans="1:20" ht="120" x14ac:dyDescent="0.25">
      <c r="A194" s="2" t="s">
        <v>345</v>
      </c>
      <c r="B194" s="2" t="s">
        <v>346</v>
      </c>
      <c r="C194" s="2" t="s">
        <v>304</v>
      </c>
      <c r="D194" s="2">
        <v>8708</v>
      </c>
      <c r="E194" s="2">
        <v>461</v>
      </c>
      <c r="F194" s="2" t="s">
        <v>352</v>
      </c>
      <c r="G194" s="2" t="s">
        <v>327</v>
      </c>
      <c r="H194" s="2" t="s">
        <v>150</v>
      </c>
      <c r="I194" s="2" t="s">
        <v>123</v>
      </c>
      <c r="J194" s="2">
        <v>4</v>
      </c>
      <c r="K194" s="2" t="s">
        <v>151</v>
      </c>
      <c r="L194" s="2" t="s">
        <v>152</v>
      </c>
      <c r="M194" s="2" t="s">
        <v>153</v>
      </c>
      <c r="N194" s="2" t="str">
        <f>HYPERLINK("https://klocwork.dal.design.ti.com:443/review/insight-review.html#issuedetails_goto:problemid=8708,project=MCUSW_J7_KW_FULL,searchquery=taxonomy:'' build:RS-2022-10-06_06-07-58 grouping:off module:CddIpc","KW Issue Link")</f>
        <v>KW Issue Link</v>
      </c>
      <c r="O194" s="2"/>
      <c r="P194" s="2"/>
      <c r="Q194" s="2"/>
      <c r="R194" s="2"/>
      <c r="S194" s="2" t="s">
        <v>154</v>
      </c>
      <c r="T194" s="2"/>
    </row>
    <row r="195" spans="1:20" ht="120" x14ac:dyDescent="0.25">
      <c r="A195" s="2" t="s">
        <v>345</v>
      </c>
      <c r="B195" s="2" t="s">
        <v>346</v>
      </c>
      <c r="C195" s="2" t="s">
        <v>304</v>
      </c>
      <c r="D195" s="2">
        <v>8709</v>
      </c>
      <c r="E195" s="2">
        <v>988</v>
      </c>
      <c r="F195" s="2" t="s">
        <v>349</v>
      </c>
      <c r="G195" s="2" t="s">
        <v>332</v>
      </c>
      <c r="H195" s="2" t="s">
        <v>150</v>
      </c>
      <c r="I195" s="2" t="s">
        <v>123</v>
      </c>
      <c r="J195" s="2">
        <v>4</v>
      </c>
      <c r="K195" s="2" t="s">
        <v>151</v>
      </c>
      <c r="L195" s="2" t="s">
        <v>152</v>
      </c>
      <c r="M195" s="2" t="s">
        <v>153</v>
      </c>
      <c r="N195" s="2" t="str">
        <f>HYPERLINK("https://klocwork.dal.design.ti.com:443/review/insight-review.html#issuedetails_goto:problemid=8709,project=MCUSW_J7_KW_FULL,searchquery=taxonomy:'' build:RS-2022-10-06_06-07-58 grouping:off module:CddIpc","KW Issue Link")</f>
        <v>KW Issue Link</v>
      </c>
      <c r="O195" s="2"/>
      <c r="P195" s="2"/>
      <c r="Q195" s="2"/>
      <c r="R195" s="2"/>
      <c r="S195" s="2" t="s">
        <v>154</v>
      </c>
      <c r="T195" s="2"/>
    </row>
    <row r="196" spans="1:20" ht="120" x14ac:dyDescent="0.25">
      <c r="A196" s="2" t="s">
        <v>345</v>
      </c>
      <c r="B196" s="2" t="s">
        <v>346</v>
      </c>
      <c r="C196" s="2" t="s">
        <v>304</v>
      </c>
      <c r="D196" s="2">
        <v>8710</v>
      </c>
      <c r="E196" s="2">
        <v>998</v>
      </c>
      <c r="F196" s="2" t="s">
        <v>349</v>
      </c>
      <c r="G196" s="2" t="s">
        <v>332</v>
      </c>
      <c r="H196" s="2" t="s">
        <v>150</v>
      </c>
      <c r="I196" s="2" t="s">
        <v>123</v>
      </c>
      <c r="J196" s="2">
        <v>4</v>
      </c>
      <c r="K196" s="2" t="s">
        <v>151</v>
      </c>
      <c r="L196" s="2" t="s">
        <v>152</v>
      </c>
      <c r="M196" s="2" t="s">
        <v>153</v>
      </c>
      <c r="N196" s="2" t="str">
        <f>HYPERLINK("https://klocwork.dal.design.ti.com:443/review/insight-review.html#issuedetails_goto:problemid=8710,project=MCUSW_J7_KW_FULL,searchquery=taxonomy:'' build:RS-2022-10-06_06-07-58 grouping:off module:CddIpc","KW Issue Link")</f>
        <v>KW Issue Link</v>
      </c>
      <c r="O196" s="2"/>
      <c r="P196" s="2"/>
      <c r="Q196" s="2"/>
      <c r="R196" s="2"/>
      <c r="S196" s="2" t="s">
        <v>154</v>
      </c>
      <c r="T196" s="2"/>
    </row>
    <row r="197" spans="1:20" ht="120" x14ac:dyDescent="0.25">
      <c r="A197" s="2" t="s">
        <v>345</v>
      </c>
      <c r="B197" s="2" t="s">
        <v>346</v>
      </c>
      <c r="C197" s="2" t="s">
        <v>304</v>
      </c>
      <c r="D197" s="2">
        <v>8711</v>
      </c>
      <c r="E197" s="2">
        <v>1186</v>
      </c>
      <c r="F197" s="2" t="s">
        <v>347</v>
      </c>
      <c r="G197" s="2" t="s">
        <v>353</v>
      </c>
      <c r="H197" s="2" t="s">
        <v>150</v>
      </c>
      <c r="I197" s="2" t="s">
        <v>123</v>
      </c>
      <c r="J197" s="2">
        <v>4</v>
      </c>
      <c r="K197" s="2" t="s">
        <v>151</v>
      </c>
      <c r="L197" s="2" t="s">
        <v>152</v>
      </c>
      <c r="M197" s="2" t="s">
        <v>153</v>
      </c>
      <c r="N197" s="2" t="str">
        <f>HYPERLINK("https://klocwork.dal.design.ti.com:443/review/insight-review.html#issuedetails_goto:problemid=8711,project=MCUSW_J7_KW_FULL,searchquery=taxonomy:'' build:RS-2022-10-06_06-07-58 grouping:off module:CddIpc","KW Issue Link")</f>
        <v>KW Issue Link</v>
      </c>
      <c r="O197" s="2"/>
      <c r="P197" s="2"/>
      <c r="Q197" s="2"/>
      <c r="R197" s="2"/>
      <c r="S197" s="2" t="s">
        <v>154</v>
      </c>
      <c r="T197" s="2"/>
    </row>
    <row r="198" spans="1:20" ht="120" x14ac:dyDescent="0.25">
      <c r="A198" s="2" t="s">
        <v>246</v>
      </c>
      <c r="B198" s="2" t="s">
        <v>247</v>
      </c>
      <c r="C198" s="2" t="s">
        <v>304</v>
      </c>
      <c r="D198" s="2">
        <v>8714</v>
      </c>
      <c r="E198" s="2">
        <v>525</v>
      </c>
      <c r="F198" s="2" t="s">
        <v>354</v>
      </c>
      <c r="G198" s="2" t="s">
        <v>339</v>
      </c>
      <c r="H198" s="2" t="s">
        <v>150</v>
      </c>
      <c r="I198" s="2" t="s">
        <v>123</v>
      </c>
      <c r="J198" s="2">
        <v>4</v>
      </c>
      <c r="K198" s="2" t="s">
        <v>151</v>
      </c>
      <c r="L198" s="2" t="s">
        <v>152</v>
      </c>
      <c r="M198" s="2" t="s">
        <v>153</v>
      </c>
      <c r="N198" s="2" t="str">
        <f>HYPERLINK("https://klocwork.dal.design.ti.com:443/review/insight-review.html#issuedetails_goto:problemid=8714,project=MCUSW_J7_KW_FULL,searchquery=taxonomy:'' build:RS-2022-10-06_06-07-58 grouping:off module:CddIpc","KW Issue Link")</f>
        <v>KW Issue Link</v>
      </c>
      <c r="O198" s="2"/>
      <c r="P198" s="2"/>
      <c r="Q198" s="2"/>
      <c r="R198" s="2"/>
      <c r="S198" s="2" t="s">
        <v>154</v>
      </c>
      <c r="T198" s="2"/>
    </row>
    <row r="199" spans="1:20" ht="120" x14ac:dyDescent="0.25">
      <c r="A199" s="2" t="s">
        <v>246</v>
      </c>
      <c r="B199" s="2" t="s">
        <v>247</v>
      </c>
      <c r="C199" s="2" t="s">
        <v>304</v>
      </c>
      <c r="D199" s="2">
        <v>8715</v>
      </c>
      <c r="E199" s="2">
        <v>1125</v>
      </c>
      <c r="F199" s="2" t="s">
        <v>355</v>
      </c>
      <c r="G199" s="2" t="s">
        <v>336</v>
      </c>
      <c r="H199" s="2" t="s">
        <v>150</v>
      </c>
      <c r="I199" s="2" t="s">
        <v>123</v>
      </c>
      <c r="J199" s="2">
        <v>4</v>
      </c>
      <c r="K199" s="2" t="s">
        <v>151</v>
      </c>
      <c r="L199" s="2" t="s">
        <v>152</v>
      </c>
      <c r="M199" s="2" t="s">
        <v>153</v>
      </c>
      <c r="N199" s="2" t="str">
        <f>HYPERLINK("https://klocwork.dal.design.ti.com:443/review/insight-review.html#issuedetails_goto:problemid=8715,project=MCUSW_J7_KW_FULL,searchquery=taxonomy:'' build:RS-2022-10-06_06-07-58 grouping:off module:CddIpc","KW Issue Link")</f>
        <v>KW Issue Link</v>
      </c>
      <c r="O199" s="2"/>
      <c r="P199" s="2"/>
      <c r="Q199" s="2"/>
      <c r="R199" s="2"/>
      <c r="S199" s="2" t="s">
        <v>154</v>
      </c>
      <c r="T199" s="2"/>
    </row>
    <row r="200" spans="1:20" ht="120" x14ac:dyDescent="0.25">
      <c r="A200" s="2" t="s">
        <v>246</v>
      </c>
      <c r="B200" s="2" t="s">
        <v>247</v>
      </c>
      <c r="C200" s="2" t="s">
        <v>304</v>
      </c>
      <c r="D200" s="2">
        <v>8716</v>
      </c>
      <c r="E200" s="2">
        <v>1338</v>
      </c>
      <c r="F200" s="2" t="s">
        <v>356</v>
      </c>
      <c r="G200" s="2" t="s">
        <v>341</v>
      </c>
      <c r="H200" s="2" t="s">
        <v>150</v>
      </c>
      <c r="I200" s="2" t="s">
        <v>123</v>
      </c>
      <c r="J200" s="2">
        <v>4</v>
      </c>
      <c r="K200" s="2" t="s">
        <v>151</v>
      </c>
      <c r="L200" s="2" t="s">
        <v>152</v>
      </c>
      <c r="M200" s="2" t="s">
        <v>153</v>
      </c>
      <c r="N200" s="2" t="str">
        <f>HYPERLINK("https://klocwork.dal.design.ti.com:443/review/insight-review.html#issuedetails_goto:problemid=8716,project=MCUSW_J7_KW_FULL,searchquery=taxonomy:'' build:RS-2022-10-06_06-07-58 grouping:off module:CddIpc","KW Issue Link")</f>
        <v>KW Issue Link</v>
      </c>
      <c r="O200" s="2"/>
      <c r="P200" s="2"/>
      <c r="Q200" s="2"/>
      <c r="R200" s="2"/>
      <c r="S200" s="2" t="s">
        <v>154</v>
      </c>
      <c r="T200" s="2"/>
    </row>
    <row r="201" spans="1:20" ht="120" x14ac:dyDescent="0.25">
      <c r="A201" s="2" t="s">
        <v>246</v>
      </c>
      <c r="B201" s="2" t="s">
        <v>247</v>
      </c>
      <c r="C201" s="2" t="s">
        <v>304</v>
      </c>
      <c r="D201" s="2">
        <v>8717</v>
      </c>
      <c r="E201" s="2">
        <v>1478</v>
      </c>
      <c r="F201" s="2" t="s">
        <v>357</v>
      </c>
      <c r="G201" s="2" t="s">
        <v>358</v>
      </c>
      <c r="H201" s="2" t="s">
        <v>150</v>
      </c>
      <c r="I201" s="2" t="s">
        <v>123</v>
      </c>
      <c r="J201" s="2">
        <v>4</v>
      </c>
      <c r="K201" s="2" t="s">
        <v>151</v>
      </c>
      <c r="L201" s="2" t="s">
        <v>152</v>
      </c>
      <c r="M201" s="2" t="s">
        <v>153</v>
      </c>
      <c r="N201" s="2" t="str">
        <f>HYPERLINK("https://klocwork.dal.design.ti.com:443/review/insight-review.html#issuedetails_goto:problemid=8717,project=MCUSW_J7_KW_FULL,searchquery=taxonomy:'' build:RS-2022-10-06_06-07-58 grouping:off module:CddIpc","KW Issue Link")</f>
        <v>KW Issue Link</v>
      </c>
      <c r="O201" s="2"/>
      <c r="P201" s="2"/>
      <c r="Q201" s="2"/>
      <c r="R201" s="2"/>
      <c r="S201" s="2" t="s">
        <v>154</v>
      </c>
      <c r="T201" s="2"/>
    </row>
    <row r="202" spans="1:20" ht="120" x14ac:dyDescent="0.25">
      <c r="A202" s="2" t="s">
        <v>359</v>
      </c>
      <c r="B202" s="2" t="s">
        <v>360</v>
      </c>
      <c r="C202" s="2" t="s">
        <v>304</v>
      </c>
      <c r="D202" s="2">
        <v>8718</v>
      </c>
      <c r="E202" s="2">
        <v>273</v>
      </c>
      <c r="F202" s="2" t="s">
        <v>361</v>
      </c>
      <c r="G202" s="2" t="s">
        <v>362</v>
      </c>
      <c r="H202" s="2" t="s">
        <v>150</v>
      </c>
      <c r="I202" s="2" t="s">
        <v>123</v>
      </c>
      <c r="J202" s="2">
        <v>4</v>
      </c>
      <c r="K202" s="2" t="s">
        <v>151</v>
      </c>
      <c r="L202" s="2" t="s">
        <v>152</v>
      </c>
      <c r="M202" s="2" t="s">
        <v>153</v>
      </c>
      <c r="N202" s="2" t="str">
        <f>HYPERLINK("https://klocwork.dal.design.ti.com:443/review/insight-review.html#issuedetails_goto:problemid=8718,project=MCUSW_J7_KW_FULL,searchquery=taxonomy:'' build:RS-2022-10-06_06-07-58 grouping:off module:CddIpc","KW Issue Link")</f>
        <v>KW Issue Link</v>
      </c>
      <c r="O202" s="2"/>
      <c r="P202" s="2"/>
      <c r="Q202" s="2"/>
      <c r="R202" s="2"/>
      <c r="S202" s="2" t="s">
        <v>154</v>
      </c>
      <c r="T202" s="2"/>
    </row>
    <row r="203" spans="1:20" ht="120" x14ac:dyDescent="0.25">
      <c r="A203" s="2" t="s">
        <v>359</v>
      </c>
      <c r="B203" s="2" t="s">
        <v>360</v>
      </c>
      <c r="C203" s="2" t="s">
        <v>304</v>
      </c>
      <c r="D203" s="2">
        <v>8719</v>
      </c>
      <c r="E203" s="2">
        <v>281</v>
      </c>
      <c r="F203" s="2" t="s">
        <v>363</v>
      </c>
      <c r="G203" s="2" t="s">
        <v>350</v>
      </c>
      <c r="H203" s="2" t="s">
        <v>150</v>
      </c>
      <c r="I203" s="2" t="s">
        <v>123</v>
      </c>
      <c r="J203" s="2">
        <v>4</v>
      </c>
      <c r="K203" s="2" t="s">
        <v>151</v>
      </c>
      <c r="L203" s="2" t="s">
        <v>152</v>
      </c>
      <c r="M203" s="2" t="s">
        <v>153</v>
      </c>
      <c r="N203" s="2" t="str">
        <f>HYPERLINK("https://klocwork.dal.design.ti.com:443/review/insight-review.html#issuedetails_goto:problemid=8719,project=MCUSW_J7_KW_FULL,searchquery=taxonomy:'' build:RS-2022-10-06_06-07-58 grouping:off module:CddIpc","KW Issue Link")</f>
        <v>KW Issue Link</v>
      </c>
      <c r="O203" s="2"/>
      <c r="P203" s="2"/>
      <c r="Q203" s="2"/>
      <c r="R203" s="2"/>
      <c r="S203" s="2" t="s">
        <v>154</v>
      </c>
      <c r="T203" s="2"/>
    </row>
    <row r="204" spans="1:20" ht="120" x14ac:dyDescent="0.25">
      <c r="A204" s="2" t="s">
        <v>359</v>
      </c>
      <c r="B204" s="2" t="s">
        <v>360</v>
      </c>
      <c r="C204" s="2" t="s">
        <v>304</v>
      </c>
      <c r="D204" s="2">
        <v>8720</v>
      </c>
      <c r="E204" s="2">
        <v>303</v>
      </c>
      <c r="F204" s="2" t="s">
        <v>363</v>
      </c>
      <c r="G204" s="2" t="s">
        <v>325</v>
      </c>
      <c r="H204" s="2" t="s">
        <v>150</v>
      </c>
      <c r="I204" s="2" t="s">
        <v>123</v>
      </c>
      <c r="J204" s="2">
        <v>4</v>
      </c>
      <c r="K204" s="2" t="s">
        <v>151</v>
      </c>
      <c r="L204" s="2" t="s">
        <v>152</v>
      </c>
      <c r="M204" s="2" t="s">
        <v>153</v>
      </c>
      <c r="N204" s="2" t="str">
        <f>HYPERLINK("https://klocwork.dal.design.ti.com:443/review/insight-review.html#issuedetails_goto:problemid=8720,project=MCUSW_J7_KW_FULL,searchquery=taxonomy:'' build:RS-2022-10-06_06-07-58 grouping:off module:CddIpc","KW Issue Link")</f>
        <v>KW Issue Link</v>
      </c>
      <c r="O204" s="2"/>
      <c r="P204" s="2"/>
      <c r="Q204" s="2"/>
      <c r="R204" s="2"/>
      <c r="S204" s="2" t="s">
        <v>154</v>
      </c>
      <c r="T204" s="2"/>
    </row>
    <row r="205" spans="1:20" ht="120" x14ac:dyDescent="0.25">
      <c r="A205" s="2" t="s">
        <v>359</v>
      </c>
      <c r="B205" s="2" t="s">
        <v>360</v>
      </c>
      <c r="C205" s="2" t="s">
        <v>304</v>
      </c>
      <c r="D205" s="2">
        <v>8724</v>
      </c>
      <c r="E205" s="2">
        <v>952</v>
      </c>
      <c r="F205" s="2" t="s">
        <v>363</v>
      </c>
      <c r="G205" s="2" t="s">
        <v>332</v>
      </c>
      <c r="H205" s="2" t="s">
        <v>150</v>
      </c>
      <c r="I205" s="2" t="s">
        <v>123</v>
      </c>
      <c r="J205" s="2">
        <v>4</v>
      </c>
      <c r="K205" s="2" t="s">
        <v>151</v>
      </c>
      <c r="L205" s="2" t="s">
        <v>152</v>
      </c>
      <c r="M205" s="2" t="s">
        <v>153</v>
      </c>
      <c r="N205" s="2" t="str">
        <f>HYPERLINK("https://klocwork.dal.design.ti.com:443/review/insight-review.html#issuedetails_goto:problemid=8724,project=MCUSW_J7_KW_FULL,searchquery=taxonomy:'' build:RS-2022-10-06_06-07-58 grouping:off module:CddIpc","KW Issue Link")</f>
        <v>KW Issue Link</v>
      </c>
      <c r="O205" s="2"/>
      <c r="P205" s="2"/>
      <c r="Q205" s="2"/>
      <c r="R205" s="2"/>
      <c r="S205" s="2" t="s">
        <v>154</v>
      </c>
      <c r="T205" s="2"/>
    </row>
    <row r="206" spans="1:20" ht="120" x14ac:dyDescent="0.25">
      <c r="A206" s="2" t="s">
        <v>359</v>
      </c>
      <c r="B206" s="2" t="s">
        <v>360</v>
      </c>
      <c r="C206" s="2" t="s">
        <v>304</v>
      </c>
      <c r="D206" s="2">
        <v>8726</v>
      </c>
      <c r="E206" s="2">
        <v>1183</v>
      </c>
      <c r="F206" s="2" t="s">
        <v>363</v>
      </c>
      <c r="G206" s="2" t="s">
        <v>353</v>
      </c>
      <c r="H206" s="2" t="s">
        <v>150</v>
      </c>
      <c r="I206" s="2" t="s">
        <v>123</v>
      </c>
      <c r="J206" s="2">
        <v>4</v>
      </c>
      <c r="K206" s="2" t="s">
        <v>151</v>
      </c>
      <c r="L206" s="2" t="s">
        <v>152</v>
      </c>
      <c r="M206" s="2" t="s">
        <v>153</v>
      </c>
      <c r="N206" s="2" t="str">
        <f>HYPERLINK("https://klocwork.dal.design.ti.com:443/review/insight-review.html#issuedetails_goto:problemid=8726,project=MCUSW_J7_KW_FULL,searchquery=taxonomy:'' build:RS-2022-10-06_06-07-58 grouping:off module:CddIpc","KW Issue Link")</f>
        <v>KW Issue Link</v>
      </c>
      <c r="O206" s="2"/>
      <c r="P206" s="2"/>
      <c r="Q206" s="2"/>
      <c r="R206" s="2"/>
      <c r="S206" s="2" t="s">
        <v>154</v>
      </c>
      <c r="T206" s="2"/>
    </row>
    <row r="207" spans="1:20" ht="120" x14ac:dyDescent="0.25">
      <c r="A207" s="2" t="s">
        <v>359</v>
      </c>
      <c r="B207" s="2" t="s">
        <v>360</v>
      </c>
      <c r="C207" s="2" t="s">
        <v>304</v>
      </c>
      <c r="D207" s="2">
        <v>8727</v>
      </c>
      <c r="E207" s="2">
        <v>1299</v>
      </c>
      <c r="F207" s="2" t="s">
        <v>364</v>
      </c>
      <c r="G207" s="2" t="s">
        <v>341</v>
      </c>
      <c r="H207" s="2" t="s">
        <v>150</v>
      </c>
      <c r="I207" s="2" t="s">
        <v>123</v>
      </c>
      <c r="J207" s="2">
        <v>4</v>
      </c>
      <c r="K207" s="2" t="s">
        <v>151</v>
      </c>
      <c r="L207" s="2" t="s">
        <v>152</v>
      </c>
      <c r="M207" s="2" t="s">
        <v>153</v>
      </c>
      <c r="N207" s="2" t="str">
        <f>HYPERLINK("https://klocwork.dal.design.ti.com:443/review/insight-review.html#issuedetails_goto:problemid=8727,project=MCUSW_J7_KW_FULL,searchquery=taxonomy:'' build:RS-2022-10-06_06-07-58 grouping:off module:CddIpc","KW Issue Link")</f>
        <v>KW Issue Link</v>
      </c>
      <c r="O207" s="2"/>
      <c r="P207" s="2"/>
      <c r="Q207" s="2"/>
      <c r="R207" s="2"/>
      <c r="S207" s="2" t="s">
        <v>154</v>
      </c>
      <c r="T207" s="2"/>
    </row>
    <row r="208" spans="1:20" ht="120" x14ac:dyDescent="0.25">
      <c r="A208" s="2" t="s">
        <v>365</v>
      </c>
      <c r="B208" s="2" t="s">
        <v>366</v>
      </c>
      <c r="C208" s="2" t="s">
        <v>304</v>
      </c>
      <c r="D208" s="2">
        <v>8728</v>
      </c>
      <c r="E208" s="2">
        <v>274</v>
      </c>
      <c r="F208" s="2" t="s">
        <v>367</v>
      </c>
      <c r="G208" s="2" t="s">
        <v>362</v>
      </c>
      <c r="H208" s="2" t="s">
        <v>150</v>
      </c>
      <c r="I208" s="2" t="s">
        <v>123</v>
      </c>
      <c r="J208" s="2">
        <v>4</v>
      </c>
      <c r="K208" s="2" t="s">
        <v>151</v>
      </c>
      <c r="L208" s="2" t="s">
        <v>152</v>
      </c>
      <c r="M208" s="2" t="s">
        <v>153</v>
      </c>
      <c r="N208" s="2" t="str">
        <f>HYPERLINK("https://klocwork.dal.design.ti.com:443/review/insight-review.html#issuedetails_goto:problemid=8728,project=MCUSW_J7_KW_FULL,searchquery=taxonomy:'' build:RS-2022-10-06_06-07-58 grouping:off module:CddIpc","KW Issue Link")</f>
        <v>KW Issue Link</v>
      </c>
      <c r="O208" s="2"/>
      <c r="P208" s="2"/>
      <c r="Q208" s="2"/>
      <c r="R208" s="2"/>
      <c r="S208" s="2" t="s">
        <v>154</v>
      </c>
      <c r="T208" s="2"/>
    </row>
    <row r="209" spans="1:20" ht="120" x14ac:dyDescent="0.25">
      <c r="A209" s="2" t="s">
        <v>365</v>
      </c>
      <c r="B209" s="2" t="s">
        <v>366</v>
      </c>
      <c r="C209" s="2" t="s">
        <v>304</v>
      </c>
      <c r="D209" s="2">
        <v>8729</v>
      </c>
      <c r="E209" s="2">
        <v>511</v>
      </c>
      <c r="F209" s="2" t="s">
        <v>368</v>
      </c>
      <c r="G209" s="2" t="s">
        <v>339</v>
      </c>
      <c r="H209" s="2" t="s">
        <v>150</v>
      </c>
      <c r="I209" s="2" t="s">
        <v>123</v>
      </c>
      <c r="J209" s="2">
        <v>4</v>
      </c>
      <c r="K209" s="2" t="s">
        <v>151</v>
      </c>
      <c r="L209" s="2" t="s">
        <v>152</v>
      </c>
      <c r="M209" s="2" t="s">
        <v>153</v>
      </c>
      <c r="N209" s="2" t="str">
        <f>HYPERLINK("https://klocwork.dal.design.ti.com:443/review/insight-review.html#issuedetails_goto:problemid=8729,project=MCUSW_J7_KW_FULL,searchquery=taxonomy:'' build:RS-2022-10-06_06-07-58 grouping:off module:CddIpc","KW Issue Link")</f>
        <v>KW Issue Link</v>
      </c>
      <c r="O209" s="2"/>
      <c r="P209" s="2"/>
      <c r="Q209" s="2"/>
      <c r="R209" s="2"/>
      <c r="S209" s="2" t="s">
        <v>154</v>
      </c>
      <c r="T209" s="2"/>
    </row>
    <row r="210" spans="1:20" ht="120" x14ac:dyDescent="0.25">
      <c r="A210" s="2" t="s">
        <v>365</v>
      </c>
      <c r="B210" s="2" t="s">
        <v>366</v>
      </c>
      <c r="C210" s="2" t="s">
        <v>304</v>
      </c>
      <c r="D210" s="2">
        <v>8730</v>
      </c>
      <c r="E210" s="2">
        <v>713</v>
      </c>
      <c r="F210" s="2" t="s">
        <v>368</v>
      </c>
      <c r="G210" s="2" t="s">
        <v>369</v>
      </c>
      <c r="H210" s="2" t="s">
        <v>150</v>
      </c>
      <c r="I210" s="2" t="s">
        <v>123</v>
      </c>
      <c r="J210" s="2">
        <v>4</v>
      </c>
      <c r="K210" s="2" t="s">
        <v>151</v>
      </c>
      <c r="L210" s="2" t="s">
        <v>152</v>
      </c>
      <c r="M210" s="2" t="s">
        <v>153</v>
      </c>
      <c r="N210" s="2" t="str">
        <f>HYPERLINK("https://klocwork.dal.design.ti.com:443/review/insight-review.html#issuedetails_goto:problemid=8730,project=MCUSW_J7_KW_FULL,searchquery=taxonomy:'' build:RS-2022-10-06_06-07-58 grouping:off module:CddIpc","KW Issue Link")</f>
        <v>KW Issue Link</v>
      </c>
      <c r="O210" s="2"/>
      <c r="P210" s="2"/>
      <c r="Q210" s="2"/>
      <c r="R210" s="2"/>
      <c r="S210" s="2" t="s">
        <v>154</v>
      </c>
      <c r="T210" s="2"/>
    </row>
    <row r="211" spans="1:20" ht="120" x14ac:dyDescent="0.25">
      <c r="A211" s="2" t="s">
        <v>365</v>
      </c>
      <c r="B211" s="2" t="s">
        <v>366</v>
      </c>
      <c r="C211" s="2" t="s">
        <v>304</v>
      </c>
      <c r="D211" s="2">
        <v>8731</v>
      </c>
      <c r="E211" s="2">
        <v>986</v>
      </c>
      <c r="F211" s="2" t="s">
        <v>367</v>
      </c>
      <c r="G211" s="2" t="s">
        <v>332</v>
      </c>
      <c r="H211" s="2" t="s">
        <v>150</v>
      </c>
      <c r="I211" s="2" t="s">
        <v>123</v>
      </c>
      <c r="J211" s="2">
        <v>4</v>
      </c>
      <c r="K211" s="2" t="s">
        <v>151</v>
      </c>
      <c r="L211" s="2" t="s">
        <v>152</v>
      </c>
      <c r="M211" s="2" t="s">
        <v>153</v>
      </c>
      <c r="N211" s="2" t="str">
        <f>HYPERLINK("https://klocwork.dal.design.ti.com:443/review/insight-review.html#issuedetails_goto:problemid=8731,project=MCUSW_J7_KW_FULL,searchquery=taxonomy:'' build:RS-2022-10-06_06-07-58 grouping:off module:CddIpc","KW Issue Link")</f>
        <v>KW Issue Link</v>
      </c>
      <c r="O211" s="2"/>
      <c r="P211" s="2"/>
      <c r="Q211" s="2"/>
      <c r="R211" s="2"/>
      <c r="S211" s="2" t="s">
        <v>154</v>
      </c>
      <c r="T211" s="2"/>
    </row>
    <row r="212" spans="1:20" ht="120" x14ac:dyDescent="0.25">
      <c r="A212" s="2" t="s">
        <v>365</v>
      </c>
      <c r="B212" s="2" t="s">
        <v>366</v>
      </c>
      <c r="C212" s="2" t="s">
        <v>304</v>
      </c>
      <c r="D212" s="2">
        <v>8732</v>
      </c>
      <c r="E212" s="2">
        <v>996</v>
      </c>
      <c r="F212" s="2" t="s">
        <v>367</v>
      </c>
      <c r="G212" s="2" t="s">
        <v>332</v>
      </c>
      <c r="H212" s="2" t="s">
        <v>150</v>
      </c>
      <c r="I212" s="2" t="s">
        <v>123</v>
      </c>
      <c r="J212" s="2">
        <v>4</v>
      </c>
      <c r="K212" s="2" t="s">
        <v>151</v>
      </c>
      <c r="L212" s="2" t="s">
        <v>152</v>
      </c>
      <c r="M212" s="2" t="s">
        <v>153</v>
      </c>
      <c r="N212" s="2" t="str">
        <f>HYPERLINK("https://klocwork.dal.design.ti.com:443/review/insight-review.html#issuedetails_goto:problemid=8732,project=MCUSW_J7_KW_FULL,searchquery=taxonomy:'' build:RS-2022-10-06_06-07-58 grouping:off module:CddIpc","KW Issue Link")</f>
        <v>KW Issue Link</v>
      </c>
      <c r="O212" s="2"/>
      <c r="P212" s="2"/>
      <c r="Q212" s="2"/>
      <c r="R212" s="2"/>
      <c r="S212" s="2" t="s">
        <v>154</v>
      </c>
      <c r="T212" s="2"/>
    </row>
    <row r="213" spans="1:20" ht="120" x14ac:dyDescent="0.25">
      <c r="A213" s="2" t="s">
        <v>365</v>
      </c>
      <c r="B213" s="2" t="s">
        <v>366</v>
      </c>
      <c r="C213" s="2" t="s">
        <v>304</v>
      </c>
      <c r="D213" s="2">
        <v>8733</v>
      </c>
      <c r="E213" s="2">
        <v>1015</v>
      </c>
      <c r="F213" s="2" t="s">
        <v>367</v>
      </c>
      <c r="G213" s="2" t="s">
        <v>332</v>
      </c>
      <c r="H213" s="2" t="s">
        <v>150</v>
      </c>
      <c r="I213" s="2" t="s">
        <v>123</v>
      </c>
      <c r="J213" s="2">
        <v>4</v>
      </c>
      <c r="K213" s="2" t="s">
        <v>151</v>
      </c>
      <c r="L213" s="2" t="s">
        <v>152</v>
      </c>
      <c r="M213" s="2" t="s">
        <v>153</v>
      </c>
      <c r="N213" s="2" t="str">
        <f>HYPERLINK("https://klocwork.dal.design.ti.com:443/review/insight-review.html#issuedetails_goto:problemid=8733,project=MCUSW_J7_KW_FULL,searchquery=taxonomy:'' build:RS-2022-10-06_06-07-58 grouping:off module:CddIpc","KW Issue Link")</f>
        <v>KW Issue Link</v>
      </c>
      <c r="O213" s="2"/>
      <c r="P213" s="2"/>
      <c r="Q213" s="2"/>
      <c r="R213" s="2"/>
      <c r="S213" s="2" t="s">
        <v>154</v>
      </c>
      <c r="T213" s="2"/>
    </row>
    <row r="214" spans="1:20" ht="120" x14ac:dyDescent="0.25">
      <c r="A214" s="2" t="s">
        <v>365</v>
      </c>
      <c r="B214" s="2" t="s">
        <v>366</v>
      </c>
      <c r="C214" s="2" t="s">
        <v>304</v>
      </c>
      <c r="D214" s="2">
        <v>8734</v>
      </c>
      <c r="E214" s="2">
        <v>1102</v>
      </c>
      <c r="F214" s="2" t="s">
        <v>370</v>
      </c>
      <c r="G214" s="2" t="s">
        <v>336</v>
      </c>
      <c r="H214" s="2" t="s">
        <v>150</v>
      </c>
      <c r="I214" s="2" t="s">
        <v>123</v>
      </c>
      <c r="J214" s="2">
        <v>4</v>
      </c>
      <c r="K214" s="2" t="s">
        <v>151</v>
      </c>
      <c r="L214" s="2" t="s">
        <v>152</v>
      </c>
      <c r="M214" s="2" t="s">
        <v>153</v>
      </c>
      <c r="N214" s="2" t="str">
        <f>HYPERLINK("https://klocwork.dal.design.ti.com:443/review/insight-review.html#issuedetails_goto:problemid=8734,project=MCUSW_J7_KW_FULL,searchquery=taxonomy:'' build:RS-2022-10-06_06-07-58 grouping:off module:CddIpc","KW Issue Link")</f>
        <v>KW Issue Link</v>
      </c>
      <c r="O214" s="2"/>
      <c r="P214" s="2"/>
      <c r="Q214" s="2"/>
      <c r="R214" s="2"/>
      <c r="S214" s="2" t="s">
        <v>154</v>
      </c>
      <c r="T214" s="2"/>
    </row>
    <row r="215" spans="1:20" ht="120" x14ac:dyDescent="0.25">
      <c r="A215" s="2" t="s">
        <v>179</v>
      </c>
      <c r="B215" s="2" t="s">
        <v>180</v>
      </c>
      <c r="C215" s="2" t="s">
        <v>304</v>
      </c>
      <c r="D215" s="2">
        <v>8735</v>
      </c>
      <c r="E215" s="2">
        <v>297</v>
      </c>
      <c r="F215" s="2" t="s">
        <v>371</v>
      </c>
      <c r="G215" s="2" t="s">
        <v>325</v>
      </c>
      <c r="H215" s="2" t="s">
        <v>150</v>
      </c>
      <c r="I215" s="2" t="s">
        <v>124</v>
      </c>
      <c r="J215" s="2">
        <v>8</v>
      </c>
      <c r="K215" s="2" t="s">
        <v>151</v>
      </c>
      <c r="L215" s="2" t="s">
        <v>152</v>
      </c>
      <c r="M215" s="2" t="s">
        <v>182</v>
      </c>
      <c r="N215" s="2" t="str">
        <f>HYPERLINK("https://klocwork.dal.design.ti.com:443/review/insight-review.html#issuedetails_goto:problemid=8735,project=MCUSW_J7_KW_FULL,searchquery=taxonomy:'' build:RS-2022-10-06_06-07-58 grouping:off module:CddIpc","KW Issue Link")</f>
        <v>KW Issue Link</v>
      </c>
      <c r="O215" s="2"/>
      <c r="P215" s="2"/>
      <c r="Q215" s="2"/>
      <c r="R215" s="2"/>
      <c r="S215" s="2" t="s">
        <v>154</v>
      </c>
      <c r="T215" s="2"/>
    </row>
    <row r="216" spans="1:20" ht="120" x14ac:dyDescent="0.25">
      <c r="A216" s="2" t="s">
        <v>179</v>
      </c>
      <c r="B216" s="2" t="s">
        <v>180</v>
      </c>
      <c r="C216" s="2" t="s">
        <v>304</v>
      </c>
      <c r="D216" s="2">
        <v>8736</v>
      </c>
      <c r="E216" s="2">
        <v>495</v>
      </c>
      <c r="F216" s="2" t="s">
        <v>372</v>
      </c>
      <c r="G216" s="2" t="s">
        <v>339</v>
      </c>
      <c r="H216" s="2" t="s">
        <v>150</v>
      </c>
      <c r="I216" s="2" t="s">
        <v>124</v>
      </c>
      <c r="J216" s="2">
        <v>8</v>
      </c>
      <c r="K216" s="2" t="s">
        <v>151</v>
      </c>
      <c r="L216" s="2" t="s">
        <v>152</v>
      </c>
      <c r="M216" s="2" t="s">
        <v>182</v>
      </c>
      <c r="N216" s="2" t="str">
        <f>HYPERLINK("https://klocwork.dal.design.ti.com:443/review/insight-review.html#issuedetails_goto:problemid=8736,project=MCUSW_J7_KW_FULL,searchquery=taxonomy:'' build:RS-2022-10-06_06-07-58 grouping:off module:CddIpc","KW Issue Link")</f>
        <v>KW Issue Link</v>
      </c>
      <c r="O216" s="2"/>
      <c r="P216" s="2"/>
      <c r="Q216" s="2"/>
      <c r="R216" s="2"/>
      <c r="S216" s="2" t="s">
        <v>154</v>
      </c>
      <c r="T216" s="2"/>
    </row>
    <row r="217" spans="1:20" ht="120" x14ac:dyDescent="0.25">
      <c r="A217" s="2" t="s">
        <v>179</v>
      </c>
      <c r="B217" s="2" t="s">
        <v>180</v>
      </c>
      <c r="C217" s="2" t="s">
        <v>304</v>
      </c>
      <c r="D217" s="2">
        <v>8737</v>
      </c>
      <c r="E217" s="2">
        <v>792</v>
      </c>
      <c r="F217" s="2" t="s">
        <v>373</v>
      </c>
      <c r="G217" s="2" t="s">
        <v>330</v>
      </c>
      <c r="H217" s="2" t="s">
        <v>150</v>
      </c>
      <c r="I217" s="2" t="s">
        <v>124</v>
      </c>
      <c r="J217" s="2">
        <v>8</v>
      </c>
      <c r="K217" s="2" t="s">
        <v>151</v>
      </c>
      <c r="L217" s="2" t="s">
        <v>152</v>
      </c>
      <c r="M217" s="2" t="s">
        <v>182</v>
      </c>
      <c r="N217" s="2" t="str">
        <f>HYPERLINK("https://klocwork.dal.design.ti.com:443/review/insight-review.html#issuedetails_goto:problemid=8737,project=MCUSW_J7_KW_FULL,searchquery=taxonomy:'' build:RS-2022-10-06_06-07-58 grouping:off module:CddIpc","KW Issue Link")</f>
        <v>KW Issue Link</v>
      </c>
      <c r="O217" s="2"/>
      <c r="P217" s="2"/>
      <c r="Q217" s="2"/>
      <c r="R217" s="2"/>
      <c r="S217" s="2" t="s">
        <v>154</v>
      </c>
      <c r="T217" s="2"/>
    </row>
    <row r="218" spans="1:20" ht="120" x14ac:dyDescent="0.25">
      <c r="A218" s="2" t="s">
        <v>179</v>
      </c>
      <c r="B218" s="2" t="s">
        <v>180</v>
      </c>
      <c r="C218" s="2" t="s">
        <v>304</v>
      </c>
      <c r="D218" s="2">
        <v>8738</v>
      </c>
      <c r="E218" s="2">
        <v>947</v>
      </c>
      <c r="F218" s="2" t="s">
        <v>374</v>
      </c>
      <c r="G218" s="2" t="s">
        <v>332</v>
      </c>
      <c r="H218" s="2" t="s">
        <v>150</v>
      </c>
      <c r="I218" s="2" t="s">
        <v>124</v>
      </c>
      <c r="J218" s="2">
        <v>8</v>
      </c>
      <c r="K218" s="2" t="s">
        <v>151</v>
      </c>
      <c r="L218" s="2" t="s">
        <v>152</v>
      </c>
      <c r="M218" s="2" t="s">
        <v>182</v>
      </c>
      <c r="N218" s="2" t="str">
        <f>HYPERLINK("https://klocwork.dal.design.ti.com:443/review/insight-review.html#issuedetails_goto:problemid=8738,project=MCUSW_J7_KW_FULL,searchquery=taxonomy:'' build:RS-2022-10-06_06-07-58 grouping:off module:CddIpc","KW Issue Link")</f>
        <v>KW Issue Link</v>
      </c>
      <c r="O218" s="2"/>
      <c r="P218" s="2"/>
      <c r="Q218" s="2"/>
      <c r="R218" s="2"/>
      <c r="S218" s="2" t="s">
        <v>154</v>
      </c>
      <c r="T218" s="2"/>
    </row>
    <row r="219" spans="1:20" ht="120" x14ac:dyDescent="0.25">
      <c r="A219" s="2" t="s">
        <v>179</v>
      </c>
      <c r="B219" s="2" t="s">
        <v>180</v>
      </c>
      <c r="C219" s="2" t="s">
        <v>304</v>
      </c>
      <c r="D219" s="2">
        <v>8739</v>
      </c>
      <c r="E219" s="2">
        <v>1071</v>
      </c>
      <c r="F219" s="2" t="s">
        <v>375</v>
      </c>
      <c r="G219" s="2" t="s">
        <v>336</v>
      </c>
      <c r="H219" s="2" t="s">
        <v>150</v>
      </c>
      <c r="I219" s="2" t="s">
        <v>124</v>
      </c>
      <c r="J219" s="2">
        <v>8</v>
      </c>
      <c r="K219" s="2" t="s">
        <v>151</v>
      </c>
      <c r="L219" s="2" t="s">
        <v>152</v>
      </c>
      <c r="M219" s="2" t="s">
        <v>182</v>
      </c>
      <c r="N219" s="2" t="str">
        <f>HYPERLINK("https://klocwork.dal.design.ti.com:443/review/insight-review.html#issuedetails_goto:problemid=8739,project=MCUSW_J7_KW_FULL,searchquery=taxonomy:'' build:RS-2022-10-06_06-07-58 grouping:off module:CddIpc","KW Issue Link")</f>
        <v>KW Issue Link</v>
      </c>
      <c r="O219" s="2"/>
      <c r="P219" s="2"/>
      <c r="Q219" s="2"/>
      <c r="R219" s="2"/>
      <c r="S219" s="2" t="s">
        <v>154</v>
      </c>
      <c r="T219" s="2"/>
    </row>
    <row r="220" spans="1:20" ht="120" x14ac:dyDescent="0.25">
      <c r="A220" s="2" t="s">
        <v>179</v>
      </c>
      <c r="B220" s="2" t="s">
        <v>180</v>
      </c>
      <c r="C220" s="2" t="s">
        <v>304</v>
      </c>
      <c r="D220" s="2">
        <v>8740</v>
      </c>
      <c r="E220" s="2">
        <v>1221</v>
      </c>
      <c r="F220" s="2" t="s">
        <v>376</v>
      </c>
      <c r="G220" s="2" t="s">
        <v>333</v>
      </c>
      <c r="H220" s="2" t="s">
        <v>150</v>
      </c>
      <c r="I220" s="2" t="s">
        <v>124</v>
      </c>
      <c r="J220" s="2">
        <v>8</v>
      </c>
      <c r="K220" s="2" t="s">
        <v>151</v>
      </c>
      <c r="L220" s="2" t="s">
        <v>152</v>
      </c>
      <c r="M220" s="2" t="s">
        <v>182</v>
      </c>
      <c r="N220" s="2" t="str">
        <f>HYPERLINK("https://klocwork.dal.design.ti.com:443/review/insight-review.html#issuedetails_goto:problemid=8740,project=MCUSW_J7_KW_FULL,searchquery=taxonomy:'' build:RS-2022-10-06_06-07-58 grouping:off module:CddIpc","KW Issue Link")</f>
        <v>KW Issue Link</v>
      </c>
      <c r="O220" s="2"/>
      <c r="P220" s="2"/>
      <c r="Q220" s="2"/>
      <c r="R220" s="2"/>
      <c r="S220" s="2" t="s">
        <v>154</v>
      </c>
      <c r="T220" s="2"/>
    </row>
    <row r="221" spans="1:20" ht="120" x14ac:dyDescent="0.25">
      <c r="A221" s="2" t="s">
        <v>377</v>
      </c>
      <c r="B221" s="2" t="s">
        <v>180</v>
      </c>
      <c r="C221" s="2" t="s">
        <v>304</v>
      </c>
      <c r="D221" s="2">
        <v>8741</v>
      </c>
      <c r="E221" s="2">
        <v>297</v>
      </c>
      <c r="F221" s="2" t="s">
        <v>378</v>
      </c>
      <c r="G221" s="2" t="s">
        <v>325</v>
      </c>
      <c r="H221" s="2" t="s">
        <v>150</v>
      </c>
      <c r="I221" s="2" t="s">
        <v>124</v>
      </c>
      <c r="J221" s="2">
        <v>8</v>
      </c>
      <c r="K221" s="2" t="s">
        <v>151</v>
      </c>
      <c r="L221" s="2" t="s">
        <v>152</v>
      </c>
      <c r="M221" s="2" t="s">
        <v>182</v>
      </c>
      <c r="N221" s="2" t="str">
        <f>HYPERLINK("https://klocwork.dal.design.ti.com:443/review/insight-review.html#issuedetails_goto:problemid=8741,project=MCUSW_J7_KW_FULL,searchquery=taxonomy:'' build:RS-2022-10-06_06-07-58 grouping:off module:CddIpc","KW Issue Link")</f>
        <v>KW Issue Link</v>
      </c>
      <c r="O221" s="2"/>
      <c r="P221" s="2"/>
      <c r="Q221" s="2"/>
      <c r="R221" s="2"/>
      <c r="S221" s="2" t="s">
        <v>154</v>
      </c>
      <c r="T221" s="2"/>
    </row>
    <row r="222" spans="1:20" ht="120" x14ac:dyDescent="0.25">
      <c r="A222" s="2" t="s">
        <v>377</v>
      </c>
      <c r="B222" s="2" t="s">
        <v>180</v>
      </c>
      <c r="C222" s="2" t="s">
        <v>304</v>
      </c>
      <c r="D222" s="2">
        <v>8742</v>
      </c>
      <c r="E222" s="2">
        <v>947</v>
      </c>
      <c r="F222" s="2" t="s">
        <v>379</v>
      </c>
      <c r="G222" s="2" t="s">
        <v>332</v>
      </c>
      <c r="H222" s="2" t="s">
        <v>150</v>
      </c>
      <c r="I222" s="2" t="s">
        <v>124</v>
      </c>
      <c r="J222" s="2">
        <v>8</v>
      </c>
      <c r="K222" s="2" t="s">
        <v>151</v>
      </c>
      <c r="L222" s="2" t="s">
        <v>152</v>
      </c>
      <c r="M222" s="2" t="s">
        <v>182</v>
      </c>
      <c r="N222" s="2" t="str">
        <f>HYPERLINK("https://klocwork.dal.design.ti.com:443/review/insight-review.html#issuedetails_goto:problemid=8742,project=MCUSW_J7_KW_FULL,searchquery=taxonomy:'' build:RS-2022-10-06_06-07-58 grouping:off module:CddIpc","KW Issue Link")</f>
        <v>KW Issue Link</v>
      </c>
      <c r="O222" s="2"/>
      <c r="P222" s="2"/>
      <c r="Q222" s="2"/>
      <c r="R222" s="2"/>
      <c r="S222" s="2" t="s">
        <v>154</v>
      </c>
      <c r="T222" s="2"/>
    </row>
    <row r="223" spans="1:20" ht="120" x14ac:dyDescent="0.25">
      <c r="A223" s="2" t="s">
        <v>380</v>
      </c>
      <c r="B223" s="2" t="s">
        <v>180</v>
      </c>
      <c r="C223" s="2" t="s">
        <v>304</v>
      </c>
      <c r="D223" s="2">
        <v>8743</v>
      </c>
      <c r="E223" s="2">
        <v>297</v>
      </c>
      <c r="F223" s="2" t="s">
        <v>381</v>
      </c>
      <c r="G223" s="2" t="s">
        <v>325</v>
      </c>
      <c r="H223" s="2" t="s">
        <v>150</v>
      </c>
      <c r="I223" s="2" t="s">
        <v>124</v>
      </c>
      <c r="J223" s="2">
        <v>8</v>
      </c>
      <c r="K223" s="2" t="s">
        <v>151</v>
      </c>
      <c r="L223" s="2" t="s">
        <v>152</v>
      </c>
      <c r="M223" s="2" t="s">
        <v>182</v>
      </c>
      <c r="N223" s="2" t="str">
        <f>HYPERLINK("https://klocwork.dal.design.ti.com:443/review/insight-review.html#issuedetails_goto:problemid=8743,project=MCUSW_J7_KW_FULL,searchquery=taxonomy:'' build:RS-2022-10-06_06-07-58 grouping:off module:CddIpc","KW Issue Link")</f>
        <v>KW Issue Link</v>
      </c>
      <c r="O223" s="2"/>
      <c r="P223" s="2"/>
      <c r="Q223" s="2"/>
      <c r="R223" s="2"/>
      <c r="S223" s="2" t="s">
        <v>154</v>
      </c>
      <c r="T223" s="2"/>
    </row>
    <row r="224" spans="1:20" ht="120" x14ac:dyDescent="0.25">
      <c r="A224" s="2" t="s">
        <v>380</v>
      </c>
      <c r="B224" s="2" t="s">
        <v>180</v>
      </c>
      <c r="C224" s="2" t="s">
        <v>304</v>
      </c>
      <c r="D224" s="2">
        <v>8744</v>
      </c>
      <c r="E224" s="2">
        <v>947</v>
      </c>
      <c r="F224" s="2" t="s">
        <v>382</v>
      </c>
      <c r="G224" s="2" t="s">
        <v>332</v>
      </c>
      <c r="H224" s="2" t="s">
        <v>150</v>
      </c>
      <c r="I224" s="2" t="s">
        <v>124</v>
      </c>
      <c r="J224" s="2">
        <v>8</v>
      </c>
      <c r="K224" s="2" t="s">
        <v>151</v>
      </c>
      <c r="L224" s="2" t="s">
        <v>152</v>
      </c>
      <c r="M224" s="2" t="s">
        <v>182</v>
      </c>
      <c r="N224" s="2" t="str">
        <f>HYPERLINK("https://klocwork.dal.design.ti.com:443/review/insight-review.html#issuedetails_goto:problemid=8744,project=MCUSW_J7_KW_FULL,searchquery=taxonomy:'' build:RS-2022-10-06_06-07-58 grouping:off module:CddIpc","KW Issue Link")</f>
        <v>KW Issue Link</v>
      </c>
      <c r="O224" s="2"/>
      <c r="P224" s="2"/>
      <c r="Q224" s="2"/>
      <c r="R224" s="2"/>
      <c r="S224" s="2" t="s">
        <v>154</v>
      </c>
      <c r="T224" s="2"/>
    </row>
    <row r="225" spans="1:20" ht="120" x14ac:dyDescent="0.25">
      <c r="A225" s="2" t="s">
        <v>242</v>
      </c>
      <c r="B225" s="2" t="s">
        <v>243</v>
      </c>
      <c r="C225" s="2" t="s">
        <v>304</v>
      </c>
      <c r="D225" s="2">
        <v>8745</v>
      </c>
      <c r="E225" s="2">
        <v>307</v>
      </c>
      <c r="F225" s="2" t="s">
        <v>383</v>
      </c>
      <c r="G225" s="2" t="s">
        <v>325</v>
      </c>
      <c r="H225" s="2" t="s">
        <v>150</v>
      </c>
      <c r="I225" s="2" t="s">
        <v>123</v>
      </c>
      <c r="J225" s="2">
        <v>4</v>
      </c>
      <c r="K225" s="2" t="s">
        <v>151</v>
      </c>
      <c r="L225" s="2" t="s">
        <v>152</v>
      </c>
      <c r="M225" s="2" t="s">
        <v>153</v>
      </c>
      <c r="N225" s="2" t="str">
        <f>HYPERLINK("https://klocwork.dal.design.ti.com:443/review/insight-review.html#issuedetails_goto:problemid=8745,project=MCUSW_J7_KW_FULL,searchquery=taxonomy:'' build:RS-2022-10-06_06-07-58 grouping:off module:CddIpc","KW Issue Link")</f>
        <v>KW Issue Link</v>
      </c>
      <c r="O225" s="2"/>
      <c r="P225" s="2"/>
      <c r="Q225" s="2"/>
      <c r="R225" s="2"/>
      <c r="S225" s="2" t="s">
        <v>154</v>
      </c>
      <c r="T225" s="2"/>
    </row>
    <row r="226" spans="1:20" ht="120" x14ac:dyDescent="0.25">
      <c r="A226" s="2" t="s">
        <v>242</v>
      </c>
      <c r="B226" s="2" t="s">
        <v>243</v>
      </c>
      <c r="C226" s="2" t="s">
        <v>304</v>
      </c>
      <c r="D226" s="2">
        <v>8746</v>
      </c>
      <c r="E226" s="2">
        <v>308</v>
      </c>
      <c r="F226" s="2" t="s">
        <v>384</v>
      </c>
      <c r="G226" s="2" t="s">
        <v>325</v>
      </c>
      <c r="H226" s="2" t="s">
        <v>150</v>
      </c>
      <c r="I226" s="2" t="s">
        <v>123</v>
      </c>
      <c r="J226" s="2">
        <v>4</v>
      </c>
      <c r="K226" s="2" t="s">
        <v>151</v>
      </c>
      <c r="L226" s="2" t="s">
        <v>152</v>
      </c>
      <c r="M226" s="2" t="s">
        <v>153</v>
      </c>
      <c r="N226" s="2" t="str">
        <f>HYPERLINK("https://klocwork.dal.design.ti.com:443/review/insight-review.html#issuedetails_goto:problemid=8746,project=MCUSW_J7_KW_FULL,searchquery=taxonomy:'' build:RS-2022-10-06_06-07-58 grouping:off module:CddIpc","KW Issue Link")</f>
        <v>KW Issue Link</v>
      </c>
      <c r="O226" s="2"/>
      <c r="P226" s="2"/>
      <c r="Q226" s="2"/>
      <c r="R226" s="2"/>
      <c r="S226" s="2" t="s">
        <v>154</v>
      </c>
      <c r="T226" s="2"/>
    </row>
    <row r="227" spans="1:20" ht="120" x14ac:dyDescent="0.25">
      <c r="A227" s="2" t="s">
        <v>242</v>
      </c>
      <c r="B227" s="2" t="s">
        <v>243</v>
      </c>
      <c r="C227" s="2" t="s">
        <v>304</v>
      </c>
      <c r="D227" s="2">
        <v>8747</v>
      </c>
      <c r="E227" s="2">
        <v>332</v>
      </c>
      <c r="F227" s="2" t="s">
        <v>385</v>
      </c>
      <c r="G227" s="2" t="s">
        <v>325</v>
      </c>
      <c r="H227" s="2" t="s">
        <v>150</v>
      </c>
      <c r="I227" s="2" t="s">
        <v>123</v>
      </c>
      <c r="J227" s="2">
        <v>4</v>
      </c>
      <c r="K227" s="2" t="s">
        <v>151</v>
      </c>
      <c r="L227" s="2" t="s">
        <v>152</v>
      </c>
      <c r="M227" s="2" t="s">
        <v>153</v>
      </c>
      <c r="N227" s="2" t="str">
        <f>HYPERLINK("https://klocwork.dal.design.ti.com:443/review/insight-review.html#issuedetails_goto:problemid=8747,project=MCUSW_J7_KW_FULL,searchquery=taxonomy:'' build:RS-2022-10-06_06-07-58 grouping:off module:CddIpc","KW Issue Link")</f>
        <v>KW Issue Link</v>
      </c>
      <c r="O227" s="2"/>
      <c r="P227" s="2"/>
      <c r="Q227" s="2"/>
      <c r="R227" s="2"/>
      <c r="S227" s="2" t="s">
        <v>154</v>
      </c>
      <c r="T227" s="2"/>
    </row>
    <row r="228" spans="1:20" ht="120" x14ac:dyDescent="0.25">
      <c r="A228" s="2" t="s">
        <v>242</v>
      </c>
      <c r="B228" s="2" t="s">
        <v>243</v>
      </c>
      <c r="C228" s="2" t="s">
        <v>304</v>
      </c>
      <c r="D228" s="2">
        <v>8748</v>
      </c>
      <c r="E228" s="2">
        <v>352</v>
      </c>
      <c r="F228" s="2" t="s">
        <v>385</v>
      </c>
      <c r="G228" s="2" t="s">
        <v>325</v>
      </c>
      <c r="H228" s="2" t="s">
        <v>150</v>
      </c>
      <c r="I228" s="2" t="s">
        <v>123</v>
      </c>
      <c r="J228" s="2">
        <v>4</v>
      </c>
      <c r="K228" s="2" t="s">
        <v>151</v>
      </c>
      <c r="L228" s="2" t="s">
        <v>152</v>
      </c>
      <c r="M228" s="2" t="s">
        <v>153</v>
      </c>
      <c r="N228" s="2" t="str">
        <f>HYPERLINK("https://klocwork.dal.design.ti.com:443/review/insight-review.html#issuedetails_goto:problemid=8748,project=MCUSW_J7_KW_FULL,searchquery=taxonomy:'' build:RS-2022-10-06_06-07-58 grouping:off module:CddIpc","KW Issue Link")</f>
        <v>KW Issue Link</v>
      </c>
      <c r="O228" s="2"/>
      <c r="P228" s="2"/>
      <c r="Q228" s="2"/>
      <c r="R228" s="2"/>
      <c r="S228" s="2" t="s">
        <v>154</v>
      </c>
      <c r="T228" s="2"/>
    </row>
    <row r="229" spans="1:20" ht="120" x14ac:dyDescent="0.25">
      <c r="A229" s="2" t="s">
        <v>242</v>
      </c>
      <c r="B229" s="2" t="s">
        <v>243</v>
      </c>
      <c r="C229" s="2" t="s">
        <v>304</v>
      </c>
      <c r="D229" s="2">
        <v>8749</v>
      </c>
      <c r="E229" s="2">
        <v>357</v>
      </c>
      <c r="F229" s="2" t="s">
        <v>386</v>
      </c>
      <c r="G229" s="2" t="s">
        <v>325</v>
      </c>
      <c r="H229" s="2" t="s">
        <v>150</v>
      </c>
      <c r="I229" s="2" t="s">
        <v>123</v>
      </c>
      <c r="J229" s="2">
        <v>4</v>
      </c>
      <c r="K229" s="2" t="s">
        <v>151</v>
      </c>
      <c r="L229" s="2" t="s">
        <v>152</v>
      </c>
      <c r="M229" s="2" t="s">
        <v>153</v>
      </c>
      <c r="N229" s="2" t="str">
        <f>HYPERLINK("https://klocwork.dal.design.ti.com:443/review/insight-review.html#issuedetails_goto:problemid=8749,project=MCUSW_J7_KW_FULL,searchquery=taxonomy:'' build:RS-2022-10-06_06-07-58 grouping:off module:CddIpc","KW Issue Link")</f>
        <v>KW Issue Link</v>
      </c>
      <c r="O229" s="2"/>
      <c r="P229" s="2"/>
      <c r="Q229" s="2"/>
      <c r="R229" s="2"/>
      <c r="S229" s="2" t="s">
        <v>154</v>
      </c>
      <c r="T229" s="2"/>
    </row>
    <row r="230" spans="1:20" ht="120" x14ac:dyDescent="0.25">
      <c r="A230" s="2" t="s">
        <v>242</v>
      </c>
      <c r="B230" s="2" t="s">
        <v>243</v>
      </c>
      <c r="C230" s="2" t="s">
        <v>304</v>
      </c>
      <c r="D230" s="2">
        <v>8750</v>
      </c>
      <c r="E230" s="2">
        <v>385</v>
      </c>
      <c r="F230" s="2" t="s">
        <v>385</v>
      </c>
      <c r="G230" s="2" t="s">
        <v>325</v>
      </c>
      <c r="H230" s="2" t="s">
        <v>150</v>
      </c>
      <c r="I230" s="2" t="s">
        <v>123</v>
      </c>
      <c r="J230" s="2">
        <v>4</v>
      </c>
      <c r="K230" s="2" t="s">
        <v>151</v>
      </c>
      <c r="L230" s="2" t="s">
        <v>152</v>
      </c>
      <c r="M230" s="2" t="s">
        <v>153</v>
      </c>
      <c r="N230" s="2" t="str">
        <f>HYPERLINK("https://klocwork.dal.design.ti.com:443/review/insight-review.html#issuedetails_goto:problemid=8750,project=MCUSW_J7_KW_FULL,searchquery=taxonomy:'' build:RS-2022-10-06_06-07-58 grouping:off module:CddIpc","KW Issue Link")</f>
        <v>KW Issue Link</v>
      </c>
      <c r="O230" s="2"/>
      <c r="P230" s="2"/>
      <c r="Q230" s="2"/>
      <c r="R230" s="2"/>
      <c r="S230" s="2" t="s">
        <v>154</v>
      </c>
      <c r="T230" s="2"/>
    </row>
    <row r="231" spans="1:20" ht="120" x14ac:dyDescent="0.25">
      <c r="A231" s="2" t="s">
        <v>242</v>
      </c>
      <c r="B231" s="2" t="s">
        <v>243</v>
      </c>
      <c r="C231" s="2" t="s">
        <v>304</v>
      </c>
      <c r="D231" s="2">
        <v>8751</v>
      </c>
      <c r="E231" s="2">
        <v>390</v>
      </c>
      <c r="F231" s="2" t="s">
        <v>386</v>
      </c>
      <c r="G231" s="2" t="s">
        <v>325</v>
      </c>
      <c r="H231" s="2" t="s">
        <v>150</v>
      </c>
      <c r="I231" s="2" t="s">
        <v>123</v>
      </c>
      <c r="J231" s="2">
        <v>4</v>
      </c>
      <c r="K231" s="2" t="s">
        <v>151</v>
      </c>
      <c r="L231" s="2" t="s">
        <v>152</v>
      </c>
      <c r="M231" s="2" t="s">
        <v>153</v>
      </c>
      <c r="N231" s="2" t="str">
        <f>HYPERLINK("https://klocwork.dal.design.ti.com:443/review/insight-review.html#issuedetails_goto:problemid=8751,project=MCUSW_J7_KW_FULL,searchquery=taxonomy:'' build:RS-2022-10-06_06-07-58 grouping:off module:CddIpc","KW Issue Link")</f>
        <v>KW Issue Link</v>
      </c>
      <c r="O231" s="2"/>
      <c r="P231" s="2"/>
      <c r="Q231" s="2"/>
      <c r="R231" s="2"/>
      <c r="S231" s="2" t="s">
        <v>154</v>
      </c>
      <c r="T231" s="2"/>
    </row>
    <row r="232" spans="1:20" ht="120" x14ac:dyDescent="0.25">
      <c r="A232" s="2" t="s">
        <v>242</v>
      </c>
      <c r="B232" s="2" t="s">
        <v>243</v>
      </c>
      <c r="C232" s="2" t="s">
        <v>304</v>
      </c>
      <c r="D232" s="2">
        <v>8752</v>
      </c>
      <c r="E232" s="2">
        <v>438</v>
      </c>
      <c r="F232" s="2" t="s">
        <v>387</v>
      </c>
      <c r="G232" s="2" t="s">
        <v>335</v>
      </c>
      <c r="H232" s="2" t="s">
        <v>150</v>
      </c>
      <c r="I232" s="2" t="s">
        <v>123</v>
      </c>
      <c r="J232" s="2">
        <v>4</v>
      </c>
      <c r="K232" s="2" t="s">
        <v>151</v>
      </c>
      <c r="L232" s="2" t="s">
        <v>152</v>
      </c>
      <c r="M232" s="2" t="s">
        <v>153</v>
      </c>
      <c r="N232" s="2" t="str">
        <f>HYPERLINK("https://klocwork.dal.design.ti.com:443/review/insight-review.html#issuedetails_goto:problemid=8752,project=MCUSW_J7_KW_FULL,searchquery=taxonomy:'' build:RS-2022-10-06_06-07-58 grouping:off module:CddIpc","KW Issue Link")</f>
        <v>KW Issue Link</v>
      </c>
      <c r="O232" s="2"/>
      <c r="P232" s="2"/>
      <c r="Q232" s="2"/>
      <c r="R232" s="2"/>
      <c r="S232" s="2" t="s">
        <v>154</v>
      </c>
      <c r="T232" s="2"/>
    </row>
    <row r="233" spans="1:20" ht="120" x14ac:dyDescent="0.25">
      <c r="A233" s="2" t="s">
        <v>242</v>
      </c>
      <c r="B233" s="2" t="s">
        <v>243</v>
      </c>
      <c r="C233" s="2" t="s">
        <v>304</v>
      </c>
      <c r="D233" s="2">
        <v>8753</v>
      </c>
      <c r="E233" s="2">
        <v>588</v>
      </c>
      <c r="F233" s="2" t="s">
        <v>383</v>
      </c>
      <c r="G233" s="2" t="s">
        <v>388</v>
      </c>
      <c r="H233" s="2" t="s">
        <v>150</v>
      </c>
      <c r="I233" s="2" t="s">
        <v>123</v>
      </c>
      <c r="J233" s="2">
        <v>4</v>
      </c>
      <c r="K233" s="2" t="s">
        <v>151</v>
      </c>
      <c r="L233" s="2" t="s">
        <v>152</v>
      </c>
      <c r="M233" s="2" t="s">
        <v>153</v>
      </c>
      <c r="N233" s="2" t="str">
        <f>HYPERLINK("https://klocwork.dal.design.ti.com:443/review/insight-review.html#issuedetails_goto:problemid=8753,project=MCUSW_J7_KW_FULL,searchquery=taxonomy:'' build:RS-2022-10-06_06-07-58 grouping:off module:CddIpc","KW Issue Link")</f>
        <v>KW Issue Link</v>
      </c>
      <c r="O233" s="2"/>
      <c r="P233" s="2"/>
      <c r="Q233" s="2"/>
      <c r="R233" s="2"/>
      <c r="S233" s="2" t="s">
        <v>154</v>
      </c>
      <c r="T233" s="2"/>
    </row>
    <row r="234" spans="1:20" ht="120" x14ac:dyDescent="0.25">
      <c r="A234" s="2" t="s">
        <v>242</v>
      </c>
      <c r="B234" s="2" t="s">
        <v>243</v>
      </c>
      <c r="C234" s="2" t="s">
        <v>304</v>
      </c>
      <c r="D234" s="2">
        <v>8754</v>
      </c>
      <c r="E234" s="2">
        <v>589</v>
      </c>
      <c r="F234" s="2" t="s">
        <v>384</v>
      </c>
      <c r="G234" s="2" t="s">
        <v>388</v>
      </c>
      <c r="H234" s="2" t="s">
        <v>150</v>
      </c>
      <c r="I234" s="2" t="s">
        <v>123</v>
      </c>
      <c r="J234" s="2">
        <v>4</v>
      </c>
      <c r="K234" s="2" t="s">
        <v>151</v>
      </c>
      <c r="L234" s="2" t="s">
        <v>152</v>
      </c>
      <c r="M234" s="2" t="s">
        <v>153</v>
      </c>
      <c r="N234" s="2" t="str">
        <f>HYPERLINK("https://klocwork.dal.design.ti.com:443/review/insight-review.html#issuedetails_goto:problemid=8754,project=MCUSW_J7_KW_FULL,searchquery=taxonomy:'' build:RS-2022-10-06_06-07-58 grouping:off module:CddIpc","KW Issue Link")</f>
        <v>KW Issue Link</v>
      </c>
      <c r="O234" s="2"/>
      <c r="P234" s="2"/>
      <c r="Q234" s="2"/>
      <c r="R234" s="2"/>
      <c r="S234" s="2" t="s">
        <v>154</v>
      </c>
      <c r="T234" s="2"/>
    </row>
    <row r="235" spans="1:20" ht="120" x14ac:dyDescent="0.25">
      <c r="A235" s="2" t="s">
        <v>242</v>
      </c>
      <c r="B235" s="2" t="s">
        <v>243</v>
      </c>
      <c r="C235" s="2" t="s">
        <v>304</v>
      </c>
      <c r="D235" s="2">
        <v>8755</v>
      </c>
      <c r="E235" s="2">
        <v>601</v>
      </c>
      <c r="F235" s="2" t="s">
        <v>389</v>
      </c>
      <c r="G235" s="2" t="s">
        <v>388</v>
      </c>
      <c r="H235" s="2" t="s">
        <v>150</v>
      </c>
      <c r="I235" s="2" t="s">
        <v>123</v>
      </c>
      <c r="J235" s="2">
        <v>4</v>
      </c>
      <c r="K235" s="2" t="s">
        <v>151</v>
      </c>
      <c r="L235" s="2" t="s">
        <v>152</v>
      </c>
      <c r="M235" s="2" t="s">
        <v>153</v>
      </c>
      <c r="N235" s="2" t="str">
        <f>HYPERLINK("https://klocwork.dal.design.ti.com:443/review/insight-review.html#issuedetails_goto:problemid=8755,project=MCUSW_J7_KW_FULL,searchquery=taxonomy:'' build:RS-2022-10-06_06-07-58 grouping:off module:CddIpc","KW Issue Link")</f>
        <v>KW Issue Link</v>
      </c>
      <c r="O235" s="2"/>
      <c r="P235" s="2"/>
      <c r="Q235" s="2"/>
      <c r="R235" s="2"/>
      <c r="S235" s="2" t="s">
        <v>154</v>
      </c>
      <c r="T235" s="2"/>
    </row>
    <row r="236" spans="1:20" ht="120" x14ac:dyDescent="0.25">
      <c r="A236" s="2" t="s">
        <v>242</v>
      </c>
      <c r="B236" s="2" t="s">
        <v>243</v>
      </c>
      <c r="C236" s="2" t="s">
        <v>304</v>
      </c>
      <c r="D236" s="2">
        <v>8756</v>
      </c>
      <c r="E236" s="2">
        <v>670</v>
      </c>
      <c r="F236" s="2" t="s">
        <v>387</v>
      </c>
      <c r="G236" s="2" t="s">
        <v>329</v>
      </c>
      <c r="H236" s="2" t="s">
        <v>150</v>
      </c>
      <c r="I236" s="2" t="s">
        <v>123</v>
      </c>
      <c r="J236" s="2">
        <v>4</v>
      </c>
      <c r="K236" s="2" t="s">
        <v>151</v>
      </c>
      <c r="L236" s="2" t="s">
        <v>152</v>
      </c>
      <c r="M236" s="2" t="s">
        <v>153</v>
      </c>
      <c r="N236" s="2" t="str">
        <f>HYPERLINK("https://klocwork.dal.design.ti.com:443/review/insight-review.html#issuedetails_goto:problemid=8756,project=MCUSW_J7_KW_FULL,searchquery=taxonomy:'' build:RS-2022-10-06_06-07-58 grouping:off module:CddIpc","KW Issue Link")</f>
        <v>KW Issue Link</v>
      </c>
      <c r="O236" s="2"/>
      <c r="P236" s="2"/>
      <c r="Q236" s="2"/>
      <c r="R236" s="2"/>
      <c r="S236" s="2" t="s">
        <v>154</v>
      </c>
      <c r="T236" s="2"/>
    </row>
    <row r="237" spans="1:20" ht="120" x14ac:dyDescent="0.25">
      <c r="A237" s="2" t="s">
        <v>242</v>
      </c>
      <c r="B237" s="2" t="s">
        <v>243</v>
      </c>
      <c r="C237" s="2" t="s">
        <v>304</v>
      </c>
      <c r="D237" s="2">
        <v>8757</v>
      </c>
      <c r="E237" s="2">
        <v>726</v>
      </c>
      <c r="F237" s="2" t="s">
        <v>383</v>
      </c>
      <c r="G237" s="2" t="s">
        <v>369</v>
      </c>
      <c r="H237" s="2" t="s">
        <v>150</v>
      </c>
      <c r="I237" s="2" t="s">
        <v>123</v>
      </c>
      <c r="J237" s="2">
        <v>4</v>
      </c>
      <c r="K237" s="2" t="s">
        <v>151</v>
      </c>
      <c r="L237" s="2" t="s">
        <v>152</v>
      </c>
      <c r="M237" s="2" t="s">
        <v>153</v>
      </c>
      <c r="N237" s="2" t="str">
        <f>HYPERLINK("https://klocwork.dal.design.ti.com:443/review/insight-review.html#issuedetails_goto:problemid=8757,project=MCUSW_J7_KW_FULL,searchquery=taxonomy:'' build:RS-2022-10-06_06-07-58 grouping:off module:CddIpc","KW Issue Link")</f>
        <v>KW Issue Link</v>
      </c>
      <c r="O237" s="2"/>
      <c r="P237" s="2"/>
      <c r="Q237" s="2"/>
      <c r="R237" s="2"/>
      <c r="S237" s="2" t="s">
        <v>154</v>
      </c>
      <c r="T237" s="2"/>
    </row>
    <row r="238" spans="1:20" ht="120" x14ac:dyDescent="0.25">
      <c r="A238" s="2" t="s">
        <v>242</v>
      </c>
      <c r="B238" s="2" t="s">
        <v>243</v>
      </c>
      <c r="C238" s="2" t="s">
        <v>304</v>
      </c>
      <c r="D238" s="2">
        <v>8758</v>
      </c>
      <c r="E238" s="2">
        <v>727</v>
      </c>
      <c r="F238" s="2" t="s">
        <v>384</v>
      </c>
      <c r="G238" s="2" t="s">
        <v>369</v>
      </c>
      <c r="H238" s="2" t="s">
        <v>150</v>
      </c>
      <c r="I238" s="2" t="s">
        <v>123</v>
      </c>
      <c r="J238" s="2">
        <v>4</v>
      </c>
      <c r="K238" s="2" t="s">
        <v>151</v>
      </c>
      <c r="L238" s="2" t="s">
        <v>152</v>
      </c>
      <c r="M238" s="2" t="s">
        <v>153</v>
      </c>
      <c r="N238" s="2" t="str">
        <f>HYPERLINK("https://klocwork.dal.design.ti.com:443/review/insight-review.html#issuedetails_goto:problemid=8758,project=MCUSW_J7_KW_FULL,searchquery=taxonomy:'' build:RS-2022-10-06_06-07-58 grouping:off module:CddIpc","KW Issue Link")</f>
        <v>KW Issue Link</v>
      </c>
      <c r="O238" s="2"/>
      <c r="P238" s="2"/>
      <c r="Q238" s="2"/>
      <c r="R238" s="2"/>
      <c r="S238" s="2" t="s">
        <v>154</v>
      </c>
      <c r="T238" s="2"/>
    </row>
    <row r="239" spans="1:20" ht="120" x14ac:dyDescent="0.25">
      <c r="A239" s="2" t="s">
        <v>242</v>
      </c>
      <c r="B239" s="2" t="s">
        <v>243</v>
      </c>
      <c r="C239" s="2" t="s">
        <v>304</v>
      </c>
      <c r="D239" s="2">
        <v>8759</v>
      </c>
      <c r="E239" s="2">
        <v>751</v>
      </c>
      <c r="F239" s="2" t="s">
        <v>387</v>
      </c>
      <c r="G239" s="2" t="s">
        <v>369</v>
      </c>
      <c r="H239" s="2" t="s">
        <v>150</v>
      </c>
      <c r="I239" s="2" t="s">
        <v>123</v>
      </c>
      <c r="J239" s="2">
        <v>4</v>
      </c>
      <c r="K239" s="2" t="s">
        <v>151</v>
      </c>
      <c r="L239" s="2" t="s">
        <v>152</v>
      </c>
      <c r="M239" s="2" t="s">
        <v>153</v>
      </c>
      <c r="N239" s="2" t="str">
        <f>HYPERLINK("https://klocwork.dal.design.ti.com:443/review/insight-review.html#issuedetails_goto:problemid=8759,project=MCUSW_J7_KW_FULL,searchquery=taxonomy:'' build:RS-2022-10-06_06-07-58 grouping:off module:CddIpc","KW Issue Link")</f>
        <v>KW Issue Link</v>
      </c>
      <c r="O239" s="2"/>
      <c r="P239" s="2"/>
      <c r="Q239" s="2"/>
      <c r="R239" s="2"/>
      <c r="S239" s="2" t="s">
        <v>154</v>
      </c>
      <c r="T239" s="2"/>
    </row>
    <row r="240" spans="1:20" ht="120" x14ac:dyDescent="0.25">
      <c r="A240" s="2" t="s">
        <v>242</v>
      </c>
      <c r="B240" s="2" t="s">
        <v>243</v>
      </c>
      <c r="C240" s="2" t="s">
        <v>304</v>
      </c>
      <c r="D240" s="2">
        <v>8760</v>
      </c>
      <c r="E240" s="2">
        <v>805</v>
      </c>
      <c r="F240" s="2" t="s">
        <v>383</v>
      </c>
      <c r="G240" s="2" t="s">
        <v>330</v>
      </c>
      <c r="H240" s="2" t="s">
        <v>150</v>
      </c>
      <c r="I240" s="2" t="s">
        <v>123</v>
      </c>
      <c r="J240" s="2">
        <v>4</v>
      </c>
      <c r="K240" s="2" t="s">
        <v>151</v>
      </c>
      <c r="L240" s="2" t="s">
        <v>152</v>
      </c>
      <c r="M240" s="2" t="s">
        <v>153</v>
      </c>
      <c r="N240" s="2" t="str">
        <f>HYPERLINK("https://klocwork.dal.design.ti.com:443/review/insight-review.html#issuedetails_goto:problemid=8760,project=MCUSW_J7_KW_FULL,searchquery=taxonomy:'' build:RS-2022-10-06_06-07-58 grouping:off module:CddIpc","KW Issue Link")</f>
        <v>KW Issue Link</v>
      </c>
      <c r="O240" s="2"/>
      <c r="P240" s="2"/>
      <c r="Q240" s="2"/>
      <c r="R240" s="2"/>
      <c r="S240" s="2" t="s">
        <v>154</v>
      </c>
      <c r="T240" s="2"/>
    </row>
    <row r="241" spans="1:20" ht="120" x14ac:dyDescent="0.25">
      <c r="A241" s="2" t="s">
        <v>242</v>
      </c>
      <c r="B241" s="2" t="s">
        <v>243</v>
      </c>
      <c r="C241" s="2" t="s">
        <v>304</v>
      </c>
      <c r="D241" s="2">
        <v>8761</v>
      </c>
      <c r="E241" s="2">
        <v>806</v>
      </c>
      <c r="F241" s="2" t="s">
        <v>384</v>
      </c>
      <c r="G241" s="2" t="s">
        <v>330</v>
      </c>
      <c r="H241" s="2" t="s">
        <v>150</v>
      </c>
      <c r="I241" s="2" t="s">
        <v>123</v>
      </c>
      <c r="J241" s="2">
        <v>4</v>
      </c>
      <c r="K241" s="2" t="s">
        <v>151</v>
      </c>
      <c r="L241" s="2" t="s">
        <v>152</v>
      </c>
      <c r="M241" s="2" t="s">
        <v>153</v>
      </c>
      <c r="N241" s="2" t="str">
        <f>HYPERLINK("https://klocwork.dal.design.ti.com:443/review/insight-review.html#issuedetails_goto:problemid=8761,project=MCUSW_J7_KW_FULL,searchquery=taxonomy:'' build:RS-2022-10-06_06-07-58 grouping:off module:CddIpc","KW Issue Link")</f>
        <v>KW Issue Link</v>
      </c>
      <c r="O241" s="2"/>
      <c r="P241" s="2"/>
      <c r="Q241" s="2"/>
      <c r="R241" s="2"/>
      <c r="S241" s="2" t="s">
        <v>154</v>
      </c>
      <c r="T241" s="2"/>
    </row>
    <row r="242" spans="1:20" ht="120" x14ac:dyDescent="0.25">
      <c r="A242" s="2" t="s">
        <v>242</v>
      </c>
      <c r="B242" s="2" t="s">
        <v>243</v>
      </c>
      <c r="C242" s="2" t="s">
        <v>304</v>
      </c>
      <c r="D242" s="2">
        <v>8762</v>
      </c>
      <c r="E242" s="2">
        <v>807</v>
      </c>
      <c r="F242" s="2" t="s">
        <v>386</v>
      </c>
      <c r="G242" s="2" t="s">
        <v>330</v>
      </c>
      <c r="H242" s="2" t="s">
        <v>150</v>
      </c>
      <c r="I242" s="2" t="s">
        <v>123</v>
      </c>
      <c r="J242" s="2">
        <v>4</v>
      </c>
      <c r="K242" s="2" t="s">
        <v>151</v>
      </c>
      <c r="L242" s="2" t="s">
        <v>152</v>
      </c>
      <c r="M242" s="2" t="s">
        <v>153</v>
      </c>
      <c r="N242" s="2" t="str">
        <f>HYPERLINK("https://klocwork.dal.design.ti.com:443/review/insight-review.html#issuedetails_goto:problemid=8762,project=MCUSW_J7_KW_FULL,searchquery=taxonomy:'' build:RS-2022-10-06_06-07-58 grouping:off module:CddIpc","KW Issue Link")</f>
        <v>KW Issue Link</v>
      </c>
      <c r="O242" s="2"/>
      <c r="P242" s="2"/>
      <c r="Q242" s="2"/>
      <c r="R242" s="2"/>
      <c r="S242" s="2" t="s">
        <v>154</v>
      </c>
      <c r="T242" s="2"/>
    </row>
    <row r="243" spans="1:20" ht="120" x14ac:dyDescent="0.25">
      <c r="A243" s="2" t="s">
        <v>242</v>
      </c>
      <c r="B243" s="2" t="s">
        <v>243</v>
      </c>
      <c r="C243" s="2" t="s">
        <v>304</v>
      </c>
      <c r="D243" s="2">
        <v>8763</v>
      </c>
      <c r="E243" s="2">
        <v>963</v>
      </c>
      <c r="F243" s="2" t="s">
        <v>383</v>
      </c>
      <c r="G243" s="2" t="s">
        <v>332</v>
      </c>
      <c r="H243" s="2" t="s">
        <v>150</v>
      </c>
      <c r="I243" s="2" t="s">
        <v>123</v>
      </c>
      <c r="J243" s="2">
        <v>4</v>
      </c>
      <c r="K243" s="2" t="s">
        <v>151</v>
      </c>
      <c r="L243" s="2" t="s">
        <v>152</v>
      </c>
      <c r="M243" s="2" t="s">
        <v>153</v>
      </c>
      <c r="N243" s="2" t="str">
        <f>HYPERLINK("https://klocwork.dal.design.ti.com:443/review/insight-review.html#issuedetails_goto:problemid=8763,project=MCUSW_J7_KW_FULL,searchquery=taxonomy:'' build:RS-2022-10-06_06-07-58 grouping:off module:CddIpc","KW Issue Link")</f>
        <v>KW Issue Link</v>
      </c>
      <c r="O243" s="2"/>
      <c r="P243" s="2"/>
      <c r="Q243" s="2"/>
      <c r="R243" s="2"/>
      <c r="S243" s="2" t="s">
        <v>154</v>
      </c>
      <c r="T243" s="2"/>
    </row>
    <row r="244" spans="1:20" ht="120" x14ac:dyDescent="0.25">
      <c r="A244" s="2" t="s">
        <v>242</v>
      </c>
      <c r="B244" s="2" t="s">
        <v>243</v>
      </c>
      <c r="C244" s="2" t="s">
        <v>304</v>
      </c>
      <c r="D244" s="2">
        <v>8764</v>
      </c>
      <c r="E244" s="2">
        <v>964</v>
      </c>
      <c r="F244" s="2" t="s">
        <v>384</v>
      </c>
      <c r="G244" s="2" t="s">
        <v>332</v>
      </c>
      <c r="H244" s="2" t="s">
        <v>150</v>
      </c>
      <c r="I244" s="2" t="s">
        <v>123</v>
      </c>
      <c r="J244" s="2">
        <v>4</v>
      </c>
      <c r="K244" s="2" t="s">
        <v>151</v>
      </c>
      <c r="L244" s="2" t="s">
        <v>152</v>
      </c>
      <c r="M244" s="2" t="s">
        <v>153</v>
      </c>
      <c r="N244" s="2" t="str">
        <f>HYPERLINK("https://klocwork.dal.design.ti.com:443/review/insight-review.html#issuedetails_goto:problemid=8764,project=MCUSW_J7_KW_FULL,searchquery=taxonomy:'' build:RS-2022-10-06_06-07-58 grouping:off module:CddIpc","KW Issue Link")</f>
        <v>KW Issue Link</v>
      </c>
      <c r="O244" s="2"/>
      <c r="P244" s="2"/>
      <c r="Q244" s="2"/>
      <c r="R244" s="2"/>
      <c r="S244" s="2" t="s">
        <v>154</v>
      </c>
      <c r="T244" s="2"/>
    </row>
    <row r="245" spans="1:20" ht="120" x14ac:dyDescent="0.25">
      <c r="A245" s="2" t="s">
        <v>242</v>
      </c>
      <c r="B245" s="2" t="s">
        <v>243</v>
      </c>
      <c r="C245" s="2" t="s">
        <v>304</v>
      </c>
      <c r="D245" s="2">
        <v>8765</v>
      </c>
      <c r="E245" s="2">
        <v>1014</v>
      </c>
      <c r="F245" s="2" t="s">
        <v>387</v>
      </c>
      <c r="G245" s="2" t="s">
        <v>332</v>
      </c>
      <c r="H245" s="2" t="s">
        <v>150</v>
      </c>
      <c r="I245" s="2" t="s">
        <v>123</v>
      </c>
      <c r="J245" s="2">
        <v>4</v>
      </c>
      <c r="K245" s="2" t="s">
        <v>151</v>
      </c>
      <c r="L245" s="2" t="s">
        <v>152</v>
      </c>
      <c r="M245" s="2" t="s">
        <v>153</v>
      </c>
      <c r="N245" s="2" t="str">
        <f>HYPERLINK("https://klocwork.dal.design.ti.com:443/review/insight-review.html#issuedetails_goto:problemid=8765,project=MCUSW_J7_KW_FULL,searchquery=taxonomy:'' build:RS-2022-10-06_06-07-58 grouping:off module:CddIpc","KW Issue Link")</f>
        <v>KW Issue Link</v>
      </c>
      <c r="O245" s="2"/>
      <c r="P245" s="2"/>
      <c r="Q245" s="2"/>
      <c r="R245" s="2"/>
      <c r="S245" s="2" t="s">
        <v>154</v>
      </c>
      <c r="T245" s="2"/>
    </row>
    <row r="246" spans="1:20" ht="120" x14ac:dyDescent="0.25">
      <c r="A246" s="2" t="s">
        <v>242</v>
      </c>
      <c r="B246" s="2" t="s">
        <v>243</v>
      </c>
      <c r="C246" s="2" t="s">
        <v>304</v>
      </c>
      <c r="D246" s="2">
        <v>8766</v>
      </c>
      <c r="E246" s="2">
        <v>1035</v>
      </c>
      <c r="F246" s="2" t="s">
        <v>390</v>
      </c>
      <c r="G246" s="2" t="s">
        <v>332</v>
      </c>
      <c r="H246" s="2" t="s">
        <v>150</v>
      </c>
      <c r="I246" s="2" t="s">
        <v>123</v>
      </c>
      <c r="J246" s="2">
        <v>4</v>
      </c>
      <c r="K246" s="2" t="s">
        <v>151</v>
      </c>
      <c r="L246" s="2" t="s">
        <v>152</v>
      </c>
      <c r="M246" s="2" t="s">
        <v>153</v>
      </c>
      <c r="N246" s="2" t="str">
        <f>HYPERLINK("https://klocwork.dal.design.ti.com:443/review/insight-review.html#issuedetails_goto:problemid=8766,project=MCUSW_J7_KW_FULL,searchquery=taxonomy:'' build:RS-2022-10-06_06-07-58 grouping:off module:CddIpc","KW Issue Link")</f>
        <v>KW Issue Link</v>
      </c>
      <c r="O246" s="2"/>
      <c r="P246" s="2"/>
      <c r="Q246" s="2"/>
      <c r="R246" s="2"/>
      <c r="S246" s="2" t="s">
        <v>154</v>
      </c>
      <c r="T246" s="2"/>
    </row>
    <row r="247" spans="1:20" ht="120" x14ac:dyDescent="0.25">
      <c r="A247" s="2" t="s">
        <v>242</v>
      </c>
      <c r="B247" s="2" t="s">
        <v>243</v>
      </c>
      <c r="C247" s="2" t="s">
        <v>304</v>
      </c>
      <c r="D247" s="2">
        <v>8767</v>
      </c>
      <c r="E247" s="2">
        <v>1060</v>
      </c>
      <c r="F247" s="2" t="s">
        <v>383</v>
      </c>
      <c r="G247" s="2" t="s">
        <v>332</v>
      </c>
      <c r="H247" s="2" t="s">
        <v>150</v>
      </c>
      <c r="I247" s="2" t="s">
        <v>123</v>
      </c>
      <c r="J247" s="2">
        <v>4</v>
      </c>
      <c r="K247" s="2" t="s">
        <v>151</v>
      </c>
      <c r="L247" s="2" t="s">
        <v>152</v>
      </c>
      <c r="M247" s="2" t="s">
        <v>153</v>
      </c>
      <c r="N247" s="2" t="str">
        <f>HYPERLINK("https://klocwork.dal.design.ti.com:443/review/insight-review.html#issuedetails_goto:problemid=8767,project=MCUSW_J7_KW_FULL,searchquery=taxonomy:'' build:RS-2022-10-06_06-07-58 grouping:off module:CddIpc","KW Issue Link")</f>
        <v>KW Issue Link</v>
      </c>
      <c r="O247" s="2"/>
      <c r="P247" s="2"/>
      <c r="Q247" s="2"/>
      <c r="R247" s="2"/>
      <c r="S247" s="2" t="s">
        <v>154</v>
      </c>
      <c r="T247" s="2"/>
    </row>
    <row r="248" spans="1:20" ht="120" x14ac:dyDescent="0.25">
      <c r="A248" s="2" t="s">
        <v>242</v>
      </c>
      <c r="B248" s="2" t="s">
        <v>243</v>
      </c>
      <c r="C248" s="2" t="s">
        <v>304</v>
      </c>
      <c r="D248" s="2">
        <v>8768</v>
      </c>
      <c r="E248" s="2">
        <v>1061</v>
      </c>
      <c r="F248" s="2" t="s">
        <v>384</v>
      </c>
      <c r="G248" s="2" t="s">
        <v>332</v>
      </c>
      <c r="H248" s="2" t="s">
        <v>150</v>
      </c>
      <c r="I248" s="2" t="s">
        <v>123</v>
      </c>
      <c r="J248" s="2">
        <v>4</v>
      </c>
      <c r="K248" s="2" t="s">
        <v>151</v>
      </c>
      <c r="L248" s="2" t="s">
        <v>152</v>
      </c>
      <c r="M248" s="2" t="s">
        <v>153</v>
      </c>
      <c r="N248" s="2" t="str">
        <f>HYPERLINK("https://klocwork.dal.design.ti.com:443/review/insight-review.html#issuedetails_goto:problemid=8768,project=MCUSW_J7_KW_FULL,searchquery=taxonomy:'' build:RS-2022-10-06_06-07-58 grouping:off module:CddIpc","KW Issue Link")</f>
        <v>KW Issue Link</v>
      </c>
      <c r="O248" s="2"/>
      <c r="P248" s="2"/>
      <c r="Q248" s="2"/>
      <c r="R248" s="2"/>
      <c r="S248" s="2" t="s">
        <v>154</v>
      </c>
      <c r="T248" s="2"/>
    </row>
    <row r="249" spans="1:20" ht="120" x14ac:dyDescent="0.25">
      <c r="A249" s="2" t="s">
        <v>242</v>
      </c>
      <c r="B249" s="2" t="s">
        <v>243</v>
      </c>
      <c r="C249" s="2" t="s">
        <v>304</v>
      </c>
      <c r="D249" s="2">
        <v>8769</v>
      </c>
      <c r="E249" s="2">
        <v>1103</v>
      </c>
      <c r="F249" s="2" t="s">
        <v>391</v>
      </c>
      <c r="G249" s="2" t="s">
        <v>336</v>
      </c>
      <c r="H249" s="2" t="s">
        <v>150</v>
      </c>
      <c r="I249" s="2" t="s">
        <v>123</v>
      </c>
      <c r="J249" s="2">
        <v>4</v>
      </c>
      <c r="K249" s="2" t="s">
        <v>151</v>
      </c>
      <c r="L249" s="2" t="s">
        <v>152</v>
      </c>
      <c r="M249" s="2" t="s">
        <v>153</v>
      </c>
      <c r="N249" s="2" t="str">
        <f>HYPERLINK("https://klocwork.dal.design.ti.com:443/review/insight-review.html#issuedetails_goto:problemid=8769,project=MCUSW_J7_KW_FULL,searchquery=taxonomy:'' build:RS-2022-10-06_06-07-58 grouping:off module:CddIpc","KW Issue Link")</f>
        <v>KW Issue Link</v>
      </c>
      <c r="O249" s="2"/>
      <c r="P249" s="2"/>
      <c r="Q249" s="2"/>
      <c r="R249" s="2"/>
      <c r="S249" s="2" t="s">
        <v>154</v>
      </c>
      <c r="T249" s="2"/>
    </row>
    <row r="250" spans="1:20" ht="120" x14ac:dyDescent="0.25">
      <c r="A250" s="2" t="s">
        <v>242</v>
      </c>
      <c r="B250" s="2" t="s">
        <v>243</v>
      </c>
      <c r="C250" s="2" t="s">
        <v>304</v>
      </c>
      <c r="D250" s="2">
        <v>8770</v>
      </c>
      <c r="E250" s="2">
        <v>1104</v>
      </c>
      <c r="F250" s="2" t="s">
        <v>392</v>
      </c>
      <c r="G250" s="2" t="s">
        <v>336</v>
      </c>
      <c r="H250" s="2" t="s">
        <v>150</v>
      </c>
      <c r="I250" s="2" t="s">
        <v>123</v>
      </c>
      <c r="J250" s="2">
        <v>4</v>
      </c>
      <c r="K250" s="2" t="s">
        <v>151</v>
      </c>
      <c r="L250" s="2" t="s">
        <v>152</v>
      </c>
      <c r="M250" s="2" t="s">
        <v>153</v>
      </c>
      <c r="N250" s="2" t="str">
        <f>HYPERLINK("https://klocwork.dal.design.ti.com:443/review/insight-review.html#issuedetails_goto:problemid=8770,project=MCUSW_J7_KW_FULL,searchquery=taxonomy:'' build:RS-2022-10-06_06-07-58 grouping:off module:CddIpc","KW Issue Link")</f>
        <v>KW Issue Link</v>
      </c>
      <c r="O250" s="2"/>
      <c r="P250" s="2"/>
      <c r="Q250" s="2"/>
      <c r="R250" s="2"/>
      <c r="S250" s="2" t="s">
        <v>154</v>
      </c>
      <c r="T250" s="2"/>
    </row>
    <row r="251" spans="1:20" ht="120" x14ac:dyDescent="0.25">
      <c r="A251" s="2" t="s">
        <v>242</v>
      </c>
      <c r="B251" s="2" t="s">
        <v>243</v>
      </c>
      <c r="C251" s="2" t="s">
        <v>304</v>
      </c>
      <c r="D251" s="2">
        <v>8772</v>
      </c>
      <c r="E251" s="2">
        <v>1138</v>
      </c>
      <c r="F251" s="2" t="s">
        <v>387</v>
      </c>
      <c r="G251" s="2" t="s">
        <v>336</v>
      </c>
      <c r="H251" s="2" t="s">
        <v>150</v>
      </c>
      <c r="I251" s="2" t="s">
        <v>123</v>
      </c>
      <c r="J251" s="2">
        <v>4</v>
      </c>
      <c r="K251" s="2" t="s">
        <v>151</v>
      </c>
      <c r="L251" s="2" t="s">
        <v>152</v>
      </c>
      <c r="M251" s="2" t="s">
        <v>153</v>
      </c>
      <c r="N251" s="2" t="str">
        <f>HYPERLINK("https://klocwork.dal.design.ti.com:443/review/insight-review.html#issuedetails_goto:problemid=8772,project=MCUSW_J7_KW_FULL,searchquery=taxonomy:'' build:RS-2022-10-06_06-07-58 grouping:off module:CddIpc","KW Issue Link")</f>
        <v>KW Issue Link</v>
      </c>
      <c r="O251" s="2"/>
      <c r="P251" s="2"/>
      <c r="Q251" s="2"/>
      <c r="R251" s="2"/>
      <c r="S251" s="2" t="s">
        <v>154</v>
      </c>
      <c r="T251" s="2"/>
    </row>
    <row r="252" spans="1:20" ht="120" x14ac:dyDescent="0.25">
      <c r="A252" s="2" t="s">
        <v>242</v>
      </c>
      <c r="B252" s="2" t="s">
        <v>243</v>
      </c>
      <c r="C252" s="2" t="s">
        <v>304</v>
      </c>
      <c r="D252" s="2">
        <v>8773</v>
      </c>
      <c r="E252" s="2">
        <v>1153</v>
      </c>
      <c r="F252" s="2" t="s">
        <v>393</v>
      </c>
      <c r="G252" s="2" t="s">
        <v>336</v>
      </c>
      <c r="H252" s="2" t="s">
        <v>150</v>
      </c>
      <c r="I252" s="2" t="s">
        <v>123</v>
      </c>
      <c r="J252" s="2">
        <v>4</v>
      </c>
      <c r="K252" s="2" t="s">
        <v>151</v>
      </c>
      <c r="L252" s="2" t="s">
        <v>152</v>
      </c>
      <c r="M252" s="2" t="s">
        <v>153</v>
      </c>
      <c r="N252" s="2" t="str">
        <f>HYPERLINK("https://klocwork.dal.design.ti.com:443/review/insight-review.html#issuedetails_goto:problemid=8773,project=MCUSW_J7_KW_FULL,searchquery=taxonomy:'' build:RS-2022-10-06_06-07-58 grouping:off module:CddIpc","KW Issue Link")</f>
        <v>KW Issue Link</v>
      </c>
      <c r="O252" s="2"/>
      <c r="P252" s="2"/>
      <c r="Q252" s="2"/>
      <c r="R252" s="2"/>
      <c r="S252" s="2" t="s">
        <v>154</v>
      </c>
      <c r="T252" s="2"/>
    </row>
    <row r="253" spans="1:20" ht="120" x14ac:dyDescent="0.25">
      <c r="A253" s="2" t="s">
        <v>242</v>
      </c>
      <c r="B253" s="2" t="s">
        <v>243</v>
      </c>
      <c r="C253" s="2" t="s">
        <v>304</v>
      </c>
      <c r="D253" s="2">
        <v>8774</v>
      </c>
      <c r="E253" s="2">
        <v>1230</v>
      </c>
      <c r="F253" s="2" t="s">
        <v>394</v>
      </c>
      <c r="G253" s="2" t="s">
        <v>333</v>
      </c>
      <c r="H253" s="2" t="s">
        <v>150</v>
      </c>
      <c r="I253" s="2" t="s">
        <v>123</v>
      </c>
      <c r="J253" s="2">
        <v>4</v>
      </c>
      <c r="K253" s="2" t="s">
        <v>151</v>
      </c>
      <c r="L253" s="2" t="s">
        <v>152</v>
      </c>
      <c r="M253" s="2" t="s">
        <v>153</v>
      </c>
      <c r="N253" s="2" t="str">
        <f>HYPERLINK("https://klocwork.dal.design.ti.com:443/review/insight-review.html#issuedetails_goto:problemid=8774,project=MCUSW_J7_KW_FULL,searchquery=taxonomy:'' build:RS-2022-10-06_06-07-58 grouping:off module:CddIpc","KW Issue Link")</f>
        <v>KW Issue Link</v>
      </c>
      <c r="O253" s="2"/>
      <c r="P253" s="2"/>
      <c r="Q253" s="2"/>
      <c r="R253" s="2"/>
      <c r="S253" s="2" t="s">
        <v>154</v>
      </c>
      <c r="T253" s="2"/>
    </row>
    <row r="254" spans="1:20" ht="120" x14ac:dyDescent="0.25">
      <c r="A254" s="2" t="s">
        <v>242</v>
      </c>
      <c r="B254" s="2" t="s">
        <v>243</v>
      </c>
      <c r="C254" s="2" t="s">
        <v>304</v>
      </c>
      <c r="D254" s="2">
        <v>8775</v>
      </c>
      <c r="E254" s="2">
        <v>1235</v>
      </c>
      <c r="F254" s="2" t="s">
        <v>387</v>
      </c>
      <c r="G254" s="2" t="s">
        <v>333</v>
      </c>
      <c r="H254" s="2" t="s">
        <v>150</v>
      </c>
      <c r="I254" s="2" t="s">
        <v>123</v>
      </c>
      <c r="J254" s="2">
        <v>4</v>
      </c>
      <c r="K254" s="2" t="s">
        <v>151</v>
      </c>
      <c r="L254" s="2" t="s">
        <v>152</v>
      </c>
      <c r="M254" s="2" t="s">
        <v>153</v>
      </c>
      <c r="N254" s="2" t="str">
        <f>HYPERLINK("https://klocwork.dal.design.ti.com:443/review/insight-review.html#issuedetails_goto:problemid=8775,project=MCUSW_J7_KW_FULL,searchquery=taxonomy:'' build:RS-2022-10-06_06-07-58 grouping:off module:CddIpc","KW Issue Link")</f>
        <v>KW Issue Link</v>
      </c>
      <c r="O254" s="2"/>
      <c r="P254" s="2"/>
      <c r="Q254" s="2"/>
      <c r="R254" s="2"/>
      <c r="S254" s="2" t="s">
        <v>154</v>
      </c>
      <c r="T254" s="2"/>
    </row>
    <row r="255" spans="1:20" ht="120" x14ac:dyDescent="0.25">
      <c r="A255" s="2" t="s">
        <v>242</v>
      </c>
      <c r="B255" s="2" t="s">
        <v>243</v>
      </c>
      <c r="C255" s="2" t="s">
        <v>304</v>
      </c>
      <c r="D255" s="2">
        <v>8776</v>
      </c>
      <c r="E255" s="2">
        <v>1242</v>
      </c>
      <c r="F255" s="2" t="s">
        <v>395</v>
      </c>
      <c r="G255" s="2" t="s">
        <v>333</v>
      </c>
      <c r="H255" s="2" t="s">
        <v>150</v>
      </c>
      <c r="I255" s="2" t="s">
        <v>123</v>
      </c>
      <c r="J255" s="2">
        <v>4</v>
      </c>
      <c r="K255" s="2" t="s">
        <v>151</v>
      </c>
      <c r="L255" s="2" t="s">
        <v>152</v>
      </c>
      <c r="M255" s="2" t="s">
        <v>153</v>
      </c>
      <c r="N255" s="2" t="str">
        <f>HYPERLINK("https://klocwork.dal.design.ti.com:443/review/insight-review.html#issuedetails_goto:problemid=8776,project=MCUSW_J7_KW_FULL,searchquery=taxonomy:'' build:RS-2022-10-06_06-07-58 grouping:off module:CddIpc","KW Issue Link")</f>
        <v>KW Issue Link</v>
      </c>
      <c r="O255" s="2"/>
      <c r="P255" s="2"/>
      <c r="Q255" s="2"/>
      <c r="R255" s="2"/>
      <c r="S255" s="2" t="s">
        <v>154</v>
      </c>
      <c r="T255" s="2"/>
    </row>
    <row r="256" spans="1:20" ht="120" x14ac:dyDescent="0.25">
      <c r="A256" s="2" t="s">
        <v>242</v>
      </c>
      <c r="B256" s="2" t="s">
        <v>243</v>
      </c>
      <c r="C256" s="2" t="s">
        <v>304</v>
      </c>
      <c r="D256" s="2">
        <v>8777</v>
      </c>
      <c r="E256" s="2">
        <v>1310</v>
      </c>
      <c r="F256" s="2" t="s">
        <v>383</v>
      </c>
      <c r="G256" s="2" t="s">
        <v>341</v>
      </c>
      <c r="H256" s="2" t="s">
        <v>150</v>
      </c>
      <c r="I256" s="2" t="s">
        <v>123</v>
      </c>
      <c r="J256" s="2">
        <v>4</v>
      </c>
      <c r="K256" s="2" t="s">
        <v>151</v>
      </c>
      <c r="L256" s="2" t="s">
        <v>152</v>
      </c>
      <c r="M256" s="2" t="s">
        <v>153</v>
      </c>
      <c r="N256" s="2" t="str">
        <f>HYPERLINK("https://klocwork.dal.design.ti.com:443/review/insight-review.html#issuedetails_goto:problemid=8777,project=MCUSW_J7_KW_FULL,searchquery=taxonomy:'' build:RS-2022-10-06_06-07-58 grouping:off module:CddIpc","KW Issue Link")</f>
        <v>KW Issue Link</v>
      </c>
      <c r="O256" s="2"/>
      <c r="P256" s="2"/>
      <c r="Q256" s="2"/>
      <c r="R256" s="2"/>
      <c r="S256" s="2" t="s">
        <v>154</v>
      </c>
      <c r="T256" s="2"/>
    </row>
    <row r="257" spans="1:20" ht="120" x14ac:dyDescent="0.25">
      <c r="A257" s="2" t="s">
        <v>242</v>
      </c>
      <c r="B257" s="2" t="s">
        <v>243</v>
      </c>
      <c r="C257" s="2" t="s">
        <v>304</v>
      </c>
      <c r="D257" s="2">
        <v>8778</v>
      </c>
      <c r="E257" s="2">
        <v>1311</v>
      </c>
      <c r="F257" s="2" t="s">
        <v>384</v>
      </c>
      <c r="G257" s="2" t="s">
        <v>341</v>
      </c>
      <c r="H257" s="2" t="s">
        <v>150</v>
      </c>
      <c r="I257" s="2" t="s">
        <v>123</v>
      </c>
      <c r="J257" s="2">
        <v>4</v>
      </c>
      <c r="K257" s="2" t="s">
        <v>151</v>
      </c>
      <c r="L257" s="2" t="s">
        <v>152</v>
      </c>
      <c r="M257" s="2" t="s">
        <v>153</v>
      </c>
      <c r="N257" s="2" t="str">
        <f>HYPERLINK("https://klocwork.dal.design.ti.com:443/review/insight-review.html#issuedetails_goto:problemid=8778,project=MCUSW_J7_KW_FULL,searchquery=taxonomy:'' build:RS-2022-10-06_06-07-58 grouping:off module:CddIpc","KW Issue Link")</f>
        <v>KW Issue Link</v>
      </c>
      <c r="O257" s="2"/>
      <c r="P257" s="2"/>
      <c r="Q257" s="2"/>
      <c r="R257" s="2"/>
      <c r="S257" s="2" t="s">
        <v>154</v>
      </c>
      <c r="T257" s="2"/>
    </row>
    <row r="258" spans="1:20" ht="120" x14ac:dyDescent="0.25">
      <c r="A258" s="2" t="s">
        <v>242</v>
      </c>
      <c r="B258" s="2" t="s">
        <v>243</v>
      </c>
      <c r="C258" s="2" t="s">
        <v>304</v>
      </c>
      <c r="D258" s="2">
        <v>8779</v>
      </c>
      <c r="E258" s="2">
        <v>1378</v>
      </c>
      <c r="F258" s="2" t="s">
        <v>396</v>
      </c>
      <c r="G258" s="2" t="s">
        <v>397</v>
      </c>
      <c r="H258" s="2" t="s">
        <v>150</v>
      </c>
      <c r="I258" s="2" t="s">
        <v>123</v>
      </c>
      <c r="J258" s="2">
        <v>4</v>
      </c>
      <c r="K258" s="2" t="s">
        <v>151</v>
      </c>
      <c r="L258" s="2" t="s">
        <v>152</v>
      </c>
      <c r="M258" s="2" t="s">
        <v>153</v>
      </c>
      <c r="N258" s="2" t="str">
        <f>HYPERLINK("https://klocwork.dal.design.ti.com:443/review/insight-review.html#issuedetails_goto:problemid=8779,project=MCUSW_J7_KW_FULL,searchquery=taxonomy:'' build:RS-2022-10-06_06-07-58 grouping:off module:CddIpc","KW Issue Link")</f>
        <v>KW Issue Link</v>
      </c>
      <c r="O258" s="2"/>
      <c r="P258" s="2"/>
      <c r="Q258" s="2"/>
      <c r="R258" s="2"/>
      <c r="S258" s="2" t="s">
        <v>154</v>
      </c>
      <c r="T258" s="2"/>
    </row>
    <row r="259" spans="1:20" ht="120" x14ac:dyDescent="0.25">
      <c r="A259" s="2" t="s">
        <v>242</v>
      </c>
      <c r="B259" s="2" t="s">
        <v>243</v>
      </c>
      <c r="C259" s="2" t="s">
        <v>304</v>
      </c>
      <c r="D259" s="2">
        <v>8780</v>
      </c>
      <c r="E259" s="2">
        <v>1385</v>
      </c>
      <c r="F259" s="2" t="s">
        <v>394</v>
      </c>
      <c r="G259" s="2" t="s">
        <v>397</v>
      </c>
      <c r="H259" s="2" t="s">
        <v>150</v>
      </c>
      <c r="I259" s="2" t="s">
        <v>123</v>
      </c>
      <c r="J259" s="2">
        <v>4</v>
      </c>
      <c r="K259" s="2" t="s">
        <v>151</v>
      </c>
      <c r="L259" s="2" t="s">
        <v>152</v>
      </c>
      <c r="M259" s="2" t="s">
        <v>153</v>
      </c>
      <c r="N259" s="2" t="str">
        <f>HYPERLINK("https://klocwork.dal.design.ti.com:443/review/insight-review.html#issuedetails_goto:problemid=8780,project=MCUSW_J7_KW_FULL,searchquery=taxonomy:'' build:RS-2022-10-06_06-07-58 grouping:off module:CddIpc","KW Issue Link")</f>
        <v>KW Issue Link</v>
      </c>
      <c r="O259" s="2"/>
      <c r="P259" s="2"/>
      <c r="Q259" s="2"/>
      <c r="R259" s="2"/>
      <c r="S259" s="2" t="s">
        <v>154</v>
      </c>
      <c r="T259" s="2"/>
    </row>
    <row r="260" spans="1:20" ht="120" x14ac:dyDescent="0.25">
      <c r="A260" s="2" t="s">
        <v>242</v>
      </c>
      <c r="B260" s="2" t="s">
        <v>243</v>
      </c>
      <c r="C260" s="2" t="s">
        <v>304</v>
      </c>
      <c r="D260" s="2">
        <v>8781</v>
      </c>
      <c r="E260" s="2">
        <v>1438</v>
      </c>
      <c r="F260" s="2" t="s">
        <v>398</v>
      </c>
      <c r="G260" s="2" t="s">
        <v>358</v>
      </c>
      <c r="H260" s="2" t="s">
        <v>150</v>
      </c>
      <c r="I260" s="2" t="s">
        <v>123</v>
      </c>
      <c r="J260" s="2">
        <v>4</v>
      </c>
      <c r="K260" s="2" t="s">
        <v>151</v>
      </c>
      <c r="L260" s="2" t="s">
        <v>152</v>
      </c>
      <c r="M260" s="2" t="s">
        <v>153</v>
      </c>
      <c r="N260" s="2" t="str">
        <f>HYPERLINK("https://klocwork.dal.design.ti.com:443/review/insight-review.html#issuedetails_goto:problemid=8781,project=MCUSW_J7_KW_FULL,searchquery=taxonomy:'' build:RS-2022-10-06_06-07-58 grouping:off module:CddIpc","KW Issue Link")</f>
        <v>KW Issue Link</v>
      </c>
      <c r="O260" s="2"/>
      <c r="P260" s="2"/>
      <c r="Q260" s="2"/>
      <c r="R260" s="2"/>
      <c r="S260" s="2" t="s">
        <v>154</v>
      </c>
      <c r="T260" s="2"/>
    </row>
    <row r="261" spans="1:20" ht="120" x14ac:dyDescent="0.25">
      <c r="A261" s="2" t="s">
        <v>242</v>
      </c>
      <c r="B261" s="2" t="s">
        <v>243</v>
      </c>
      <c r="C261" s="2" t="s">
        <v>304</v>
      </c>
      <c r="D261" s="2">
        <v>8782</v>
      </c>
      <c r="E261" s="2">
        <v>1439</v>
      </c>
      <c r="F261" s="2" t="s">
        <v>399</v>
      </c>
      <c r="G261" s="2" t="s">
        <v>358</v>
      </c>
      <c r="H261" s="2" t="s">
        <v>150</v>
      </c>
      <c r="I261" s="2" t="s">
        <v>123</v>
      </c>
      <c r="J261" s="2">
        <v>4</v>
      </c>
      <c r="K261" s="2" t="s">
        <v>151</v>
      </c>
      <c r="L261" s="2" t="s">
        <v>152</v>
      </c>
      <c r="M261" s="2" t="s">
        <v>153</v>
      </c>
      <c r="N261" s="2" t="str">
        <f>HYPERLINK("https://klocwork.dal.design.ti.com:443/review/insight-review.html#issuedetails_goto:problemid=8782,project=MCUSW_J7_KW_FULL,searchquery=taxonomy:'' build:RS-2022-10-06_06-07-58 grouping:off module:CddIpc","KW Issue Link")</f>
        <v>KW Issue Link</v>
      </c>
      <c r="O261" s="2"/>
      <c r="P261" s="2"/>
      <c r="Q261" s="2"/>
      <c r="R261" s="2"/>
      <c r="S261" s="2" t="s">
        <v>154</v>
      </c>
      <c r="T261" s="2"/>
    </row>
    <row r="262" spans="1:20" ht="120" x14ac:dyDescent="0.25">
      <c r="A262" s="2" t="s">
        <v>400</v>
      </c>
      <c r="B262" s="2" t="s">
        <v>401</v>
      </c>
      <c r="C262" s="2" t="s">
        <v>304</v>
      </c>
      <c r="D262" s="2">
        <v>8783</v>
      </c>
      <c r="E262" s="2">
        <v>319</v>
      </c>
      <c r="F262" s="2" t="s">
        <v>402</v>
      </c>
      <c r="G262" s="2" t="s">
        <v>325</v>
      </c>
      <c r="H262" s="2" t="s">
        <v>150</v>
      </c>
      <c r="I262" s="2" t="s">
        <v>88</v>
      </c>
      <c r="J262" s="2">
        <v>6</v>
      </c>
      <c r="K262" s="2" t="s">
        <v>151</v>
      </c>
      <c r="L262" s="2" t="s">
        <v>152</v>
      </c>
      <c r="M262" s="2" t="s">
        <v>158</v>
      </c>
      <c r="N262" s="2" t="str">
        <f>HYPERLINK("https://klocwork.dal.design.ti.com:443/review/insight-review.html#issuedetails_goto:problemid=8783,project=MCUSW_J7_KW_FULL,searchquery=taxonomy:'' build:RS-2022-10-06_06-07-58 grouping:off module:CddIpc","KW Issue Link")</f>
        <v>KW Issue Link</v>
      </c>
      <c r="O262" s="2" t="s">
        <v>403</v>
      </c>
      <c r="P262" s="2" t="s">
        <v>267</v>
      </c>
      <c r="Q262" s="2" t="s">
        <v>161</v>
      </c>
      <c r="R262" s="2" t="s">
        <v>404</v>
      </c>
      <c r="S262" s="2" t="s">
        <v>154</v>
      </c>
      <c r="T262" s="2"/>
    </row>
    <row r="263" spans="1:20" ht="120" x14ac:dyDescent="0.25">
      <c r="A263" s="2" t="s">
        <v>400</v>
      </c>
      <c r="B263" s="2" t="s">
        <v>401</v>
      </c>
      <c r="C263" s="2" t="s">
        <v>304</v>
      </c>
      <c r="D263" s="2">
        <v>8784</v>
      </c>
      <c r="E263" s="2">
        <v>423</v>
      </c>
      <c r="F263" s="2" t="s">
        <v>405</v>
      </c>
      <c r="G263" s="2" t="s">
        <v>335</v>
      </c>
      <c r="H263" s="2" t="s">
        <v>150</v>
      </c>
      <c r="I263" s="2" t="s">
        <v>88</v>
      </c>
      <c r="J263" s="2">
        <v>6</v>
      </c>
      <c r="K263" s="2" t="s">
        <v>151</v>
      </c>
      <c r="L263" s="2" t="s">
        <v>152</v>
      </c>
      <c r="M263" s="2" t="s">
        <v>158</v>
      </c>
      <c r="N263" s="2" t="str">
        <f>HYPERLINK("https://klocwork.dal.design.ti.com:443/review/insight-review.html#issuedetails_goto:problemid=8784,project=MCUSW_J7_KW_FULL,searchquery=taxonomy:'' build:RS-2022-10-06_06-07-58 grouping:off module:CddIpc","KW Issue Link")</f>
        <v>KW Issue Link</v>
      </c>
      <c r="O263" s="2" t="s">
        <v>403</v>
      </c>
      <c r="P263" s="2" t="s">
        <v>267</v>
      </c>
      <c r="Q263" s="2" t="s">
        <v>161</v>
      </c>
      <c r="R263" s="2" t="s">
        <v>404</v>
      </c>
      <c r="S263" s="2" t="s">
        <v>154</v>
      </c>
      <c r="T263" s="2"/>
    </row>
    <row r="264" spans="1:20" ht="120" x14ac:dyDescent="0.25">
      <c r="A264" s="2" t="s">
        <v>400</v>
      </c>
      <c r="B264" s="2" t="s">
        <v>401</v>
      </c>
      <c r="C264" s="2" t="s">
        <v>304</v>
      </c>
      <c r="D264" s="2">
        <v>8786</v>
      </c>
      <c r="E264" s="2">
        <v>676</v>
      </c>
      <c r="F264" s="2" t="s">
        <v>406</v>
      </c>
      <c r="G264" s="2" t="s">
        <v>329</v>
      </c>
      <c r="H264" s="2" t="s">
        <v>150</v>
      </c>
      <c r="I264" s="2" t="s">
        <v>88</v>
      </c>
      <c r="J264" s="2">
        <v>6</v>
      </c>
      <c r="K264" s="2" t="s">
        <v>151</v>
      </c>
      <c r="L264" s="2" t="s">
        <v>152</v>
      </c>
      <c r="M264" s="2" t="s">
        <v>158</v>
      </c>
      <c r="N264" s="2" t="str">
        <f>HYPERLINK("https://klocwork.dal.design.ti.com:443/review/insight-review.html#issuedetails_goto:problemid=8786,project=MCUSW_J7_KW_FULL,searchquery=taxonomy:'' build:RS-2022-10-06_06-07-58 grouping:off module:CddIpc","KW Issue Link")</f>
        <v>KW Issue Link</v>
      </c>
      <c r="O264" s="2" t="s">
        <v>403</v>
      </c>
      <c r="P264" s="2" t="s">
        <v>267</v>
      </c>
      <c r="Q264" s="2" t="s">
        <v>161</v>
      </c>
      <c r="R264" s="2" t="s">
        <v>404</v>
      </c>
      <c r="S264" s="2" t="s">
        <v>154</v>
      </c>
      <c r="T264" s="2"/>
    </row>
    <row r="265" spans="1:20" ht="120" x14ac:dyDescent="0.25">
      <c r="A265" s="2" t="s">
        <v>400</v>
      </c>
      <c r="B265" s="2" t="s">
        <v>401</v>
      </c>
      <c r="C265" s="2" t="s">
        <v>304</v>
      </c>
      <c r="D265" s="2">
        <v>8787</v>
      </c>
      <c r="E265" s="2">
        <v>826</v>
      </c>
      <c r="F265" s="2" t="s">
        <v>407</v>
      </c>
      <c r="G265" s="2" t="s">
        <v>330</v>
      </c>
      <c r="H265" s="2" t="s">
        <v>150</v>
      </c>
      <c r="I265" s="2" t="s">
        <v>88</v>
      </c>
      <c r="J265" s="2">
        <v>6</v>
      </c>
      <c r="K265" s="2" t="s">
        <v>151</v>
      </c>
      <c r="L265" s="2" t="s">
        <v>152</v>
      </c>
      <c r="M265" s="2" t="s">
        <v>158</v>
      </c>
      <c r="N265" s="2" t="str">
        <f>HYPERLINK("https://klocwork.dal.design.ti.com:443/review/insight-review.html#issuedetails_goto:problemid=8787,project=MCUSW_J7_KW_FULL,searchquery=taxonomy:'' build:RS-2022-10-06_06-07-58 grouping:off module:CddIpc","KW Issue Link")</f>
        <v>KW Issue Link</v>
      </c>
      <c r="O265" s="2" t="s">
        <v>403</v>
      </c>
      <c r="P265" s="2" t="s">
        <v>267</v>
      </c>
      <c r="Q265" s="2" t="s">
        <v>161</v>
      </c>
      <c r="R265" s="2" t="s">
        <v>404</v>
      </c>
      <c r="S265" s="2" t="s">
        <v>154</v>
      </c>
      <c r="T265" s="2"/>
    </row>
    <row r="266" spans="1:20" ht="120" x14ac:dyDescent="0.25">
      <c r="A266" s="2" t="s">
        <v>400</v>
      </c>
      <c r="B266" s="2" t="s">
        <v>401</v>
      </c>
      <c r="C266" s="2" t="s">
        <v>304</v>
      </c>
      <c r="D266" s="2">
        <v>8788</v>
      </c>
      <c r="E266" s="2">
        <v>1148</v>
      </c>
      <c r="F266" s="2" t="s">
        <v>408</v>
      </c>
      <c r="G266" s="2" t="s">
        <v>336</v>
      </c>
      <c r="H266" s="2" t="s">
        <v>150</v>
      </c>
      <c r="I266" s="2" t="s">
        <v>88</v>
      </c>
      <c r="J266" s="2">
        <v>6</v>
      </c>
      <c r="K266" s="2" t="s">
        <v>151</v>
      </c>
      <c r="L266" s="2" t="s">
        <v>152</v>
      </c>
      <c r="M266" s="2" t="s">
        <v>158</v>
      </c>
      <c r="N266" s="2" t="str">
        <f>HYPERLINK("https://klocwork.dal.design.ti.com:443/review/insight-review.html#issuedetails_goto:problemid=8788,project=MCUSW_J7_KW_FULL,searchquery=taxonomy:'' build:RS-2022-10-06_06-07-58 grouping:off module:CddIpc","KW Issue Link")</f>
        <v>KW Issue Link</v>
      </c>
      <c r="O266" s="2" t="s">
        <v>403</v>
      </c>
      <c r="P266" s="2" t="s">
        <v>267</v>
      </c>
      <c r="Q266" s="2" t="s">
        <v>161</v>
      </c>
      <c r="R266" s="2" t="s">
        <v>404</v>
      </c>
      <c r="S266" s="2" t="s">
        <v>154</v>
      </c>
      <c r="T266" s="2"/>
    </row>
    <row r="267" spans="1:20" ht="120" x14ac:dyDescent="0.25">
      <c r="A267" s="2" t="s">
        <v>400</v>
      </c>
      <c r="B267" s="2" t="s">
        <v>401</v>
      </c>
      <c r="C267" s="2" t="s">
        <v>304</v>
      </c>
      <c r="D267" s="2">
        <v>8789</v>
      </c>
      <c r="E267" s="2">
        <v>1240</v>
      </c>
      <c r="F267" s="2" t="s">
        <v>409</v>
      </c>
      <c r="G267" s="2" t="s">
        <v>333</v>
      </c>
      <c r="H267" s="2" t="s">
        <v>150</v>
      </c>
      <c r="I267" s="2" t="s">
        <v>88</v>
      </c>
      <c r="J267" s="2">
        <v>6</v>
      </c>
      <c r="K267" s="2" t="s">
        <v>151</v>
      </c>
      <c r="L267" s="2" t="s">
        <v>152</v>
      </c>
      <c r="M267" s="2" t="s">
        <v>158</v>
      </c>
      <c r="N267" s="2" t="str">
        <f>HYPERLINK("https://klocwork.dal.design.ti.com:443/review/insight-review.html#issuedetails_goto:problemid=8789,project=MCUSW_J7_KW_FULL,searchquery=taxonomy:'' build:RS-2022-10-06_06-07-58 grouping:off module:CddIpc","KW Issue Link")</f>
        <v>KW Issue Link</v>
      </c>
      <c r="O267" s="2" t="s">
        <v>403</v>
      </c>
      <c r="P267" s="2" t="s">
        <v>267</v>
      </c>
      <c r="Q267" s="2" t="s">
        <v>161</v>
      </c>
      <c r="R267" s="2" t="s">
        <v>404</v>
      </c>
      <c r="S267" s="2" t="s">
        <v>154</v>
      </c>
      <c r="T267" s="2"/>
    </row>
    <row r="268" spans="1:20" ht="120" x14ac:dyDescent="0.25">
      <c r="A268" s="2" t="s">
        <v>400</v>
      </c>
      <c r="B268" s="2" t="s">
        <v>401</v>
      </c>
      <c r="C268" s="2" t="s">
        <v>304</v>
      </c>
      <c r="D268" s="2">
        <v>8790</v>
      </c>
      <c r="E268" s="2">
        <v>1315</v>
      </c>
      <c r="F268" s="2" t="s">
        <v>405</v>
      </c>
      <c r="G268" s="2" t="s">
        <v>341</v>
      </c>
      <c r="H268" s="2" t="s">
        <v>150</v>
      </c>
      <c r="I268" s="2" t="s">
        <v>88</v>
      </c>
      <c r="J268" s="2">
        <v>6</v>
      </c>
      <c r="K268" s="2" t="s">
        <v>151</v>
      </c>
      <c r="L268" s="2" t="s">
        <v>152</v>
      </c>
      <c r="M268" s="2" t="s">
        <v>158</v>
      </c>
      <c r="N268" s="2" t="str">
        <f>HYPERLINK("https://klocwork.dal.design.ti.com:443/review/insight-review.html#issuedetails_goto:problemid=8790,project=MCUSW_J7_KW_FULL,searchquery=taxonomy:'' build:RS-2022-10-06_06-07-58 grouping:off module:CddIpc","KW Issue Link")</f>
        <v>KW Issue Link</v>
      </c>
      <c r="O268" s="2" t="s">
        <v>403</v>
      </c>
      <c r="P268" s="2" t="s">
        <v>267</v>
      </c>
      <c r="Q268" s="2" t="s">
        <v>161</v>
      </c>
      <c r="R268" s="2" t="s">
        <v>404</v>
      </c>
      <c r="S268" s="2" t="s">
        <v>154</v>
      </c>
      <c r="T268" s="2"/>
    </row>
    <row r="269" spans="1:20" ht="120" x14ac:dyDescent="0.25">
      <c r="A269" s="2" t="s">
        <v>410</v>
      </c>
      <c r="B269" s="2" t="s">
        <v>411</v>
      </c>
      <c r="C269" s="2" t="s">
        <v>304</v>
      </c>
      <c r="D269" s="2">
        <v>8791</v>
      </c>
      <c r="E269" s="2">
        <v>322</v>
      </c>
      <c r="F269" s="2" t="s">
        <v>412</v>
      </c>
      <c r="G269" s="2" t="s">
        <v>306</v>
      </c>
      <c r="H269" s="2" t="s">
        <v>150</v>
      </c>
      <c r="I269" s="2" t="s">
        <v>88</v>
      </c>
      <c r="J269" s="2">
        <v>6</v>
      </c>
      <c r="K269" s="2" t="s">
        <v>151</v>
      </c>
      <c r="L269" s="2" t="s">
        <v>152</v>
      </c>
      <c r="M269" s="2" t="s">
        <v>158</v>
      </c>
      <c r="N269" s="2" t="str">
        <f>HYPERLINK("https://klocwork.dal.design.ti.com:443/review/insight-review.html#issuedetails_goto:problemid=8791,project=MCUSW_J7_KW_FULL,searchquery=taxonomy:'' build:RS-2022-10-06_06-07-58 grouping:off module:CddIpc","KW Issue Link")</f>
        <v>KW Issue Link</v>
      </c>
      <c r="O269" s="2" t="s">
        <v>413</v>
      </c>
      <c r="P269" s="2" t="s">
        <v>160</v>
      </c>
      <c r="Q269" s="2" t="s">
        <v>161</v>
      </c>
      <c r="R269" s="2" t="s">
        <v>414</v>
      </c>
      <c r="S269" s="2" t="s">
        <v>154</v>
      </c>
      <c r="T269" s="2"/>
    </row>
    <row r="270" spans="1:20" ht="120" x14ac:dyDescent="0.25">
      <c r="A270" s="2" t="s">
        <v>410</v>
      </c>
      <c r="B270" s="2" t="s">
        <v>411</v>
      </c>
      <c r="C270" s="2" t="s">
        <v>304</v>
      </c>
      <c r="D270" s="2">
        <v>8792</v>
      </c>
      <c r="E270" s="2">
        <v>505</v>
      </c>
      <c r="F270" s="2" t="s">
        <v>412</v>
      </c>
      <c r="G270" s="2" t="s">
        <v>306</v>
      </c>
      <c r="H270" s="2" t="s">
        <v>150</v>
      </c>
      <c r="I270" s="2" t="s">
        <v>88</v>
      </c>
      <c r="J270" s="2">
        <v>6</v>
      </c>
      <c r="K270" s="2" t="s">
        <v>151</v>
      </c>
      <c r="L270" s="2" t="s">
        <v>152</v>
      </c>
      <c r="M270" s="2" t="s">
        <v>158</v>
      </c>
      <c r="N270" s="2" t="str">
        <f>HYPERLINK("https://klocwork.dal.design.ti.com:443/review/insight-review.html#issuedetails_goto:problemid=8792,project=MCUSW_J7_KW_FULL,searchquery=taxonomy:'' build:RS-2022-10-06_06-07-58 grouping:off module:CddIpc","KW Issue Link")</f>
        <v>KW Issue Link</v>
      </c>
      <c r="O270" s="2" t="s">
        <v>413</v>
      </c>
      <c r="P270" s="2" t="s">
        <v>160</v>
      </c>
      <c r="Q270" s="2" t="s">
        <v>161</v>
      </c>
      <c r="R270" s="2" t="s">
        <v>414</v>
      </c>
      <c r="S270" s="2" t="s">
        <v>154</v>
      </c>
      <c r="T270" s="2"/>
    </row>
    <row r="271" spans="1:20" ht="120" x14ac:dyDescent="0.25">
      <c r="A271" s="2" t="s">
        <v>410</v>
      </c>
      <c r="B271" s="2" t="s">
        <v>411</v>
      </c>
      <c r="C271" s="2" t="s">
        <v>304</v>
      </c>
      <c r="D271" s="2">
        <v>8793</v>
      </c>
      <c r="E271" s="2">
        <v>532</v>
      </c>
      <c r="F271" s="2" t="s">
        <v>412</v>
      </c>
      <c r="G271" s="2" t="s">
        <v>306</v>
      </c>
      <c r="H271" s="2" t="s">
        <v>150</v>
      </c>
      <c r="I271" s="2" t="s">
        <v>88</v>
      </c>
      <c r="J271" s="2">
        <v>6</v>
      </c>
      <c r="K271" s="2" t="s">
        <v>151</v>
      </c>
      <c r="L271" s="2" t="s">
        <v>152</v>
      </c>
      <c r="M271" s="2" t="s">
        <v>158</v>
      </c>
      <c r="N271" s="2" t="str">
        <f>HYPERLINK("https://klocwork.dal.design.ti.com:443/review/insight-review.html#issuedetails_goto:problemid=8793,project=MCUSW_J7_KW_FULL,searchquery=taxonomy:'' build:RS-2022-10-06_06-07-58 grouping:off module:CddIpc","KW Issue Link")</f>
        <v>KW Issue Link</v>
      </c>
      <c r="O271" s="2" t="s">
        <v>413</v>
      </c>
      <c r="P271" s="2" t="s">
        <v>160</v>
      </c>
      <c r="Q271" s="2" t="s">
        <v>161</v>
      </c>
      <c r="R271" s="2" t="s">
        <v>414</v>
      </c>
      <c r="S271" s="2" t="s">
        <v>154</v>
      </c>
      <c r="T271" s="2"/>
    </row>
    <row r="272" spans="1:20" ht="120" x14ac:dyDescent="0.25">
      <c r="A272" s="2" t="s">
        <v>410</v>
      </c>
      <c r="B272" s="2" t="s">
        <v>411</v>
      </c>
      <c r="C272" s="2" t="s">
        <v>304</v>
      </c>
      <c r="D272" s="2">
        <v>8794</v>
      </c>
      <c r="E272" s="2">
        <v>575</v>
      </c>
      <c r="F272" s="2" t="s">
        <v>412</v>
      </c>
      <c r="G272" s="2" t="s">
        <v>306</v>
      </c>
      <c r="H272" s="2" t="s">
        <v>150</v>
      </c>
      <c r="I272" s="2" t="s">
        <v>88</v>
      </c>
      <c r="J272" s="2">
        <v>6</v>
      </c>
      <c r="K272" s="2" t="s">
        <v>151</v>
      </c>
      <c r="L272" s="2" t="s">
        <v>152</v>
      </c>
      <c r="M272" s="2" t="s">
        <v>158</v>
      </c>
      <c r="N272" s="2" t="str">
        <f>HYPERLINK("https://klocwork.dal.design.ti.com:443/review/insight-review.html#issuedetails_goto:problemid=8794,project=MCUSW_J7_KW_FULL,searchquery=taxonomy:'' build:RS-2022-10-06_06-07-58 grouping:off module:CddIpc","KW Issue Link")</f>
        <v>KW Issue Link</v>
      </c>
      <c r="O272" s="2" t="s">
        <v>413</v>
      </c>
      <c r="P272" s="2" t="s">
        <v>160</v>
      </c>
      <c r="Q272" s="2" t="s">
        <v>161</v>
      </c>
      <c r="R272" s="2" t="s">
        <v>414</v>
      </c>
      <c r="S272" s="2" t="s">
        <v>154</v>
      </c>
      <c r="T272" s="2"/>
    </row>
    <row r="273" spans="1:20" ht="120" x14ac:dyDescent="0.25">
      <c r="A273" s="2" t="s">
        <v>410</v>
      </c>
      <c r="B273" s="2" t="s">
        <v>411</v>
      </c>
      <c r="C273" s="2" t="s">
        <v>304</v>
      </c>
      <c r="D273" s="2">
        <v>8795</v>
      </c>
      <c r="E273" s="2">
        <v>684</v>
      </c>
      <c r="F273" s="2" t="s">
        <v>412</v>
      </c>
      <c r="G273" s="2" t="s">
        <v>306</v>
      </c>
      <c r="H273" s="2" t="s">
        <v>150</v>
      </c>
      <c r="I273" s="2" t="s">
        <v>88</v>
      </c>
      <c r="J273" s="2">
        <v>6</v>
      </c>
      <c r="K273" s="2" t="s">
        <v>151</v>
      </c>
      <c r="L273" s="2" t="s">
        <v>152</v>
      </c>
      <c r="M273" s="2" t="s">
        <v>158</v>
      </c>
      <c r="N273" s="2" t="str">
        <f>HYPERLINK("https://klocwork.dal.design.ti.com:443/review/insight-review.html#issuedetails_goto:problemid=8795,project=MCUSW_J7_KW_FULL,searchquery=taxonomy:'' build:RS-2022-10-06_06-07-58 grouping:off module:CddIpc","KW Issue Link")</f>
        <v>KW Issue Link</v>
      </c>
      <c r="O273" s="2" t="s">
        <v>413</v>
      </c>
      <c r="P273" s="2" t="s">
        <v>160</v>
      </c>
      <c r="Q273" s="2" t="s">
        <v>161</v>
      </c>
      <c r="R273" s="2" t="s">
        <v>414</v>
      </c>
      <c r="S273" s="2" t="s">
        <v>154</v>
      </c>
      <c r="T273" s="2"/>
    </row>
    <row r="274" spans="1:20" ht="120" x14ac:dyDescent="0.25">
      <c r="A274" s="2" t="s">
        <v>410</v>
      </c>
      <c r="B274" s="2" t="s">
        <v>411</v>
      </c>
      <c r="C274" s="2" t="s">
        <v>304</v>
      </c>
      <c r="D274" s="2">
        <v>8796</v>
      </c>
      <c r="E274" s="2">
        <v>800</v>
      </c>
      <c r="F274" s="2" t="s">
        <v>412</v>
      </c>
      <c r="G274" s="2" t="s">
        <v>306</v>
      </c>
      <c r="H274" s="2" t="s">
        <v>150</v>
      </c>
      <c r="I274" s="2" t="s">
        <v>88</v>
      </c>
      <c r="J274" s="2">
        <v>6</v>
      </c>
      <c r="K274" s="2" t="s">
        <v>151</v>
      </c>
      <c r="L274" s="2" t="s">
        <v>152</v>
      </c>
      <c r="M274" s="2" t="s">
        <v>158</v>
      </c>
      <c r="N274" s="2" t="str">
        <f>HYPERLINK("https://klocwork.dal.design.ti.com:443/review/insight-review.html#issuedetails_goto:problemid=8796,project=MCUSW_J7_KW_FULL,searchquery=taxonomy:'' build:RS-2022-10-06_06-07-58 grouping:off module:CddIpc","KW Issue Link")</f>
        <v>KW Issue Link</v>
      </c>
      <c r="O274" s="2" t="s">
        <v>413</v>
      </c>
      <c r="P274" s="2" t="s">
        <v>160</v>
      </c>
      <c r="Q274" s="2" t="s">
        <v>161</v>
      </c>
      <c r="R274" s="2" t="s">
        <v>414</v>
      </c>
      <c r="S274" s="2" t="s">
        <v>154</v>
      </c>
      <c r="T274" s="2"/>
    </row>
    <row r="275" spans="1:20" ht="120" x14ac:dyDescent="0.25">
      <c r="A275" s="2" t="s">
        <v>410</v>
      </c>
      <c r="B275" s="2" t="s">
        <v>411</v>
      </c>
      <c r="C275" s="2" t="s">
        <v>304</v>
      </c>
      <c r="D275" s="2">
        <v>8797</v>
      </c>
      <c r="E275" s="2">
        <v>833</v>
      </c>
      <c r="F275" s="2" t="s">
        <v>412</v>
      </c>
      <c r="G275" s="2" t="s">
        <v>306</v>
      </c>
      <c r="H275" s="2" t="s">
        <v>150</v>
      </c>
      <c r="I275" s="2" t="s">
        <v>88</v>
      </c>
      <c r="J275" s="2">
        <v>6</v>
      </c>
      <c r="K275" s="2" t="s">
        <v>151</v>
      </c>
      <c r="L275" s="2" t="s">
        <v>152</v>
      </c>
      <c r="M275" s="2" t="s">
        <v>158</v>
      </c>
      <c r="N275" s="2" t="str">
        <f>HYPERLINK("https://klocwork.dal.design.ti.com:443/review/insight-review.html#issuedetails_goto:problemid=8797,project=MCUSW_J7_KW_FULL,searchquery=taxonomy:'' build:RS-2022-10-06_06-07-58 grouping:off module:CddIpc","KW Issue Link")</f>
        <v>KW Issue Link</v>
      </c>
      <c r="O275" s="2" t="s">
        <v>413</v>
      </c>
      <c r="P275" s="2" t="s">
        <v>160</v>
      </c>
      <c r="Q275" s="2" t="s">
        <v>161</v>
      </c>
      <c r="R275" s="2" t="s">
        <v>414</v>
      </c>
      <c r="S275" s="2" t="s">
        <v>154</v>
      </c>
      <c r="T275" s="2"/>
    </row>
    <row r="276" spans="1:20" ht="120" x14ac:dyDescent="0.25">
      <c r="A276" s="2" t="s">
        <v>415</v>
      </c>
      <c r="B276" s="2" t="s">
        <v>416</v>
      </c>
      <c r="C276" s="2" t="s">
        <v>304</v>
      </c>
      <c r="D276" s="2">
        <v>8798</v>
      </c>
      <c r="E276" s="2">
        <v>344</v>
      </c>
      <c r="F276" s="2" t="s">
        <v>417</v>
      </c>
      <c r="G276" s="2" t="s">
        <v>325</v>
      </c>
      <c r="H276" s="2" t="s">
        <v>150</v>
      </c>
      <c r="I276" s="2" t="s">
        <v>88</v>
      </c>
      <c r="J276" s="2">
        <v>6</v>
      </c>
      <c r="K276" s="2" t="s">
        <v>151</v>
      </c>
      <c r="L276" s="2" t="s">
        <v>152</v>
      </c>
      <c r="M276" s="2" t="s">
        <v>158</v>
      </c>
      <c r="N276" s="2" t="str">
        <f>HYPERLINK("https://klocwork.dal.design.ti.com:443/review/insight-review.html#issuedetails_goto:problemid=8798,project=MCUSW_J7_KW_FULL,searchquery=taxonomy:'' build:RS-2022-10-06_06-07-58 grouping:off module:CddIpc","KW Issue Link")</f>
        <v>KW Issue Link</v>
      </c>
      <c r="O276" s="2" t="s">
        <v>418</v>
      </c>
      <c r="P276" s="2" t="s">
        <v>234</v>
      </c>
      <c r="Q276" s="2" t="s">
        <v>161</v>
      </c>
      <c r="R276" s="2" t="s">
        <v>419</v>
      </c>
      <c r="S276" s="2" t="s">
        <v>154</v>
      </c>
      <c r="T276" s="2"/>
    </row>
    <row r="277" spans="1:20" ht="120" x14ac:dyDescent="0.25">
      <c r="A277" s="2" t="s">
        <v>415</v>
      </c>
      <c r="B277" s="2" t="s">
        <v>416</v>
      </c>
      <c r="C277" s="2" t="s">
        <v>304</v>
      </c>
      <c r="D277" s="2">
        <v>8799</v>
      </c>
      <c r="E277" s="2">
        <v>377</v>
      </c>
      <c r="F277" s="2" t="s">
        <v>417</v>
      </c>
      <c r="G277" s="2" t="s">
        <v>325</v>
      </c>
      <c r="H277" s="2" t="s">
        <v>150</v>
      </c>
      <c r="I277" s="2" t="s">
        <v>88</v>
      </c>
      <c r="J277" s="2">
        <v>6</v>
      </c>
      <c r="K277" s="2" t="s">
        <v>151</v>
      </c>
      <c r="L277" s="2" t="s">
        <v>152</v>
      </c>
      <c r="M277" s="2" t="s">
        <v>158</v>
      </c>
      <c r="N277" s="2" t="str">
        <f>HYPERLINK("https://klocwork.dal.design.ti.com:443/review/insight-review.html#issuedetails_goto:problemid=8799,project=MCUSW_J7_KW_FULL,searchquery=taxonomy:'' build:RS-2022-10-06_06-07-58 grouping:off module:CddIpc","KW Issue Link")</f>
        <v>KW Issue Link</v>
      </c>
      <c r="O277" s="2" t="s">
        <v>418</v>
      </c>
      <c r="P277" s="2" t="s">
        <v>234</v>
      </c>
      <c r="Q277" s="2" t="s">
        <v>161</v>
      </c>
      <c r="R277" s="2" t="s">
        <v>419</v>
      </c>
      <c r="S277" s="2" t="s">
        <v>154</v>
      </c>
      <c r="T277" s="2"/>
    </row>
    <row r="278" spans="1:20" ht="120" x14ac:dyDescent="0.25">
      <c r="A278" s="2" t="s">
        <v>415</v>
      </c>
      <c r="B278" s="2" t="s">
        <v>416</v>
      </c>
      <c r="C278" s="2" t="s">
        <v>304</v>
      </c>
      <c r="D278" s="2">
        <v>8800</v>
      </c>
      <c r="E278" s="2">
        <v>429</v>
      </c>
      <c r="F278" s="2" t="s">
        <v>420</v>
      </c>
      <c r="G278" s="2" t="s">
        <v>335</v>
      </c>
      <c r="H278" s="2" t="s">
        <v>150</v>
      </c>
      <c r="I278" s="2" t="s">
        <v>88</v>
      </c>
      <c r="J278" s="2">
        <v>6</v>
      </c>
      <c r="K278" s="2" t="s">
        <v>151</v>
      </c>
      <c r="L278" s="2" t="s">
        <v>152</v>
      </c>
      <c r="M278" s="2" t="s">
        <v>158</v>
      </c>
      <c r="N278" s="2" t="str">
        <f>HYPERLINK("https://klocwork.dal.design.ti.com:443/review/insight-review.html#issuedetails_goto:problemid=8800,project=MCUSW_J7_KW_FULL,searchquery=taxonomy:'' build:RS-2022-10-06_06-07-58 grouping:off module:CddIpc","KW Issue Link")</f>
        <v>KW Issue Link</v>
      </c>
      <c r="O278" s="2" t="s">
        <v>418</v>
      </c>
      <c r="P278" s="2" t="s">
        <v>234</v>
      </c>
      <c r="Q278" s="2" t="s">
        <v>161</v>
      </c>
      <c r="R278" s="2" t="s">
        <v>419</v>
      </c>
      <c r="S278" s="2" t="s">
        <v>154</v>
      </c>
      <c r="T278" s="2"/>
    </row>
    <row r="279" spans="1:20" ht="120" x14ac:dyDescent="0.25">
      <c r="A279" s="2" t="s">
        <v>415</v>
      </c>
      <c r="B279" s="2" t="s">
        <v>416</v>
      </c>
      <c r="C279" s="2" t="s">
        <v>304</v>
      </c>
      <c r="D279" s="2">
        <v>8801</v>
      </c>
      <c r="E279" s="2">
        <v>433</v>
      </c>
      <c r="F279" s="2" t="s">
        <v>421</v>
      </c>
      <c r="G279" s="2" t="s">
        <v>335</v>
      </c>
      <c r="H279" s="2" t="s">
        <v>150</v>
      </c>
      <c r="I279" s="2" t="s">
        <v>88</v>
      </c>
      <c r="J279" s="2">
        <v>6</v>
      </c>
      <c r="K279" s="2" t="s">
        <v>151</v>
      </c>
      <c r="L279" s="2" t="s">
        <v>152</v>
      </c>
      <c r="M279" s="2" t="s">
        <v>158</v>
      </c>
      <c r="N279" s="2" t="str">
        <f>HYPERLINK("https://klocwork.dal.design.ti.com:443/review/insight-review.html#issuedetails_goto:problemid=8801,project=MCUSW_J7_KW_FULL,searchquery=taxonomy:'' build:RS-2022-10-06_06-07-58 grouping:off module:CddIpc","KW Issue Link")</f>
        <v>KW Issue Link</v>
      </c>
      <c r="O279" s="2" t="s">
        <v>418</v>
      </c>
      <c r="P279" s="2" t="s">
        <v>234</v>
      </c>
      <c r="Q279" s="2" t="s">
        <v>161</v>
      </c>
      <c r="R279" s="2" t="s">
        <v>419</v>
      </c>
      <c r="S279" s="2" t="s">
        <v>154</v>
      </c>
      <c r="T279" s="2"/>
    </row>
    <row r="280" spans="1:20" ht="120" x14ac:dyDescent="0.25">
      <c r="A280" s="2" t="s">
        <v>415</v>
      </c>
      <c r="B280" s="2" t="s">
        <v>416</v>
      </c>
      <c r="C280" s="2" t="s">
        <v>304</v>
      </c>
      <c r="D280" s="2">
        <v>8802</v>
      </c>
      <c r="E280" s="2">
        <v>466</v>
      </c>
      <c r="F280" s="2" t="s">
        <v>420</v>
      </c>
      <c r="G280" s="2" t="s">
        <v>327</v>
      </c>
      <c r="H280" s="2" t="s">
        <v>150</v>
      </c>
      <c r="I280" s="2" t="s">
        <v>88</v>
      </c>
      <c r="J280" s="2">
        <v>6</v>
      </c>
      <c r="K280" s="2" t="s">
        <v>151</v>
      </c>
      <c r="L280" s="2" t="s">
        <v>152</v>
      </c>
      <c r="M280" s="2" t="s">
        <v>158</v>
      </c>
      <c r="N280" s="2" t="str">
        <f>HYPERLINK("https://klocwork.dal.design.ti.com:443/review/insight-review.html#issuedetails_goto:problemid=8802,project=MCUSW_J7_KW_FULL,searchquery=taxonomy:'' build:RS-2022-10-06_06-07-58 grouping:off module:CddIpc","KW Issue Link")</f>
        <v>KW Issue Link</v>
      </c>
      <c r="O280" s="2" t="s">
        <v>418</v>
      </c>
      <c r="P280" s="2" t="s">
        <v>234</v>
      </c>
      <c r="Q280" s="2" t="s">
        <v>161</v>
      </c>
      <c r="R280" s="2" t="s">
        <v>419</v>
      </c>
      <c r="S280" s="2" t="s">
        <v>154</v>
      </c>
      <c r="T280" s="2"/>
    </row>
    <row r="281" spans="1:20" ht="120" x14ac:dyDescent="0.25">
      <c r="A281" s="2" t="s">
        <v>415</v>
      </c>
      <c r="B281" s="2" t="s">
        <v>416</v>
      </c>
      <c r="C281" s="2" t="s">
        <v>304</v>
      </c>
      <c r="D281" s="2">
        <v>8803</v>
      </c>
      <c r="E281" s="2">
        <v>486</v>
      </c>
      <c r="F281" s="2" t="s">
        <v>422</v>
      </c>
      <c r="G281" s="2" t="s">
        <v>423</v>
      </c>
      <c r="H281" s="2" t="s">
        <v>150</v>
      </c>
      <c r="I281" s="2" t="s">
        <v>88</v>
      </c>
      <c r="J281" s="2">
        <v>6</v>
      </c>
      <c r="K281" s="2" t="s">
        <v>151</v>
      </c>
      <c r="L281" s="2" t="s">
        <v>152</v>
      </c>
      <c r="M281" s="2" t="s">
        <v>158</v>
      </c>
      <c r="N281" s="2" t="str">
        <f>HYPERLINK("https://klocwork.dal.design.ti.com:443/review/insight-review.html#issuedetails_goto:problemid=8803,project=MCUSW_J7_KW_FULL,searchquery=taxonomy:'' build:RS-2022-10-06_06-07-58 grouping:off module:CddIpc","KW Issue Link")</f>
        <v>KW Issue Link</v>
      </c>
      <c r="O281" s="2" t="s">
        <v>418</v>
      </c>
      <c r="P281" s="2" t="s">
        <v>234</v>
      </c>
      <c r="Q281" s="2" t="s">
        <v>161</v>
      </c>
      <c r="R281" s="2" t="s">
        <v>419</v>
      </c>
      <c r="S281" s="2" t="s">
        <v>154</v>
      </c>
      <c r="T281" s="2"/>
    </row>
    <row r="282" spans="1:20" ht="120" x14ac:dyDescent="0.25">
      <c r="A282" s="2" t="s">
        <v>415</v>
      </c>
      <c r="B282" s="2" t="s">
        <v>416</v>
      </c>
      <c r="C282" s="2" t="s">
        <v>304</v>
      </c>
      <c r="D282" s="2">
        <v>8804</v>
      </c>
      <c r="E282" s="2">
        <v>520</v>
      </c>
      <c r="F282" s="2" t="s">
        <v>424</v>
      </c>
      <c r="G282" s="2" t="s">
        <v>339</v>
      </c>
      <c r="H282" s="2" t="s">
        <v>150</v>
      </c>
      <c r="I282" s="2" t="s">
        <v>88</v>
      </c>
      <c r="J282" s="2">
        <v>6</v>
      </c>
      <c r="K282" s="2" t="s">
        <v>151</v>
      </c>
      <c r="L282" s="2" t="s">
        <v>152</v>
      </c>
      <c r="M282" s="2" t="s">
        <v>158</v>
      </c>
      <c r="N282" s="2" t="str">
        <f>HYPERLINK("https://klocwork.dal.design.ti.com:443/review/insight-review.html#issuedetails_goto:problemid=8804,project=MCUSW_J7_KW_FULL,searchquery=taxonomy:'' build:RS-2022-10-06_06-07-58 grouping:off module:CddIpc","KW Issue Link")</f>
        <v>KW Issue Link</v>
      </c>
      <c r="O282" s="2" t="s">
        <v>418</v>
      </c>
      <c r="P282" s="2" t="s">
        <v>234</v>
      </c>
      <c r="Q282" s="2" t="s">
        <v>161</v>
      </c>
      <c r="R282" s="2" t="s">
        <v>419</v>
      </c>
      <c r="S282" s="2" t="s">
        <v>154</v>
      </c>
      <c r="T282" s="2"/>
    </row>
    <row r="283" spans="1:20" ht="120" x14ac:dyDescent="0.25">
      <c r="A283" s="2" t="s">
        <v>415</v>
      </c>
      <c r="B283" s="2" t="s">
        <v>416</v>
      </c>
      <c r="C283" s="2" t="s">
        <v>304</v>
      </c>
      <c r="D283" s="2">
        <v>8805</v>
      </c>
      <c r="E283" s="2">
        <v>613</v>
      </c>
      <c r="F283" s="2" t="s">
        <v>424</v>
      </c>
      <c r="G283" s="2" t="s">
        <v>388</v>
      </c>
      <c r="H283" s="2" t="s">
        <v>150</v>
      </c>
      <c r="I283" s="2" t="s">
        <v>88</v>
      </c>
      <c r="J283" s="2">
        <v>6</v>
      </c>
      <c r="K283" s="2" t="s">
        <v>151</v>
      </c>
      <c r="L283" s="2" t="s">
        <v>152</v>
      </c>
      <c r="M283" s="2" t="s">
        <v>158</v>
      </c>
      <c r="N283" s="2" t="str">
        <f>HYPERLINK("https://klocwork.dal.design.ti.com:443/review/insight-review.html#issuedetails_goto:problemid=8805,project=MCUSW_J7_KW_FULL,searchquery=taxonomy:'' build:RS-2022-10-06_06-07-58 grouping:off module:CddIpc","KW Issue Link")</f>
        <v>KW Issue Link</v>
      </c>
      <c r="O283" s="2" t="s">
        <v>418</v>
      </c>
      <c r="P283" s="2" t="s">
        <v>234</v>
      </c>
      <c r="Q283" s="2" t="s">
        <v>161</v>
      </c>
      <c r="R283" s="2" t="s">
        <v>419</v>
      </c>
      <c r="S283" s="2" t="s">
        <v>154</v>
      </c>
      <c r="T283" s="2"/>
    </row>
    <row r="284" spans="1:20" ht="120" x14ac:dyDescent="0.25">
      <c r="A284" s="2" t="s">
        <v>415</v>
      </c>
      <c r="B284" s="2" t="s">
        <v>416</v>
      </c>
      <c r="C284" s="2" t="s">
        <v>304</v>
      </c>
      <c r="D284" s="2">
        <v>8806</v>
      </c>
      <c r="E284" s="2">
        <v>1041</v>
      </c>
      <c r="F284" s="2" t="s">
        <v>425</v>
      </c>
      <c r="G284" s="2" t="s">
        <v>332</v>
      </c>
      <c r="H284" s="2" t="s">
        <v>150</v>
      </c>
      <c r="I284" s="2" t="s">
        <v>88</v>
      </c>
      <c r="J284" s="2">
        <v>6</v>
      </c>
      <c r="K284" s="2" t="s">
        <v>151</v>
      </c>
      <c r="L284" s="2" t="s">
        <v>152</v>
      </c>
      <c r="M284" s="2" t="s">
        <v>158</v>
      </c>
      <c r="N284" s="2" t="str">
        <f>HYPERLINK("https://klocwork.dal.design.ti.com:443/review/insight-review.html#issuedetails_goto:problemid=8806,project=MCUSW_J7_KW_FULL,searchquery=taxonomy:'' build:RS-2022-10-06_06-07-58 grouping:off module:CddIpc","KW Issue Link")</f>
        <v>KW Issue Link</v>
      </c>
      <c r="O284" s="2" t="s">
        <v>418</v>
      </c>
      <c r="P284" s="2" t="s">
        <v>234</v>
      </c>
      <c r="Q284" s="2" t="s">
        <v>161</v>
      </c>
      <c r="R284" s="2" t="s">
        <v>419</v>
      </c>
      <c r="S284" s="2" t="s">
        <v>154</v>
      </c>
      <c r="T284" s="2"/>
    </row>
    <row r="285" spans="1:20" ht="120" x14ac:dyDescent="0.25">
      <c r="A285" s="2" t="s">
        <v>415</v>
      </c>
      <c r="B285" s="2" t="s">
        <v>416</v>
      </c>
      <c r="C285" s="2" t="s">
        <v>304</v>
      </c>
      <c r="D285" s="2">
        <v>8807</v>
      </c>
      <c r="E285" s="2">
        <v>1080</v>
      </c>
      <c r="F285" s="2" t="s">
        <v>426</v>
      </c>
      <c r="G285" s="2" t="s">
        <v>336</v>
      </c>
      <c r="H285" s="2" t="s">
        <v>150</v>
      </c>
      <c r="I285" s="2" t="s">
        <v>88</v>
      </c>
      <c r="J285" s="2">
        <v>6</v>
      </c>
      <c r="K285" s="2" t="s">
        <v>151</v>
      </c>
      <c r="L285" s="2" t="s">
        <v>152</v>
      </c>
      <c r="M285" s="2" t="s">
        <v>158</v>
      </c>
      <c r="N285" s="2" t="str">
        <f>HYPERLINK("https://klocwork.dal.design.ti.com:443/review/insight-review.html#issuedetails_goto:problemid=8807,project=MCUSW_J7_KW_FULL,searchquery=taxonomy:'' build:RS-2022-10-06_06-07-58 grouping:off module:CddIpc","KW Issue Link")</f>
        <v>KW Issue Link</v>
      </c>
      <c r="O285" s="2" t="s">
        <v>418</v>
      </c>
      <c r="P285" s="2" t="s">
        <v>234</v>
      </c>
      <c r="Q285" s="2" t="s">
        <v>161</v>
      </c>
      <c r="R285" s="2" t="s">
        <v>419</v>
      </c>
      <c r="S285" s="2" t="s">
        <v>154</v>
      </c>
      <c r="T285" s="2"/>
    </row>
    <row r="286" spans="1:20" ht="120" x14ac:dyDescent="0.25">
      <c r="A286" s="2" t="s">
        <v>415</v>
      </c>
      <c r="B286" s="2" t="s">
        <v>416</v>
      </c>
      <c r="C286" s="2" t="s">
        <v>304</v>
      </c>
      <c r="D286" s="2">
        <v>8808</v>
      </c>
      <c r="E286" s="2">
        <v>1117</v>
      </c>
      <c r="F286" s="2" t="s">
        <v>425</v>
      </c>
      <c r="G286" s="2" t="s">
        <v>336</v>
      </c>
      <c r="H286" s="2" t="s">
        <v>150</v>
      </c>
      <c r="I286" s="2" t="s">
        <v>88</v>
      </c>
      <c r="J286" s="2">
        <v>6</v>
      </c>
      <c r="K286" s="2" t="s">
        <v>151</v>
      </c>
      <c r="L286" s="2" t="s">
        <v>152</v>
      </c>
      <c r="M286" s="2" t="s">
        <v>158</v>
      </c>
      <c r="N286" s="2" t="str">
        <f>HYPERLINK("https://klocwork.dal.design.ti.com:443/review/insight-review.html#issuedetails_goto:problemid=8808,project=MCUSW_J7_KW_FULL,searchquery=taxonomy:'' build:RS-2022-10-06_06-07-58 grouping:off module:CddIpc","KW Issue Link")</f>
        <v>KW Issue Link</v>
      </c>
      <c r="O286" s="2" t="s">
        <v>418</v>
      </c>
      <c r="P286" s="2" t="s">
        <v>234</v>
      </c>
      <c r="Q286" s="2" t="s">
        <v>161</v>
      </c>
      <c r="R286" s="2" t="s">
        <v>419</v>
      </c>
      <c r="S286" s="2" t="s">
        <v>154</v>
      </c>
      <c r="T286" s="2"/>
    </row>
    <row r="287" spans="1:20" ht="120" x14ac:dyDescent="0.25">
      <c r="A287" s="2" t="s">
        <v>415</v>
      </c>
      <c r="B287" s="2" t="s">
        <v>416</v>
      </c>
      <c r="C287" s="2" t="s">
        <v>304</v>
      </c>
      <c r="D287" s="2">
        <v>8809</v>
      </c>
      <c r="E287" s="2">
        <v>1118</v>
      </c>
      <c r="F287" s="2" t="s">
        <v>425</v>
      </c>
      <c r="G287" s="2" t="s">
        <v>336</v>
      </c>
      <c r="H287" s="2" t="s">
        <v>150</v>
      </c>
      <c r="I287" s="2" t="s">
        <v>88</v>
      </c>
      <c r="J287" s="2">
        <v>6</v>
      </c>
      <c r="K287" s="2" t="s">
        <v>151</v>
      </c>
      <c r="L287" s="2" t="s">
        <v>152</v>
      </c>
      <c r="M287" s="2" t="s">
        <v>158</v>
      </c>
      <c r="N287" s="2" t="str">
        <f>HYPERLINK("https://klocwork.dal.design.ti.com:443/review/insight-review.html#issuedetails_goto:problemid=8809,project=MCUSW_J7_KW_FULL,searchquery=taxonomy:'' build:RS-2022-10-06_06-07-58 grouping:off module:CddIpc","KW Issue Link")</f>
        <v>KW Issue Link</v>
      </c>
      <c r="O287" s="2" t="s">
        <v>418</v>
      </c>
      <c r="P287" s="2" t="s">
        <v>234</v>
      </c>
      <c r="Q287" s="2" t="s">
        <v>161</v>
      </c>
      <c r="R287" s="2" t="s">
        <v>419</v>
      </c>
      <c r="S287" s="2" t="s">
        <v>154</v>
      </c>
      <c r="T287" s="2"/>
    </row>
    <row r="288" spans="1:20" ht="120" x14ac:dyDescent="0.25">
      <c r="A288" s="2" t="s">
        <v>415</v>
      </c>
      <c r="B288" s="2" t="s">
        <v>416</v>
      </c>
      <c r="C288" s="2" t="s">
        <v>304</v>
      </c>
      <c r="D288" s="2">
        <v>8810</v>
      </c>
      <c r="E288" s="2">
        <v>1140</v>
      </c>
      <c r="F288" s="2" t="s">
        <v>427</v>
      </c>
      <c r="G288" s="2" t="s">
        <v>336</v>
      </c>
      <c r="H288" s="2" t="s">
        <v>150</v>
      </c>
      <c r="I288" s="2" t="s">
        <v>88</v>
      </c>
      <c r="J288" s="2">
        <v>6</v>
      </c>
      <c r="K288" s="2" t="s">
        <v>151</v>
      </c>
      <c r="L288" s="2" t="s">
        <v>152</v>
      </c>
      <c r="M288" s="2" t="s">
        <v>158</v>
      </c>
      <c r="N288" s="2" t="str">
        <f>HYPERLINK("https://klocwork.dal.design.ti.com:443/review/insight-review.html#issuedetails_goto:problemid=8810,project=MCUSW_J7_KW_FULL,searchquery=taxonomy:'' build:RS-2022-10-06_06-07-58 grouping:off module:CddIpc","KW Issue Link")</f>
        <v>KW Issue Link</v>
      </c>
      <c r="O288" s="2" t="s">
        <v>418</v>
      </c>
      <c r="P288" s="2" t="s">
        <v>234</v>
      </c>
      <c r="Q288" s="2" t="s">
        <v>161</v>
      </c>
      <c r="R288" s="2" t="s">
        <v>419</v>
      </c>
      <c r="S288" s="2" t="s">
        <v>154</v>
      </c>
      <c r="T288" s="2"/>
    </row>
    <row r="289" spans="1:20" ht="120" x14ac:dyDescent="0.25">
      <c r="A289" s="2" t="s">
        <v>415</v>
      </c>
      <c r="B289" s="2" t="s">
        <v>416</v>
      </c>
      <c r="C289" s="2" t="s">
        <v>304</v>
      </c>
      <c r="D289" s="2">
        <v>8811</v>
      </c>
      <c r="E289" s="2">
        <v>1145</v>
      </c>
      <c r="F289" s="2" t="s">
        <v>427</v>
      </c>
      <c r="G289" s="2" t="s">
        <v>336</v>
      </c>
      <c r="H289" s="2" t="s">
        <v>150</v>
      </c>
      <c r="I289" s="2" t="s">
        <v>88</v>
      </c>
      <c r="J289" s="2">
        <v>6</v>
      </c>
      <c r="K289" s="2" t="s">
        <v>151</v>
      </c>
      <c r="L289" s="2" t="s">
        <v>152</v>
      </c>
      <c r="M289" s="2" t="s">
        <v>158</v>
      </c>
      <c r="N289" s="2" t="str">
        <f>HYPERLINK("https://klocwork.dal.design.ti.com:443/review/insight-review.html#issuedetails_goto:problemid=8811,project=MCUSW_J7_KW_FULL,searchquery=taxonomy:'' build:RS-2022-10-06_06-07-58 grouping:off module:CddIpc","KW Issue Link")</f>
        <v>KW Issue Link</v>
      </c>
      <c r="O289" s="2" t="s">
        <v>418</v>
      </c>
      <c r="P289" s="2" t="s">
        <v>234</v>
      </c>
      <c r="Q289" s="2" t="s">
        <v>161</v>
      </c>
      <c r="R289" s="2" t="s">
        <v>419</v>
      </c>
      <c r="S289" s="2" t="s">
        <v>154</v>
      </c>
      <c r="T289" s="2"/>
    </row>
    <row r="290" spans="1:20" ht="120" x14ac:dyDescent="0.25">
      <c r="A290" s="2" t="s">
        <v>415</v>
      </c>
      <c r="B290" s="2" t="s">
        <v>416</v>
      </c>
      <c r="C290" s="2" t="s">
        <v>304</v>
      </c>
      <c r="D290" s="2">
        <v>8812</v>
      </c>
      <c r="E290" s="2">
        <v>1148</v>
      </c>
      <c r="F290" s="2" t="s">
        <v>428</v>
      </c>
      <c r="G290" s="2" t="s">
        <v>336</v>
      </c>
      <c r="H290" s="2" t="s">
        <v>150</v>
      </c>
      <c r="I290" s="2" t="s">
        <v>88</v>
      </c>
      <c r="J290" s="2">
        <v>6</v>
      </c>
      <c r="K290" s="2" t="s">
        <v>151</v>
      </c>
      <c r="L290" s="2" t="s">
        <v>152</v>
      </c>
      <c r="M290" s="2" t="s">
        <v>158</v>
      </c>
      <c r="N290" s="2" t="str">
        <f>HYPERLINK("https://klocwork.dal.design.ti.com:443/review/insight-review.html#issuedetails_goto:problemid=8812,project=MCUSW_J7_KW_FULL,searchquery=taxonomy:'' build:RS-2022-10-06_06-07-58 grouping:off module:CddIpc","KW Issue Link")</f>
        <v>KW Issue Link</v>
      </c>
      <c r="O290" s="2" t="s">
        <v>418</v>
      </c>
      <c r="P290" s="2" t="s">
        <v>234</v>
      </c>
      <c r="Q290" s="2" t="s">
        <v>161</v>
      </c>
      <c r="R290" s="2" t="s">
        <v>419</v>
      </c>
      <c r="S290" s="2" t="s">
        <v>154</v>
      </c>
      <c r="T290" s="2"/>
    </row>
    <row r="291" spans="1:20" ht="120" x14ac:dyDescent="0.25">
      <c r="A291" s="2" t="s">
        <v>415</v>
      </c>
      <c r="B291" s="2" t="s">
        <v>416</v>
      </c>
      <c r="C291" s="2" t="s">
        <v>304</v>
      </c>
      <c r="D291" s="2">
        <v>8814</v>
      </c>
      <c r="E291" s="2">
        <v>1250</v>
      </c>
      <c r="F291" s="2" t="s">
        <v>429</v>
      </c>
      <c r="G291" s="2" t="s">
        <v>333</v>
      </c>
      <c r="H291" s="2" t="s">
        <v>150</v>
      </c>
      <c r="I291" s="2" t="s">
        <v>88</v>
      </c>
      <c r="J291" s="2">
        <v>6</v>
      </c>
      <c r="K291" s="2" t="s">
        <v>151</v>
      </c>
      <c r="L291" s="2" t="s">
        <v>152</v>
      </c>
      <c r="M291" s="2" t="s">
        <v>158</v>
      </c>
      <c r="N291" s="2" t="str">
        <f>HYPERLINK("https://klocwork.dal.design.ti.com:443/review/insight-review.html#issuedetails_goto:problemid=8814,project=MCUSW_J7_KW_FULL,searchquery=taxonomy:'' build:RS-2022-10-06_06-07-58 grouping:off module:CddIpc","KW Issue Link")</f>
        <v>KW Issue Link</v>
      </c>
      <c r="O291" s="2" t="s">
        <v>418</v>
      </c>
      <c r="P291" s="2" t="s">
        <v>234</v>
      </c>
      <c r="Q291" s="2" t="s">
        <v>161</v>
      </c>
      <c r="R291" s="2" t="s">
        <v>419</v>
      </c>
      <c r="S291" s="2" t="s">
        <v>154</v>
      </c>
      <c r="T291" s="2"/>
    </row>
    <row r="292" spans="1:20" ht="120" x14ac:dyDescent="0.25">
      <c r="A292" s="2" t="s">
        <v>415</v>
      </c>
      <c r="B292" s="2" t="s">
        <v>416</v>
      </c>
      <c r="C292" s="2" t="s">
        <v>304</v>
      </c>
      <c r="D292" s="2">
        <v>8815</v>
      </c>
      <c r="E292" s="2">
        <v>1256</v>
      </c>
      <c r="F292" s="2" t="s">
        <v>417</v>
      </c>
      <c r="G292" s="2" t="s">
        <v>333</v>
      </c>
      <c r="H292" s="2" t="s">
        <v>150</v>
      </c>
      <c r="I292" s="2" t="s">
        <v>88</v>
      </c>
      <c r="J292" s="2">
        <v>6</v>
      </c>
      <c r="K292" s="2" t="s">
        <v>151</v>
      </c>
      <c r="L292" s="2" t="s">
        <v>152</v>
      </c>
      <c r="M292" s="2" t="s">
        <v>158</v>
      </c>
      <c r="N292" s="2" t="str">
        <f>HYPERLINK("https://klocwork.dal.design.ti.com:443/review/insight-review.html#issuedetails_goto:problemid=8815,project=MCUSW_J7_KW_FULL,searchquery=taxonomy:'' build:RS-2022-10-06_06-07-58 grouping:off module:CddIpc","KW Issue Link")</f>
        <v>KW Issue Link</v>
      </c>
      <c r="O292" s="2" t="s">
        <v>418</v>
      </c>
      <c r="P292" s="2" t="s">
        <v>234</v>
      </c>
      <c r="Q292" s="2" t="s">
        <v>161</v>
      </c>
      <c r="R292" s="2" t="s">
        <v>419</v>
      </c>
      <c r="S292" s="2" t="s">
        <v>154</v>
      </c>
      <c r="T292" s="2"/>
    </row>
    <row r="293" spans="1:20" ht="120" x14ac:dyDescent="0.25">
      <c r="A293" s="2" t="s">
        <v>415</v>
      </c>
      <c r="B293" s="2" t="s">
        <v>416</v>
      </c>
      <c r="C293" s="2" t="s">
        <v>304</v>
      </c>
      <c r="D293" s="2">
        <v>8816</v>
      </c>
      <c r="E293" s="2">
        <v>1334</v>
      </c>
      <c r="F293" s="2" t="s">
        <v>417</v>
      </c>
      <c r="G293" s="2" t="s">
        <v>341</v>
      </c>
      <c r="H293" s="2" t="s">
        <v>150</v>
      </c>
      <c r="I293" s="2" t="s">
        <v>88</v>
      </c>
      <c r="J293" s="2">
        <v>6</v>
      </c>
      <c r="K293" s="2" t="s">
        <v>151</v>
      </c>
      <c r="L293" s="2" t="s">
        <v>152</v>
      </c>
      <c r="M293" s="2" t="s">
        <v>158</v>
      </c>
      <c r="N293" s="2" t="str">
        <f>HYPERLINK("https://klocwork.dal.design.ti.com:443/review/insight-review.html#issuedetails_goto:problemid=8816,project=MCUSW_J7_KW_FULL,searchquery=taxonomy:'' build:RS-2022-10-06_06-07-58 grouping:off module:CddIpc","KW Issue Link")</f>
        <v>KW Issue Link</v>
      </c>
      <c r="O293" s="2" t="s">
        <v>418</v>
      </c>
      <c r="P293" s="2" t="s">
        <v>234</v>
      </c>
      <c r="Q293" s="2" t="s">
        <v>161</v>
      </c>
      <c r="R293" s="2" t="s">
        <v>419</v>
      </c>
      <c r="S293" s="2" t="s">
        <v>154</v>
      </c>
      <c r="T293" s="2"/>
    </row>
    <row r="294" spans="1:20" ht="120" x14ac:dyDescent="0.25">
      <c r="A294" s="2" t="s">
        <v>415</v>
      </c>
      <c r="B294" s="2" t="s">
        <v>416</v>
      </c>
      <c r="C294" s="2" t="s">
        <v>304</v>
      </c>
      <c r="D294" s="2">
        <v>8817</v>
      </c>
      <c r="E294" s="2">
        <v>1342</v>
      </c>
      <c r="F294" s="2" t="s">
        <v>421</v>
      </c>
      <c r="G294" s="2" t="s">
        <v>341</v>
      </c>
      <c r="H294" s="2" t="s">
        <v>150</v>
      </c>
      <c r="I294" s="2" t="s">
        <v>88</v>
      </c>
      <c r="J294" s="2">
        <v>6</v>
      </c>
      <c r="K294" s="2" t="s">
        <v>151</v>
      </c>
      <c r="L294" s="2" t="s">
        <v>152</v>
      </c>
      <c r="M294" s="2" t="s">
        <v>158</v>
      </c>
      <c r="N294" s="2" t="str">
        <f>HYPERLINK("https://klocwork.dal.design.ti.com:443/review/insight-review.html#issuedetails_goto:problemid=8817,project=MCUSW_J7_KW_FULL,searchquery=taxonomy:'' build:RS-2022-10-06_06-07-58 grouping:off module:CddIpc","KW Issue Link")</f>
        <v>KW Issue Link</v>
      </c>
      <c r="O294" s="2" t="s">
        <v>418</v>
      </c>
      <c r="P294" s="2" t="s">
        <v>234</v>
      </c>
      <c r="Q294" s="2" t="s">
        <v>161</v>
      </c>
      <c r="R294" s="2" t="s">
        <v>419</v>
      </c>
      <c r="S294" s="2" t="s">
        <v>154</v>
      </c>
      <c r="T294" s="2"/>
    </row>
    <row r="295" spans="1:20" ht="120" x14ac:dyDescent="0.25">
      <c r="A295" s="2" t="s">
        <v>415</v>
      </c>
      <c r="B295" s="2" t="s">
        <v>416</v>
      </c>
      <c r="C295" s="2" t="s">
        <v>304</v>
      </c>
      <c r="D295" s="2">
        <v>8818</v>
      </c>
      <c r="E295" s="2">
        <v>1403</v>
      </c>
      <c r="F295" s="2" t="s">
        <v>426</v>
      </c>
      <c r="G295" s="2" t="s">
        <v>430</v>
      </c>
      <c r="H295" s="2" t="s">
        <v>150</v>
      </c>
      <c r="I295" s="2" t="s">
        <v>88</v>
      </c>
      <c r="J295" s="2">
        <v>6</v>
      </c>
      <c r="K295" s="2" t="s">
        <v>151</v>
      </c>
      <c r="L295" s="2" t="s">
        <v>152</v>
      </c>
      <c r="M295" s="2" t="s">
        <v>158</v>
      </c>
      <c r="N295" s="2" t="str">
        <f>HYPERLINK("https://klocwork.dal.design.ti.com:443/review/insight-review.html#issuedetails_goto:problemid=8818,project=MCUSW_J7_KW_FULL,searchquery=taxonomy:'' build:RS-2022-10-06_06-07-58 grouping:off module:CddIpc","KW Issue Link")</f>
        <v>KW Issue Link</v>
      </c>
      <c r="O295" s="2" t="s">
        <v>418</v>
      </c>
      <c r="P295" s="2" t="s">
        <v>234</v>
      </c>
      <c r="Q295" s="2" t="s">
        <v>161</v>
      </c>
      <c r="R295" s="2" t="s">
        <v>419</v>
      </c>
      <c r="S295" s="2" t="s">
        <v>154</v>
      </c>
      <c r="T295" s="2"/>
    </row>
    <row r="296" spans="1:20" ht="120" x14ac:dyDescent="0.25">
      <c r="A296" s="2" t="s">
        <v>415</v>
      </c>
      <c r="B296" s="2" t="s">
        <v>416</v>
      </c>
      <c r="C296" s="2" t="s">
        <v>304</v>
      </c>
      <c r="D296" s="2">
        <v>8819</v>
      </c>
      <c r="E296" s="2">
        <v>1426</v>
      </c>
      <c r="F296" s="2" t="s">
        <v>426</v>
      </c>
      <c r="G296" s="2" t="s">
        <v>358</v>
      </c>
      <c r="H296" s="2" t="s">
        <v>150</v>
      </c>
      <c r="I296" s="2" t="s">
        <v>88</v>
      </c>
      <c r="J296" s="2">
        <v>6</v>
      </c>
      <c r="K296" s="2" t="s">
        <v>151</v>
      </c>
      <c r="L296" s="2" t="s">
        <v>152</v>
      </c>
      <c r="M296" s="2" t="s">
        <v>158</v>
      </c>
      <c r="N296" s="2" t="str">
        <f>HYPERLINK("https://klocwork.dal.design.ti.com:443/review/insight-review.html#issuedetails_goto:problemid=8819,project=MCUSW_J7_KW_FULL,searchquery=taxonomy:'' build:RS-2022-10-06_06-07-58 grouping:off module:CddIpc","KW Issue Link")</f>
        <v>KW Issue Link</v>
      </c>
      <c r="O296" s="2" t="s">
        <v>418</v>
      </c>
      <c r="P296" s="2" t="s">
        <v>234</v>
      </c>
      <c r="Q296" s="2" t="s">
        <v>161</v>
      </c>
      <c r="R296" s="2" t="s">
        <v>419</v>
      </c>
      <c r="S296" s="2" t="s">
        <v>154</v>
      </c>
      <c r="T296" s="2"/>
    </row>
    <row r="297" spans="1:20" ht="120" x14ac:dyDescent="0.25">
      <c r="A297" s="2" t="s">
        <v>415</v>
      </c>
      <c r="B297" s="2" t="s">
        <v>416</v>
      </c>
      <c r="C297" s="2" t="s">
        <v>304</v>
      </c>
      <c r="D297" s="2">
        <v>8820</v>
      </c>
      <c r="E297" s="2">
        <v>1445</v>
      </c>
      <c r="F297" s="2" t="s">
        <v>417</v>
      </c>
      <c r="G297" s="2" t="s">
        <v>358</v>
      </c>
      <c r="H297" s="2" t="s">
        <v>150</v>
      </c>
      <c r="I297" s="2" t="s">
        <v>88</v>
      </c>
      <c r="J297" s="2">
        <v>6</v>
      </c>
      <c r="K297" s="2" t="s">
        <v>151</v>
      </c>
      <c r="L297" s="2" t="s">
        <v>152</v>
      </c>
      <c r="M297" s="2" t="s">
        <v>158</v>
      </c>
      <c r="N297" s="2" t="str">
        <f>HYPERLINK("https://klocwork.dal.design.ti.com:443/review/insight-review.html#issuedetails_goto:problemid=8820,project=MCUSW_J7_KW_FULL,searchquery=taxonomy:'' build:RS-2022-10-06_06-07-58 grouping:off module:CddIpc","KW Issue Link")</f>
        <v>KW Issue Link</v>
      </c>
      <c r="O297" s="2" t="s">
        <v>418</v>
      </c>
      <c r="P297" s="2" t="s">
        <v>234</v>
      </c>
      <c r="Q297" s="2" t="s">
        <v>161</v>
      </c>
      <c r="R297" s="2" t="s">
        <v>419</v>
      </c>
      <c r="S297" s="2" t="s">
        <v>154</v>
      </c>
      <c r="T297" s="2"/>
    </row>
    <row r="298" spans="1:20" ht="120" x14ac:dyDescent="0.25">
      <c r="A298" s="2" t="s">
        <v>415</v>
      </c>
      <c r="B298" s="2" t="s">
        <v>416</v>
      </c>
      <c r="C298" s="2" t="s">
        <v>304</v>
      </c>
      <c r="D298" s="2">
        <v>8821</v>
      </c>
      <c r="E298" s="2">
        <v>1453</v>
      </c>
      <c r="F298" s="2" t="s">
        <v>431</v>
      </c>
      <c r="G298" s="2" t="s">
        <v>358</v>
      </c>
      <c r="H298" s="2" t="s">
        <v>150</v>
      </c>
      <c r="I298" s="2" t="s">
        <v>88</v>
      </c>
      <c r="J298" s="2">
        <v>6</v>
      </c>
      <c r="K298" s="2" t="s">
        <v>151</v>
      </c>
      <c r="L298" s="2" t="s">
        <v>152</v>
      </c>
      <c r="M298" s="2" t="s">
        <v>158</v>
      </c>
      <c r="N298" s="2" t="str">
        <f>HYPERLINK("https://klocwork.dal.design.ti.com:443/review/insight-review.html#issuedetails_goto:problemid=8821,project=MCUSW_J7_KW_FULL,searchquery=taxonomy:'' build:RS-2022-10-06_06-07-58 grouping:off module:CddIpc","KW Issue Link")</f>
        <v>KW Issue Link</v>
      </c>
      <c r="O298" s="2" t="s">
        <v>418</v>
      </c>
      <c r="P298" s="2" t="s">
        <v>234</v>
      </c>
      <c r="Q298" s="2" t="s">
        <v>161</v>
      </c>
      <c r="R298" s="2" t="s">
        <v>419</v>
      </c>
      <c r="S298" s="2" t="s">
        <v>154</v>
      </c>
      <c r="T298" s="2"/>
    </row>
    <row r="299" spans="1:20" ht="120" x14ac:dyDescent="0.25">
      <c r="A299" s="2" t="s">
        <v>226</v>
      </c>
      <c r="B299" s="2" t="s">
        <v>227</v>
      </c>
      <c r="C299" s="2" t="s">
        <v>304</v>
      </c>
      <c r="D299" s="2">
        <v>8825</v>
      </c>
      <c r="E299" s="2">
        <v>344</v>
      </c>
      <c r="F299" s="2" t="s">
        <v>228</v>
      </c>
      <c r="G299" s="2" t="s">
        <v>325</v>
      </c>
      <c r="H299" s="2" t="s">
        <v>150</v>
      </c>
      <c r="I299" s="2" t="s">
        <v>123</v>
      </c>
      <c r="J299" s="2">
        <v>4</v>
      </c>
      <c r="K299" s="2" t="s">
        <v>151</v>
      </c>
      <c r="L299" s="2" t="s">
        <v>152</v>
      </c>
      <c r="M299" s="2" t="s">
        <v>153</v>
      </c>
      <c r="N299" s="2" t="str">
        <f>HYPERLINK("https://klocwork.dal.design.ti.com:443/review/insight-review.html#issuedetails_goto:problemid=8825,project=MCUSW_J7_KW_FULL,searchquery=taxonomy:'' build:RS-2022-10-06_06-07-58 grouping:off module:CddIpc","KW Issue Link")</f>
        <v>KW Issue Link</v>
      </c>
      <c r="O299" s="2"/>
      <c r="P299" s="2"/>
      <c r="Q299" s="2"/>
      <c r="R299" s="2"/>
      <c r="S299" s="2" t="s">
        <v>154</v>
      </c>
      <c r="T299" s="2"/>
    </row>
    <row r="300" spans="1:20" ht="120" x14ac:dyDescent="0.25">
      <c r="A300" s="2" t="s">
        <v>226</v>
      </c>
      <c r="B300" s="2" t="s">
        <v>227</v>
      </c>
      <c r="C300" s="2" t="s">
        <v>304</v>
      </c>
      <c r="D300" s="2">
        <v>8826</v>
      </c>
      <c r="E300" s="2">
        <v>377</v>
      </c>
      <c r="F300" s="2" t="s">
        <v>228</v>
      </c>
      <c r="G300" s="2" t="s">
        <v>325</v>
      </c>
      <c r="H300" s="2" t="s">
        <v>150</v>
      </c>
      <c r="I300" s="2" t="s">
        <v>123</v>
      </c>
      <c r="J300" s="2">
        <v>4</v>
      </c>
      <c r="K300" s="2" t="s">
        <v>151</v>
      </c>
      <c r="L300" s="2" t="s">
        <v>152</v>
      </c>
      <c r="M300" s="2" t="s">
        <v>153</v>
      </c>
      <c r="N300" s="2" t="str">
        <f>HYPERLINK("https://klocwork.dal.design.ti.com:443/review/insight-review.html#issuedetails_goto:problemid=8826,project=MCUSW_J7_KW_FULL,searchquery=taxonomy:'' build:RS-2022-10-06_06-07-58 grouping:off module:CddIpc","KW Issue Link")</f>
        <v>KW Issue Link</v>
      </c>
      <c r="O300" s="2"/>
      <c r="P300" s="2"/>
      <c r="Q300" s="2"/>
      <c r="R300" s="2"/>
      <c r="S300" s="2" t="s">
        <v>154</v>
      </c>
      <c r="T300" s="2"/>
    </row>
    <row r="301" spans="1:20" ht="120" x14ac:dyDescent="0.25">
      <c r="A301" s="2" t="s">
        <v>226</v>
      </c>
      <c r="B301" s="2" t="s">
        <v>227</v>
      </c>
      <c r="C301" s="2" t="s">
        <v>304</v>
      </c>
      <c r="D301" s="2">
        <v>8827</v>
      </c>
      <c r="E301" s="2">
        <v>520</v>
      </c>
      <c r="F301" s="2" t="s">
        <v>432</v>
      </c>
      <c r="G301" s="2" t="s">
        <v>339</v>
      </c>
      <c r="H301" s="2" t="s">
        <v>150</v>
      </c>
      <c r="I301" s="2" t="s">
        <v>123</v>
      </c>
      <c r="J301" s="2">
        <v>4</v>
      </c>
      <c r="K301" s="2" t="s">
        <v>151</v>
      </c>
      <c r="L301" s="2" t="s">
        <v>152</v>
      </c>
      <c r="M301" s="2" t="s">
        <v>153</v>
      </c>
      <c r="N301" s="2" t="str">
        <f>HYPERLINK("https://klocwork.dal.design.ti.com:443/review/insight-review.html#issuedetails_goto:problemid=8827,project=MCUSW_J7_KW_FULL,searchquery=taxonomy:'' build:RS-2022-10-06_06-07-58 grouping:off module:CddIpc","KW Issue Link")</f>
        <v>KW Issue Link</v>
      </c>
      <c r="O301" s="2"/>
      <c r="P301" s="2"/>
      <c r="Q301" s="2"/>
      <c r="R301" s="2"/>
      <c r="S301" s="2" t="s">
        <v>154</v>
      </c>
      <c r="T301" s="2"/>
    </row>
    <row r="302" spans="1:20" ht="120" x14ac:dyDescent="0.25">
      <c r="A302" s="2" t="s">
        <v>226</v>
      </c>
      <c r="B302" s="2" t="s">
        <v>227</v>
      </c>
      <c r="C302" s="2" t="s">
        <v>304</v>
      </c>
      <c r="D302" s="2">
        <v>8828</v>
      </c>
      <c r="E302" s="2">
        <v>613</v>
      </c>
      <c r="F302" s="2" t="s">
        <v>432</v>
      </c>
      <c r="G302" s="2" t="s">
        <v>388</v>
      </c>
      <c r="H302" s="2" t="s">
        <v>150</v>
      </c>
      <c r="I302" s="2" t="s">
        <v>123</v>
      </c>
      <c r="J302" s="2">
        <v>4</v>
      </c>
      <c r="K302" s="2" t="s">
        <v>151</v>
      </c>
      <c r="L302" s="2" t="s">
        <v>152</v>
      </c>
      <c r="M302" s="2" t="s">
        <v>153</v>
      </c>
      <c r="N302" s="2" t="str">
        <f>HYPERLINK("https://klocwork.dal.design.ti.com:443/review/insight-review.html#issuedetails_goto:problemid=8828,project=MCUSW_J7_KW_FULL,searchquery=taxonomy:'' build:RS-2022-10-06_06-07-58 grouping:off module:CddIpc","KW Issue Link")</f>
        <v>KW Issue Link</v>
      </c>
      <c r="O302" s="2"/>
      <c r="P302" s="2"/>
      <c r="Q302" s="2"/>
      <c r="R302" s="2"/>
      <c r="S302" s="2" t="s">
        <v>154</v>
      </c>
      <c r="T302" s="2"/>
    </row>
    <row r="303" spans="1:20" ht="120" x14ac:dyDescent="0.25">
      <c r="A303" s="2" t="s">
        <v>226</v>
      </c>
      <c r="B303" s="2" t="s">
        <v>227</v>
      </c>
      <c r="C303" s="2" t="s">
        <v>304</v>
      </c>
      <c r="D303" s="2">
        <v>8829</v>
      </c>
      <c r="E303" s="2">
        <v>1256</v>
      </c>
      <c r="F303" s="2" t="s">
        <v>228</v>
      </c>
      <c r="G303" s="2" t="s">
        <v>333</v>
      </c>
      <c r="H303" s="2" t="s">
        <v>150</v>
      </c>
      <c r="I303" s="2" t="s">
        <v>123</v>
      </c>
      <c r="J303" s="2">
        <v>4</v>
      </c>
      <c r="K303" s="2" t="s">
        <v>151</v>
      </c>
      <c r="L303" s="2" t="s">
        <v>152</v>
      </c>
      <c r="M303" s="2" t="s">
        <v>153</v>
      </c>
      <c r="N303" s="2" t="str">
        <f>HYPERLINK("https://klocwork.dal.design.ti.com:443/review/insight-review.html#issuedetails_goto:problemid=8829,project=MCUSW_J7_KW_FULL,searchquery=taxonomy:'' build:RS-2022-10-06_06-07-58 grouping:off module:CddIpc","KW Issue Link")</f>
        <v>KW Issue Link</v>
      </c>
      <c r="O303" s="2"/>
      <c r="P303" s="2"/>
      <c r="Q303" s="2"/>
      <c r="R303" s="2"/>
      <c r="S303" s="2" t="s">
        <v>154</v>
      </c>
      <c r="T303" s="2"/>
    </row>
    <row r="304" spans="1:20" ht="120" x14ac:dyDescent="0.25">
      <c r="A304" s="2" t="s">
        <v>226</v>
      </c>
      <c r="B304" s="2" t="s">
        <v>227</v>
      </c>
      <c r="C304" s="2" t="s">
        <v>304</v>
      </c>
      <c r="D304" s="2">
        <v>8830</v>
      </c>
      <c r="E304" s="2">
        <v>1334</v>
      </c>
      <c r="F304" s="2" t="s">
        <v>228</v>
      </c>
      <c r="G304" s="2" t="s">
        <v>341</v>
      </c>
      <c r="H304" s="2" t="s">
        <v>150</v>
      </c>
      <c r="I304" s="2" t="s">
        <v>123</v>
      </c>
      <c r="J304" s="2">
        <v>4</v>
      </c>
      <c r="K304" s="2" t="s">
        <v>151</v>
      </c>
      <c r="L304" s="2" t="s">
        <v>152</v>
      </c>
      <c r="M304" s="2" t="s">
        <v>153</v>
      </c>
      <c r="N304" s="2" t="str">
        <f>HYPERLINK("https://klocwork.dal.design.ti.com:443/review/insight-review.html#issuedetails_goto:problemid=8830,project=MCUSW_J7_KW_FULL,searchquery=taxonomy:'' build:RS-2022-10-06_06-07-58 grouping:off module:CddIpc","KW Issue Link")</f>
        <v>KW Issue Link</v>
      </c>
      <c r="O304" s="2"/>
      <c r="P304" s="2"/>
      <c r="Q304" s="2"/>
      <c r="R304" s="2"/>
      <c r="S304" s="2" t="s">
        <v>154</v>
      </c>
      <c r="T304" s="2"/>
    </row>
    <row r="305" spans="1:20" ht="120" x14ac:dyDescent="0.25">
      <c r="A305" s="2" t="s">
        <v>226</v>
      </c>
      <c r="B305" s="2" t="s">
        <v>227</v>
      </c>
      <c r="C305" s="2" t="s">
        <v>304</v>
      </c>
      <c r="D305" s="2">
        <v>8831</v>
      </c>
      <c r="E305" s="2">
        <v>1445</v>
      </c>
      <c r="F305" s="2" t="s">
        <v>228</v>
      </c>
      <c r="G305" s="2" t="s">
        <v>358</v>
      </c>
      <c r="H305" s="2" t="s">
        <v>150</v>
      </c>
      <c r="I305" s="2" t="s">
        <v>123</v>
      </c>
      <c r="J305" s="2">
        <v>4</v>
      </c>
      <c r="K305" s="2" t="s">
        <v>151</v>
      </c>
      <c r="L305" s="2" t="s">
        <v>152</v>
      </c>
      <c r="M305" s="2" t="s">
        <v>153</v>
      </c>
      <c r="N305" s="2" t="str">
        <f>HYPERLINK("https://klocwork.dal.design.ti.com:443/review/insight-review.html#issuedetails_goto:problemid=8831,project=MCUSW_J7_KW_FULL,searchquery=taxonomy:'' build:RS-2022-10-06_06-07-58 grouping:off module:CddIpc","KW Issue Link")</f>
        <v>KW Issue Link</v>
      </c>
      <c r="O305" s="2"/>
      <c r="P305" s="2"/>
      <c r="Q305" s="2"/>
      <c r="R305" s="2"/>
      <c r="S305" s="2" t="s">
        <v>154</v>
      </c>
      <c r="T305" s="2"/>
    </row>
    <row r="306" spans="1:20" ht="120" x14ac:dyDescent="0.25">
      <c r="A306" s="2" t="s">
        <v>196</v>
      </c>
      <c r="B306" s="2" t="s">
        <v>197</v>
      </c>
      <c r="C306" s="2" t="s">
        <v>304</v>
      </c>
      <c r="D306" s="2">
        <v>8833</v>
      </c>
      <c r="E306" s="2">
        <v>377</v>
      </c>
      <c r="F306" s="2" t="s">
        <v>433</v>
      </c>
      <c r="G306" s="2" t="s">
        <v>325</v>
      </c>
      <c r="H306" s="2" t="s">
        <v>150</v>
      </c>
      <c r="I306" s="2" t="s">
        <v>123</v>
      </c>
      <c r="J306" s="2">
        <v>4</v>
      </c>
      <c r="K306" s="2" t="s">
        <v>151</v>
      </c>
      <c r="L306" s="2" t="s">
        <v>152</v>
      </c>
      <c r="M306" s="2" t="s">
        <v>153</v>
      </c>
      <c r="N306" s="2" t="str">
        <f>HYPERLINK("https://klocwork.dal.design.ti.com:443/review/insight-review.html#issuedetails_goto:problemid=8833,project=MCUSW_J7_KW_FULL,searchquery=taxonomy:'' build:RS-2022-10-06_06-07-58 grouping:off module:CddIpc","KW Issue Link")</f>
        <v>KW Issue Link</v>
      </c>
      <c r="O306" s="2"/>
      <c r="P306" s="2"/>
      <c r="Q306" s="2"/>
      <c r="R306" s="2"/>
      <c r="S306" s="2" t="s">
        <v>154</v>
      </c>
      <c r="T306" s="2"/>
    </row>
    <row r="307" spans="1:20" ht="120" x14ac:dyDescent="0.25">
      <c r="A307" s="2" t="s">
        <v>196</v>
      </c>
      <c r="B307" s="2" t="s">
        <v>197</v>
      </c>
      <c r="C307" s="2" t="s">
        <v>304</v>
      </c>
      <c r="D307" s="2">
        <v>8834</v>
      </c>
      <c r="E307" s="2">
        <v>535</v>
      </c>
      <c r="F307" s="2" t="s">
        <v>434</v>
      </c>
      <c r="G307" s="2" t="s">
        <v>339</v>
      </c>
      <c r="H307" s="2" t="s">
        <v>150</v>
      </c>
      <c r="I307" s="2" t="s">
        <v>123</v>
      </c>
      <c r="J307" s="2">
        <v>4</v>
      </c>
      <c r="K307" s="2" t="s">
        <v>151</v>
      </c>
      <c r="L307" s="2" t="s">
        <v>152</v>
      </c>
      <c r="M307" s="2" t="s">
        <v>153</v>
      </c>
      <c r="N307" s="2" t="str">
        <f>HYPERLINK("https://klocwork.dal.design.ti.com:443/review/insight-review.html#issuedetails_goto:problemid=8834,project=MCUSW_J7_KW_FULL,searchquery=taxonomy:'' build:RS-2022-10-06_06-07-58 grouping:off module:CddIpc","KW Issue Link")</f>
        <v>KW Issue Link</v>
      </c>
      <c r="O307" s="2"/>
      <c r="P307" s="2"/>
      <c r="Q307" s="2"/>
      <c r="R307" s="2"/>
      <c r="S307" s="2" t="s">
        <v>154</v>
      </c>
      <c r="T307" s="2"/>
    </row>
    <row r="308" spans="1:20" ht="120" x14ac:dyDescent="0.25">
      <c r="A308" s="2" t="s">
        <v>196</v>
      </c>
      <c r="B308" s="2" t="s">
        <v>197</v>
      </c>
      <c r="C308" s="2" t="s">
        <v>304</v>
      </c>
      <c r="D308" s="2">
        <v>8835</v>
      </c>
      <c r="E308" s="2">
        <v>548</v>
      </c>
      <c r="F308" s="2" t="s">
        <v>434</v>
      </c>
      <c r="G308" s="2" t="s">
        <v>339</v>
      </c>
      <c r="H308" s="2" t="s">
        <v>150</v>
      </c>
      <c r="I308" s="2" t="s">
        <v>123</v>
      </c>
      <c r="J308" s="2">
        <v>4</v>
      </c>
      <c r="K308" s="2" t="s">
        <v>151</v>
      </c>
      <c r="L308" s="2" t="s">
        <v>152</v>
      </c>
      <c r="M308" s="2" t="s">
        <v>153</v>
      </c>
      <c r="N308" s="2" t="str">
        <f>HYPERLINK("https://klocwork.dal.design.ti.com:443/review/insight-review.html#issuedetails_goto:problemid=8835,project=MCUSW_J7_KW_FULL,searchquery=taxonomy:'' build:RS-2022-10-06_06-07-58 grouping:off module:CddIpc","KW Issue Link")</f>
        <v>KW Issue Link</v>
      </c>
      <c r="O308" s="2"/>
      <c r="P308" s="2"/>
      <c r="Q308" s="2"/>
      <c r="R308" s="2"/>
      <c r="S308" s="2" t="s">
        <v>154</v>
      </c>
      <c r="T308" s="2"/>
    </row>
    <row r="309" spans="1:20" ht="120" x14ac:dyDescent="0.25">
      <c r="A309" s="2" t="s">
        <v>196</v>
      </c>
      <c r="B309" s="2" t="s">
        <v>197</v>
      </c>
      <c r="C309" s="2" t="s">
        <v>304</v>
      </c>
      <c r="D309" s="2">
        <v>8839</v>
      </c>
      <c r="E309" s="2">
        <v>1342</v>
      </c>
      <c r="F309" s="2" t="s">
        <v>435</v>
      </c>
      <c r="G309" s="2" t="s">
        <v>341</v>
      </c>
      <c r="H309" s="2" t="s">
        <v>150</v>
      </c>
      <c r="I309" s="2" t="s">
        <v>123</v>
      </c>
      <c r="J309" s="2">
        <v>4</v>
      </c>
      <c r="K309" s="2" t="s">
        <v>151</v>
      </c>
      <c r="L309" s="2" t="s">
        <v>152</v>
      </c>
      <c r="M309" s="2" t="s">
        <v>153</v>
      </c>
      <c r="N309" s="2" t="str">
        <f>HYPERLINK("https://klocwork.dal.design.ti.com:443/review/insight-review.html#issuedetails_goto:problemid=8839,project=MCUSW_J7_KW_FULL,searchquery=taxonomy:'' build:RS-2022-10-06_06-07-58 grouping:off module:CddIpc","KW Issue Link")</f>
        <v>KW Issue Link</v>
      </c>
      <c r="O309" s="2"/>
      <c r="P309" s="2"/>
      <c r="Q309" s="2"/>
      <c r="R309" s="2"/>
      <c r="S309" s="2" t="s">
        <v>154</v>
      </c>
      <c r="T309" s="2"/>
    </row>
    <row r="310" spans="1:20" ht="120" x14ac:dyDescent="0.25">
      <c r="A310" s="2" t="s">
        <v>436</v>
      </c>
      <c r="B310" s="2" t="s">
        <v>437</v>
      </c>
      <c r="C310" s="2" t="s">
        <v>304</v>
      </c>
      <c r="D310" s="2">
        <v>8840</v>
      </c>
      <c r="E310" s="2">
        <v>370</v>
      </c>
      <c r="F310" s="2" t="s">
        <v>438</v>
      </c>
      <c r="G310" s="2" t="s">
        <v>325</v>
      </c>
      <c r="H310" s="2" t="s">
        <v>150</v>
      </c>
      <c r="I310" s="2" t="s">
        <v>123</v>
      </c>
      <c r="J310" s="2">
        <v>4</v>
      </c>
      <c r="K310" s="2" t="s">
        <v>151</v>
      </c>
      <c r="L310" s="2" t="s">
        <v>152</v>
      </c>
      <c r="M310" s="2" t="s">
        <v>153</v>
      </c>
      <c r="N310" s="2" t="str">
        <f>HYPERLINK("https://klocwork.dal.design.ti.com:443/review/insight-review.html#issuedetails_goto:problemid=8840,project=MCUSW_J7_KW_FULL,searchquery=taxonomy:'' build:RS-2022-10-06_06-07-58 grouping:off module:CddIpc","KW Issue Link")</f>
        <v>KW Issue Link</v>
      </c>
      <c r="O310" s="2"/>
      <c r="P310" s="2"/>
      <c r="Q310" s="2"/>
      <c r="R310" s="2"/>
      <c r="S310" s="2" t="s">
        <v>154</v>
      </c>
      <c r="T310" s="2"/>
    </row>
    <row r="311" spans="1:20" ht="120" x14ac:dyDescent="0.25">
      <c r="A311" s="2" t="s">
        <v>436</v>
      </c>
      <c r="B311" s="2" t="s">
        <v>437</v>
      </c>
      <c r="C311" s="2" t="s">
        <v>304</v>
      </c>
      <c r="D311" s="2">
        <v>8841</v>
      </c>
      <c r="E311" s="2">
        <v>1028</v>
      </c>
      <c r="F311" s="2" t="s">
        <v>439</v>
      </c>
      <c r="G311" s="2" t="s">
        <v>332</v>
      </c>
      <c r="H311" s="2" t="s">
        <v>150</v>
      </c>
      <c r="I311" s="2" t="s">
        <v>123</v>
      </c>
      <c r="J311" s="2">
        <v>4</v>
      </c>
      <c r="K311" s="2" t="s">
        <v>151</v>
      </c>
      <c r="L311" s="2" t="s">
        <v>152</v>
      </c>
      <c r="M311" s="2" t="s">
        <v>153</v>
      </c>
      <c r="N311" s="2" t="str">
        <f>HYPERLINK("https://klocwork.dal.design.ti.com:443/review/insight-review.html#issuedetails_goto:problemid=8841,project=MCUSW_J7_KW_FULL,searchquery=taxonomy:'' build:RS-2022-10-06_06-07-58 grouping:off module:CddIpc","KW Issue Link")</f>
        <v>KW Issue Link</v>
      </c>
      <c r="O311" s="2"/>
      <c r="P311" s="2"/>
      <c r="Q311" s="2"/>
      <c r="R311" s="2"/>
      <c r="S311" s="2" t="s">
        <v>154</v>
      </c>
      <c r="T311" s="2"/>
    </row>
    <row r="312" spans="1:20" ht="120" x14ac:dyDescent="0.25">
      <c r="A312" s="2" t="s">
        <v>436</v>
      </c>
      <c r="B312" s="2" t="s">
        <v>437</v>
      </c>
      <c r="C312" s="2" t="s">
        <v>304</v>
      </c>
      <c r="D312" s="2">
        <v>8843</v>
      </c>
      <c r="E312" s="2">
        <v>1308</v>
      </c>
      <c r="F312" s="2" t="s">
        <v>440</v>
      </c>
      <c r="G312" s="2" t="s">
        <v>341</v>
      </c>
      <c r="H312" s="2" t="s">
        <v>150</v>
      </c>
      <c r="I312" s="2" t="s">
        <v>123</v>
      </c>
      <c r="J312" s="2">
        <v>4</v>
      </c>
      <c r="K312" s="2" t="s">
        <v>151</v>
      </c>
      <c r="L312" s="2" t="s">
        <v>152</v>
      </c>
      <c r="M312" s="2" t="s">
        <v>153</v>
      </c>
      <c r="N312" s="2" t="str">
        <f>HYPERLINK("https://klocwork.dal.design.ti.com:443/review/insight-review.html#issuedetails_goto:problemid=8843,project=MCUSW_J7_KW_FULL,searchquery=taxonomy:'' build:RS-2022-10-06_06-07-58 grouping:off module:CddIpc","KW Issue Link")</f>
        <v>KW Issue Link</v>
      </c>
      <c r="O312" s="2"/>
      <c r="P312" s="2"/>
      <c r="Q312" s="2"/>
      <c r="R312" s="2"/>
      <c r="S312" s="2" t="s">
        <v>154</v>
      </c>
      <c r="T312" s="2"/>
    </row>
    <row r="313" spans="1:20" ht="120" x14ac:dyDescent="0.25">
      <c r="A313" s="2" t="s">
        <v>229</v>
      </c>
      <c r="B313" s="2" t="s">
        <v>230</v>
      </c>
      <c r="C313" s="2" t="s">
        <v>304</v>
      </c>
      <c r="D313" s="2">
        <v>8844</v>
      </c>
      <c r="E313" s="2">
        <v>411</v>
      </c>
      <c r="F313" s="2" t="s">
        <v>441</v>
      </c>
      <c r="G313" s="2" t="s">
        <v>335</v>
      </c>
      <c r="H313" s="2" t="s">
        <v>150</v>
      </c>
      <c r="I313" s="2" t="s">
        <v>89</v>
      </c>
      <c r="J313" s="2">
        <v>7</v>
      </c>
      <c r="K313" s="2" t="s">
        <v>151</v>
      </c>
      <c r="L313" s="2" t="s">
        <v>152</v>
      </c>
      <c r="M313" s="2" t="s">
        <v>158</v>
      </c>
      <c r="N313" s="2" t="str">
        <f>HYPERLINK("https://klocwork.dal.design.ti.com:443/review/insight-review.html#issuedetails_goto:problemid=8844,project=MCUSW_J7_KW_FULL,searchquery=taxonomy:'' build:RS-2022-10-06_06-07-58 grouping:off module:CddIpc","KW Issue Link")</f>
        <v>KW Issue Link</v>
      </c>
      <c r="O313" s="2" t="s">
        <v>233</v>
      </c>
      <c r="P313" s="2" t="s">
        <v>234</v>
      </c>
      <c r="Q313" s="2" t="s">
        <v>161</v>
      </c>
      <c r="R313" s="2" t="s">
        <v>235</v>
      </c>
      <c r="S313" s="2" t="s">
        <v>154</v>
      </c>
      <c r="T313" s="2"/>
    </row>
    <row r="314" spans="1:20" ht="120" x14ac:dyDescent="0.25">
      <c r="A314" s="2" t="s">
        <v>229</v>
      </c>
      <c r="B314" s="2" t="s">
        <v>230</v>
      </c>
      <c r="C314" s="2" t="s">
        <v>304</v>
      </c>
      <c r="D314" s="2">
        <v>8845</v>
      </c>
      <c r="E314" s="2">
        <v>450</v>
      </c>
      <c r="F314" s="2" t="s">
        <v>442</v>
      </c>
      <c r="G314" s="2" t="s">
        <v>327</v>
      </c>
      <c r="H314" s="2" t="s">
        <v>150</v>
      </c>
      <c r="I314" s="2" t="s">
        <v>89</v>
      </c>
      <c r="J314" s="2">
        <v>7</v>
      </c>
      <c r="K314" s="2" t="s">
        <v>151</v>
      </c>
      <c r="L314" s="2" t="s">
        <v>152</v>
      </c>
      <c r="M314" s="2" t="s">
        <v>158</v>
      </c>
      <c r="N314" s="2" t="str">
        <f>HYPERLINK("https://klocwork.dal.design.ti.com:443/review/insight-review.html#issuedetails_goto:problemid=8845,project=MCUSW_J7_KW_FULL,searchquery=taxonomy:'' build:RS-2022-10-06_06-07-58 grouping:off module:CddIpc","KW Issue Link")</f>
        <v>KW Issue Link</v>
      </c>
      <c r="O314" s="2" t="s">
        <v>233</v>
      </c>
      <c r="P314" s="2" t="s">
        <v>234</v>
      </c>
      <c r="Q314" s="2" t="s">
        <v>161</v>
      </c>
      <c r="R314" s="2" t="s">
        <v>235</v>
      </c>
      <c r="S314" s="2" t="s">
        <v>154</v>
      </c>
      <c r="T314" s="2"/>
    </row>
    <row r="315" spans="1:20" ht="120" x14ac:dyDescent="0.25">
      <c r="A315" s="2" t="s">
        <v>229</v>
      </c>
      <c r="B315" s="2" t="s">
        <v>230</v>
      </c>
      <c r="C315" s="2" t="s">
        <v>304</v>
      </c>
      <c r="D315" s="2">
        <v>8846</v>
      </c>
      <c r="E315" s="2">
        <v>700</v>
      </c>
      <c r="F315" s="2" t="s">
        <v>443</v>
      </c>
      <c r="G315" s="2" t="s">
        <v>369</v>
      </c>
      <c r="H315" s="2" t="s">
        <v>150</v>
      </c>
      <c r="I315" s="2" t="s">
        <v>89</v>
      </c>
      <c r="J315" s="2">
        <v>7</v>
      </c>
      <c r="K315" s="2" t="s">
        <v>151</v>
      </c>
      <c r="L315" s="2" t="s">
        <v>152</v>
      </c>
      <c r="M315" s="2" t="s">
        <v>158</v>
      </c>
      <c r="N315" s="2" t="str">
        <f>HYPERLINK("https://klocwork.dal.design.ti.com:443/review/insight-review.html#issuedetails_goto:problemid=8846,project=MCUSW_J7_KW_FULL,searchquery=taxonomy:'' build:RS-2022-10-06_06-07-58 grouping:off module:CddIpc","KW Issue Link")</f>
        <v>KW Issue Link</v>
      </c>
      <c r="O315" s="2" t="s">
        <v>233</v>
      </c>
      <c r="P315" s="2" t="s">
        <v>234</v>
      </c>
      <c r="Q315" s="2" t="s">
        <v>161</v>
      </c>
      <c r="R315" s="2" t="s">
        <v>235</v>
      </c>
      <c r="S315" s="2" t="s">
        <v>154</v>
      </c>
      <c r="T315" s="2"/>
    </row>
    <row r="316" spans="1:20" ht="120" x14ac:dyDescent="0.25">
      <c r="A316" s="2" t="s">
        <v>229</v>
      </c>
      <c r="B316" s="2" t="s">
        <v>230</v>
      </c>
      <c r="C316" s="2" t="s">
        <v>304</v>
      </c>
      <c r="D316" s="2">
        <v>8847</v>
      </c>
      <c r="E316" s="2">
        <v>700</v>
      </c>
      <c r="F316" s="2" t="s">
        <v>444</v>
      </c>
      <c r="G316" s="2" t="s">
        <v>369</v>
      </c>
      <c r="H316" s="2" t="s">
        <v>150</v>
      </c>
      <c r="I316" s="2" t="s">
        <v>89</v>
      </c>
      <c r="J316" s="2">
        <v>7</v>
      </c>
      <c r="K316" s="2" t="s">
        <v>151</v>
      </c>
      <c r="L316" s="2" t="s">
        <v>152</v>
      </c>
      <c r="M316" s="2" t="s">
        <v>158</v>
      </c>
      <c r="N316" s="2" t="str">
        <f>HYPERLINK("https://klocwork.dal.design.ti.com:443/review/insight-review.html#issuedetails_goto:problemid=8847,project=MCUSW_J7_KW_FULL,searchquery=taxonomy:'' build:RS-2022-10-06_06-07-58 grouping:off module:CddIpc","KW Issue Link")</f>
        <v>KW Issue Link</v>
      </c>
      <c r="O316" s="2" t="s">
        <v>233</v>
      </c>
      <c r="P316" s="2" t="s">
        <v>234</v>
      </c>
      <c r="Q316" s="2" t="s">
        <v>161</v>
      </c>
      <c r="R316" s="2" t="s">
        <v>235</v>
      </c>
      <c r="S316" s="2" t="s">
        <v>154</v>
      </c>
      <c r="T316" s="2"/>
    </row>
    <row r="317" spans="1:20" ht="120" x14ac:dyDescent="0.25">
      <c r="A317" s="2" t="s">
        <v>445</v>
      </c>
      <c r="B317" s="2" t="s">
        <v>223</v>
      </c>
      <c r="C317" s="2" t="s">
        <v>304</v>
      </c>
      <c r="D317" s="2">
        <v>8848</v>
      </c>
      <c r="E317" s="2">
        <v>413</v>
      </c>
      <c r="F317" s="2" t="s">
        <v>446</v>
      </c>
      <c r="G317" s="2" t="s">
        <v>335</v>
      </c>
      <c r="H317" s="2" t="s">
        <v>150</v>
      </c>
      <c r="I317" s="2" t="s">
        <v>89</v>
      </c>
      <c r="J317" s="2">
        <v>7</v>
      </c>
      <c r="K317" s="2" t="s">
        <v>151</v>
      </c>
      <c r="L317" s="2" t="s">
        <v>152</v>
      </c>
      <c r="M317" s="2" t="s">
        <v>158</v>
      </c>
      <c r="N317" s="2" t="str">
        <f>HYPERLINK("https://klocwork.dal.design.ti.com:443/review/insight-review.html#issuedetails_goto:problemid=8848,project=MCUSW_J7_KW_FULL,searchquery=taxonomy:'' build:RS-2022-10-06_06-07-58 grouping:off module:CddIpc","KW Issue Link")</f>
        <v>KW Issue Link</v>
      </c>
      <c r="O317" s="2" t="s">
        <v>447</v>
      </c>
      <c r="P317" s="2" t="s">
        <v>267</v>
      </c>
      <c r="Q317" s="2" t="s">
        <v>161</v>
      </c>
      <c r="R317" s="2" t="s">
        <v>448</v>
      </c>
      <c r="S317" s="2" t="s">
        <v>154</v>
      </c>
      <c r="T317" s="2"/>
    </row>
    <row r="318" spans="1:20" ht="120" x14ac:dyDescent="0.25">
      <c r="A318" s="2" t="s">
        <v>445</v>
      </c>
      <c r="B318" s="2" t="s">
        <v>223</v>
      </c>
      <c r="C318" s="2" t="s">
        <v>304</v>
      </c>
      <c r="D318" s="2">
        <v>8849</v>
      </c>
      <c r="E318" s="2">
        <v>452</v>
      </c>
      <c r="F318" s="2" t="s">
        <v>446</v>
      </c>
      <c r="G318" s="2" t="s">
        <v>327</v>
      </c>
      <c r="H318" s="2" t="s">
        <v>150</v>
      </c>
      <c r="I318" s="2" t="s">
        <v>89</v>
      </c>
      <c r="J318" s="2">
        <v>7</v>
      </c>
      <c r="K318" s="2" t="s">
        <v>151</v>
      </c>
      <c r="L318" s="2" t="s">
        <v>152</v>
      </c>
      <c r="M318" s="2" t="s">
        <v>158</v>
      </c>
      <c r="N318" s="2" t="str">
        <f>HYPERLINK("https://klocwork.dal.design.ti.com:443/review/insight-review.html#issuedetails_goto:problemid=8849,project=MCUSW_J7_KW_FULL,searchquery=taxonomy:'' build:RS-2022-10-06_06-07-58 grouping:off module:CddIpc","KW Issue Link")</f>
        <v>KW Issue Link</v>
      </c>
      <c r="O318" s="2" t="s">
        <v>447</v>
      </c>
      <c r="P318" s="2" t="s">
        <v>267</v>
      </c>
      <c r="Q318" s="2" t="s">
        <v>161</v>
      </c>
      <c r="R318" s="2" t="s">
        <v>448</v>
      </c>
      <c r="S318" s="2" t="s">
        <v>154</v>
      </c>
      <c r="T318" s="2"/>
    </row>
    <row r="319" spans="1:20" ht="120" x14ac:dyDescent="0.25">
      <c r="A319" s="2" t="s">
        <v>445</v>
      </c>
      <c r="B319" s="2" t="s">
        <v>223</v>
      </c>
      <c r="C319" s="2" t="s">
        <v>304</v>
      </c>
      <c r="D319" s="2">
        <v>8850</v>
      </c>
      <c r="E319" s="2">
        <v>1137</v>
      </c>
      <c r="F319" s="2" t="s">
        <v>446</v>
      </c>
      <c r="G319" s="2" t="s">
        <v>336</v>
      </c>
      <c r="H319" s="2" t="s">
        <v>150</v>
      </c>
      <c r="I319" s="2" t="s">
        <v>89</v>
      </c>
      <c r="J319" s="2">
        <v>7</v>
      </c>
      <c r="K319" s="2" t="s">
        <v>151</v>
      </c>
      <c r="L319" s="2" t="s">
        <v>152</v>
      </c>
      <c r="M319" s="2" t="s">
        <v>158</v>
      </c>
      <c r="N319" s="2" t="str">
        <f>HYPERLINK("https://klocwork.dal.design.ti.com:443/review/insight-review.html#issuedetails_goto:problemid=8850,project=MCUSW_J7_KW_FULL,searchquery=taxonomy:'' build:RS-2022-10-06_06-07-58 grouping:off module:CddIpc","KW Issue Link")</f>
        <v>KW Issue Link</v>
      </c>
      <c r="O319" s="2" t="s">
        <v>447</v>
      </c>
      <c r="P319" s="2" t="s">
        <v>267</v>
      </c>
      <c r="Q319" s="2" t="s">
        <v>161</v>
      </c>
      <c r="R319" s="2" t="s">
        <v>448</v>
      </c>
      <c r="S319" s="2" t="s">
        <v>154</v>
      </c>
      <c r="T319" s="2"/>
    </row>
    <row r="320" spans="1:20" ht="120" x14ac:dyDescent="0.25">
      <c r="A320" s="2" t="s">
        <v>449</v>
      </c>
      <c r="B320" s="2" t="s">
        <v>223</v>
      </c>
      <c r="C320" s="2" t="s">
        <v>304</v>
      </c>
      <c r="D320" s="2">
        <v>8855</v>
      </c>
      <c r="E320" s="2">
        <v>482</v>
      </c>
      <c r="F320" s="2" t="s">
        <v>450</v>
      </c>
      <c r="G320" s="2" t="s">
        <v>423</v>
      </c>
      <c r="H320" s="2" t="s">
        <v>150</v>
      </c>
      <c r="I320" s="2" t="s">
        <v>123</v>
      </c>
      <c r="J320" s="2">
        <v>4</v>
      </c>
      <c r="K320" s="2" t="s">
        <v>151</v>
      </c>
      <c r="L320" s="2" t="s">
        <v>152</v>
      </c>
      <c r="M320" s="2" t="s">
        <v>153</v>
      </c>
      <c r="N320" s="2" t="str">
        <f>HYPERLINK("https://klocwork.dal.design.ti.com:443/review/insight-review.html#issuedetails_goto:problemid=8855,project=MCUSW_J7_KW_FULL,searchquery=taxonomy:'' build:RS-2022-10-06_06-07-58 grouping:off module:CddIpc","KW Issue Link")</f>
        <v>KW Issue Link</v>
      </c>
      <c r="O320" s="2"/>
      <c r="P320" s="2"/>
      <c r="Q320" s="2"/>
      <c r="R320" s="2"/>
      <c r="S320" s="2" t="s">
        <v>154</v>
      </c>
      <c r="T320" s="2"/>
    </row>
    <row r="321" spans="1:20" ht="120" x14ac:dyDescent="0.25">
      <c r="A321" s="2" t="s">
        <v>449</v>
      </c>
      <c r="B321" s="2" t="s">
        <v>223</v>
      </c>
      <c r="C321" s="2" t="s">
        <v>304</v>
      </c>
      <c r="D321" s="2">
        <v>8856</v>
      </c>
      <c r="E321" s="2">
        <v>1148</v>
      </c>
      <c r="F321" s="2" t="s">
        <v>450</v>
      </c>
      <c r="G321" s="2" t="s">
        <v>336</v>
      </c>
      <c r="H321" s="2" t="s">
        <v>150</v>
      </c>
      <c r="I321" s="2" t="s">
        <v>123</v>
      </c>
      <c r="J321" s="2">
        <v>4</v>
      </c>
      <c r="K321" s="2" t="s">
        <v>151</v>
      </c>
      <c r="L321" s="2" t="s">
        <v>152</v>
      </c>
      <c r="M321" s="2" t="s">
        <v>153</v>
      </c>
      <c r="N321" s="2" t="str">
        <f>HYPERLINK("https://klocwork.dal.design.ti.com:443/review/insight-review.html#issuedetails_goto:problemid=8856,project=MCUSW_J7_KW_FULL,searchquery=taxonomy:'' build:RS-2022-10-06_06-07-58 grouping:off module:CddIpc","KW Issue Link")</f>
        <v>KW Issue Link</v>
      </c>
      <c r="O321" s="2"/>
      <c r="P321" s="2"/>
      <c r="Q321" s="2"/>
      <c r="R321" s="2"/>
      <c r="S321" s="2" t="s">
        <v>154</v>
      </c>
      <c r="T321" s="2"/>
    </row>
    <row r="322" spans="1:20" ht="120" x14ac:dyDescent="0.25">
      <c r="A322" s="2" t="s">
        <v>191</v>
      </c>
      <c r="B322" s="2" t="s">
        <v>192</v>
      </c>
      <c r="C322" s="2" t="s">
        <v>304</v>
      </c>
      <c r="D322" s="2">
        <v>8865</v>
      </c>
      <c r="E322" s="2">
        <v>511</v>
      </c>
      <c r="F322" s="2" t="s">
        <v>451</v>
      </c>
      <c r="G322" s="2" t="s">
        <v>339</v>
      </c>
      <c r="H322" s="2" t="s">
        <v>150</v>
      </c>
      <c r="I322" s="2" t="s">
        <v>123</v>
      </c>
      <c r="J322" s="2">
        <v>4</v>
      </c>
      <c r="K322" s="2" t="s">
        <v>151</v>
      </c>
      <c r="L322" s="2" t="s">
        <v>152</v>
      </c>
      <c r="M322" s="2" t="s">
        <v>153</v>
      </c>
      <c r="N322" s="2" t="str">
        <f>HYPERLINK("https://klocwork.dal.design.ti.com:443/review/insight-review.html#issuedetails_goto:problemid=8865,project=MCUSW_J7_KW_FULL,searchquery=taxonomy:'' build:RS-2022-10-06_06-07-58 grouping:off module:CddIpc","KW Issue Link")</f>
        <v>KW Issue Link</v>
      </c>
      <c r="O322" s="2"/>
      <c r="P322" s="2"/>
      <c r="Q322" s="2"/>
      <c r="R322" s="2"/>
      <c r="S322" s="2" t="s">
        <v>154</v>
      </c>
      <c r="T322" s="2"/>
    </row>
    <row r="323" spans="1:20" ht="120" x14ac:dyDescent="0.25">
      <c r="A323" s="2" t="s">
        <v>191</v>
      </c>
      <c r="B323" s="2" t="s">
        <v>192</v>
      </c>
      <c r="C323" s="2" t="s">
        <v>304</v>
      </c>
      <c r="D323" s="2">
        <v>8866</v>
      </c>
      <c r="E323" s="2">
        <v>713</v>
      </c>
      <c r="F323" s="2" t="s">
        <v>451</v>
      </c>
      <c r="G323" s="2" t="s">
        <v>369</v>
      </c>
      <c r="H323" s="2" t="s">
        <v>150</v>
      </c>
      <c r="I323" s="2" t="s">
        <v>123</v>
      </c>
      <c r="J323" s="2">
        <v>4</v>
      </c>
      <c r="K323" s="2" t="s">
        <v>151</v>
      </c>
      <c r="L323" s="2" t="s">
        <v>152</v>
      </c>
      <c r="M323" s="2" t="s">
        <v>153</v>
      </c>
      <c r="N323" s="2" t="str">
        <f>HYPERLINK("https://klocwork.dal.design.ti.com:443/review/insight-review.html#issuedetails_goto:problemid=8866,project=MCUSW_J7_KW_FULL,searchquery=taxonomy:'' build:RS-2022-10-06_06-07-58 grouping:off module:CddIpc","KW Issue Link")</f>
        <v>KW Issue Link</v>
      </c>
      <c r="O323" s="2"/>
      <c r="P323" s="2"/>
      <c r="Q323" s="2"/>
      <c r="R323" s="2"/>
      <c r="S323" s="2" t="s">
        <v>154</v>
      </c>
      <c r="T323" s="2"/>
    </row>
    <row r="324" spans="1:20" ht="120" x14ac:dyDescent="0.25">
      <c r="A324" s="2" t="s">
        <v>191</v>
      </c>
      <c r="B324" s="2" t="s">
        <v>192</v>
      </c>
      <c r="C324" s="2" t="s">
        <v>304</v>
      </c>
      <c r="D324" s="2">
        <v>8867</v>
      </c>
      <c r="E324" s="2">
        <v>986</v>
      </c>
      <c r="F324" s="2" t="s">
        <v>452</v>
      </c>
      <c r="G324" s="2" t="s">
        <v>332</v>
      </c>
      <c r="H324" s="2" t="s">
        <v>150</v>
      </c>
      <c r="I324" s="2" t="s">
        <v>123</v>
      </c>
      <c r="J324" s="2">
        <v>4</v>
      </c>
      <c r="K324" s="2" t="s">
        <v>151</v>
      </c>
      <c r="L324" s="2" t="s">
        <v>152</v>
      </c>
      <c r="M324" s="2" t="s">
        <v>153</v>
      </c>
      <c r="N324" s="2" t="str">
        <f>HYPERLINK("https://klocwork.dal.design.ti.com:443/review/insight-review.html#issuedetails_goto:problemid=8867,project=MCUSW_J7_KW_FULL,searchquery=taxonomy:'' build:RS-2022-10-06_06-07-58 grouping:off module:CddIpc","KW Issue Link")</f>
        <v>KW Issue Link</v>
      </c>
      <c r="O324" s="2"/>
      <c r="P324" s="2"/>
      <c r="Q324" s="2"/>
      <c r="R324" s="2"/>
      <c r="S324" s="2" t="s">
        <v>154</v>
      </c>
      <c r="T324" s="2"/>
    </row>
    <row r="325" spans="1:20" ht="120" x14ac:dyDescent="0.25">
      <c r="A325" s="2" t="s">
        <v>191</v>
      </c>
      <c r="B325" s="2" t="s">
        <v>192</v>
      </c>
      <c r="C325" s="2" t="s">
        <v>304</v>
      </c>
      <c r="D325" s="2">
        <v>8868</v>
      </c>
      <c r="E325" s="2">
        <v>1082</v>
      </c>
      <c r="F325" s="2" t="s">
        <v>193</v>
      </c>
      <c r="G325" s="2" t="s">
        <v>336</v>
      </c>
      <c r="H325" s="2" t="s">
        <v>150</v>
      </c>
      <c r="I325" s="2" t="s">
        <v>123</v>
      </c>
      <c r="J325" s="2">
        <v>4</v>
      </c>
      <c r="K325" s="2" t="s">
        <v>151</v>
      </c>
      <c r="L325" s="2" t="s">
        <v>152</v>
      </c>
      <c r="M325" s="2" t="s">
        <v>153</v>
      </c>
      <c r="N325" s="2" t="str">
        <f>HYPERLINK("https://klocwork.dal.design.ti.com:443/review/insight-review.html#issuedetails_goto:problemid=8868,project=MCUSW_J7_KW_FULL,searchquery=taxonomy:'' build:RS-2022-10-06_06-07-58 grouping:off module:CddIpc","KW Issue Link")</f>
        <v>KW Issue Link</v>
      </c>
      <c r="O325" s="2"/>
      <c r="P325" s="2"/>
      <c r="Q325" s="2"/>
      <c r="R325" s="2"/>
      <c r="S325" s="2" t="s">
        <v>154</v>
      </c>
      <c r="T325" s="2"/>
    </row>
    <row r="326" spans="1:20" ht="120" x14ac:dyDescent="0.25">
      <c r="A326" s="2" t="s">
        <v>191</v>
      </c>
      <c r="B326" s="2" t="s">
        <v>192</v>
      </c>
      <c r="C326" s="2" t="s">
        <v>304</v>
      </c>
      <c r="D326" s="2">
        <v>8869</v>
      </c>
      <c r="E326" s="2">
        <v>1193</v>
      </c>
      <c r="F326" s="2" t="s">
        <v>452</v>
      </c>
      <c r="G326" s="2" t="s">
        <v>353</v>
      </c>
      <c r="H326" s="2" t="s">
        <v>150</v>
      </c>
      <c r="I326" s="2" t="s">
        <v>123</v>
      </c>
      <c r="J326" s="2">
        <v>4</v>
      </c>
      <c r="K326" s="2" t="s">
        <v>151</v>
      </c>
      <c r="L326" s="2" t="s">
        <v>152</v>
      </c>
      <c r="M326" s="2" t="s">
        <v>153</v>
      </c>
      <c r="N326" s="2" t="str">
        <f>HYPERLINK("https://klocwork.dal.design.ti.com:443/review/insight-review.html#issuedetails_goto:problemid=8869,project=MCUSW_J7_KW_FULL,searchquery=taxonomy:'' build:RS-2022-10-06_06-07-58 grouping:off module:CddIpc","KW Issue Link")</f>
        <v>KW Issue Link</v>
      </c>
      <c r="O326" s="2"/>
      <c r="P326" s="2"/>
      <c r="Q326" s="2"/>
      <c r="R326" s="2"/>
      <c r="S326" s="2" t="s">
        <v>154</v>
      </c>
      <c r="T326" s="2"/>
    </row>
    <row r="327" spans="1:20" ht="120" x14ac:dyDescent="0.25">
      <c r="A327" s="2" t="s">
        <v>191</v>
      </c>
      <c r="B327" s="2" t="s">
        <v>192</v>
      </c>
      <c r="C327" s="2" t="s">
        <v>304</v>
      </c>
      <c r="D327" s="2">
        <v>8870</v>
      </c>
      <c r="E327" s="2">
        <v>1331</v>
      </c>
      <c r="F327" s="2" t="s">
        <v>453</v>
      </c>
      <c r="G327" s="2" t="s">
        <v>341</v>
      </c>
      <c r="H327" s="2" t="s">
        <v>150</v>
      </c>
      <c r="I327" s="2" t="s">
        <v>123</v>
      </c>
      <c r="J327" s="2">
        <v>4</v>
      </c>
      <c r="K327" s="2" t="s">
        <v>151</v>
      </c>
      <c r="L327" s="2" t="s">
        <v>152</v>
      </c>
      <c r="M327" s="2" t="s">
        <v>153</v>
      </c>
      <c r="N327" s="2" t="str">
        <f>HYPERLINK("https://klocwork.dal.design.ti.com:443/review/insight-review.html#issuedetails_goto:problemid=8870,project=MCUSW_J7_KW_FULL,searchquery=taxonomy:'' build:RS-2022-10-06_06-07-58 grouping:off module:CddIpc","KW Issue Link")</f>
        <v>KW Issue Link</v>
      </c>
      <c r="O327" s="2"/>
      <c r="P327" s="2"/>
      <c r="Q327" s="2"/>
      <c r="R327" s="2"/>
      <c r="S327" s="2" t="s">
        <v>154</v>
      </c>
      <c r="T327" s="2"/>
    </row>
    <row r="328" spans="1:20" ht="120" x14ac:dyDescent="0.25">
      <c r="A328" s="2" t="s">
        <v>191</v>
      </c>
      <c r="B328" s="2" t="s">
        <v>192</v>
      </c>
      <c r="C328" s="2" t="s">
        <v>304</v>
      </c>
      <c r="D328" s="2">
        <v>8871</v>
      </c>
      <c r="E328" s="2">
        <v>1436</v>
      </c>
      <c r="F328" s="2" t="s">
        <v>193</v>
      </c>
      <c r="G328" s="2" t="s">
        <v>358</v>
      </c>
      <c r="H328" s="2" t="s">
        <v>150</v>
      </c>
      <c r="I328" s="2" t="s">
        <v>123</v>
      </c>
      <c r="J328" s="2">
        <v>4</v>
      </c>
      <c r="K328" s="2" t="s">
        <v>151</v>
      </c>
      <c r="L328" s="2" t="s">
        <v>152</v>
      </c>
      <c r="M328" s="2" t="s">
        <v>153</v>
      </c>
      <c r="N328" s="2" t="str">
        <f>HYPERLINK("https://klocwork.dal.design.ti.com:443/review/insight-review.html#issuedetails_goto:problemid=8871,project=MCUSW_J7_KW_FULL,searchquery=taxonomy:'' build:RS-2022-10-06_06-07-58 grouping:off module:CddIpc","KW Issue Link")</f>
        <v>KW Issue Link</v>
      </c>
      <c r="O328" s="2"/>
      <c r="P328" s="2"/>
      <c r="Q328" s="2"/>
      <c r="R328" s="2"/>
      <c r="S328" s="2" t="s">
        <v>154</v>
      </c>
      <c r="T328" s="2"/>
    </row>
    <row r="329" spans="1:20" ht="120" x14ac:dyDescent="0.25">
      <c r="A329" s="2" t="s">
        <v>454</v>
      </c>
      <c r="B329" s="2" t="s">
        <v>180</v>
      </c>
      <c r="C329" s="2" t="s">
        <v>304</v>
      </c>
      <c r="D329" s="2">
        <v>8873</v>
      </c>
      <c r="E329" s="2">
        <v>699</v>
      </c>
      <c r="F329" s="2" t="s">
        <v>455</v>
      </c>
      <c r="G329" s="2" t="s">
        <v>369</v>
      </c>
      <c r="H329" s="2" t="s">
        <v>150</v>
      </c>
      <c r="I329" s="2" t="s">
        <v>124</v>
      </c>
      <c r="J329" s="2">
        <v>8</v>
      </c>
      <c r="K329" s="2" t="s">
        <v>151</v>
      </c>
      <c r="L329" s="2" t="s">
        <v>152</v>
      </c>
      <c r="M329" s="2" t="s">
        <v>182</v>
      </c>
      <c r="N329" s="2" t="str">
        <f>HYPERLINK("https://klocwork.dal.design.ti.com:443/review/insight-review.html#issuedetails_goto:problemid=8873,project=MCUSW_J7_KW_FULL,searchquery=taxonomy:'' build:RS-2022-10-06_06-07-58 grouping:off module:CddIpc","KW Issue Link")</f>
        <v>KW Issue Link</v>
      </c>
      <c r="O329" s="2"/>
      <c r="P329" s="2"/>
      <c r="Q329" s="2"/>
      <c r="R329" s="2"/>
      <c r="S329" s="2" t="s">
        <v>154</v>
      </c>
      <c r="T329" s="2"/>
    </row>
    <row r="330" spans="1:20" ht="120" x14ac:dyDescent="0.25">
      <c r="A330" s="2" t="s">
        <v>454</v>
      </c>
      <c r="B330" s="2" t="s">
        <v>180</v>
      </c>
      <c r="C330" s="2" t="s">
        <v>304</v>
      </c>
      <c r="D330" s="2">
        <v>8874</v>
      </c>
      <c r="E330" s="2">
        <v>1358</v>
      </c>
      <c r="F330" s="2" t="s">
        <v>456</v>
      </c>
      <c r="G330" s="2" t="s">
        <v>397</v>
      </c>
      <c r="H330" s="2" t="s">
        <v>150</v>
      </c>
      <c r="I330" s="2" t="s">
        <v>124</v>
      </c>
      <c r="J330" s="2">
        <v>8</v>
      </c>
      <c r="K330" s="2" t="s">
        <v>151</v>
      </c>
      <c r="L330" s="2" t="s">
        <v>152</v>
      </c>
      <c r="M330" s="2" t="s">
        <v>182</v>
      </c>
      <c r="N330" s="2" t="str">
        <f>HYPERLINK("https://klocwork.dal.design.ti.com:443/review/insight-review.html#issuedetails_goto:problemid=8874,project=MCUSW_J7_KW_FULL,searchquery=taxonomy:'' build:RS-2022-10-06_06-07-58 grouping:off module:CddIpc","KW Issue Link")</f>
        <v>KW Issue Link</v>
      </c>
      <c r="O330" s="2"/>
      <c r="P330" s="2"/>
      <c r="Q330" s="2"/>
      <c r="R330" s="2"/>
      <c r="S330" s="2" t="s">
        <v>154</v>
      </c>
      <c r="T330" s="2"/>
    </row>
    <row r="331" spans="1:20" ht="120" x14ac:dyDescent="0.25">
      <c r="A331" s="2" t="s">
        <v>290</v>
      </c>
      <c r="B331" s="2" t="s">
        <v>291</v>
      </c>
      <c r="C331" s="2" t="s">
        <v>304</v>
      </c>
      <c r="D331" s="2">
        <v>8877</v>
      </c>
      <c r="E331" s="2">
        <v>1030</v>
      </c>
      <c r="F331" s="2" t="s">
        <v>457</v>
      </c>
      <c r="G331" s="2" t="s">
        <v>332</v>
      </c>
      <c r="H331" s="2" t="s">
        <v>150</v>
      </c>
      <c r="I331" s="2" t="s">
        <v>123</v>
      </c>
      <c r="J331" s="2">
        <v>4</v>
      </c>
      <c r="K331" s="2" t="s">
        <v>151</v>
      </c>
      <c r="L331" s="2" t="s">
        <v>152</v>
      </c>
      <c r="M331" s="2" t="s">
        <v>153</v>
      </c>
      <c r="N331" s="2" t="str">
        <f>HYPERLINK("https://klocwork.dal.design.ti.com:443/review/insight-review.html#issuedetails_goto:problemid=8877,project=MCUSW_J7_KW_FULL,searchquery=taxonomy:'' build:RS-2022-10-06_06-07-58 grouping:off module:CddIpc","KW Issue Link")</f>
        <v>KW Issue Link</v>
      </c>
      <c r="O331" s="2"/>
      <c r="P331" s="2"/>
      <c r="Q331" s="2"/>
      <c r="R331" s="2"/>
      <c r="S331" s="2" t="s">
        <v>154</v>
      </c>
      <c r="T331" s="2"/>
    </row>
    <row r="332" spans="1:20" ht="120" x14ac:dyDescent="0.25">
      <c r="A332" s="2" t="s">
        <v>290</v>
      </c>
      <c r="B332" s="2" t="s">
        <v>291</v>
      </c>
      <c r="C332" s="2" t="s">
        <v>304</v>
      </c>
      <c r="D332" s="2">
        <v>8878</v>
      </c>
      <c r="E332" s="2">
        <v>1137</v>
      </c>
      <c r="F332" s="2" t="s">
        <v>458</v>
      </c>
      <c r="G332" s="2" t="s">
        <v>336</v>
      </c>
      <c r="H332" s="2" t="s">
        <v>150</v>
      </c>
      <c r="I332" s="2" t="s">
        <v>123</v>
      </c>
      <c r="J332" s="2">
        <v>4</v>
      </c>
      <c r="K332" s="2" t="s">
        <v>151</v>
      </c>
      <c r="L332" s="2" t="s">
        <v>152</v>
      </c>
      <c r="M332" s="2" t="s">
        <v>153</v>
      </c>
      <c r="N332" s="2" t="str">
        <f>HYPERLINK("https://klocwork.dal.design.ti.com:443/review/insight-review.html#issuedetails_goto:problemid=8878,project=MCUSW_J7_KW_FULL,searchquery=taxonomy:'' build:RS-2022-10-06_06-07-58 grouping:off module:CddIpc","KW Issue Link")</f>
        <v>KW Issue Link</v>
      </c>
      <c r="O332" s="2"/>
      <c r="P332" s="2"/>
      <c r="Q332" s="2"/>
      <c r="R332" s="2"/>
      <c r="S332" s="2" t="s">
        <v>154</v>
      </c>
      <c r="T332" s="2"/>
    </row>
    <row r="333" spans="1:20" ht="120" x14ac:dyDescent="0.25">
      <c r="A333" s="2" t="s">
        <v>459</v>
      </c>
      <c r="B333" s="2" t="s">
        <v>460</v>
      </c>
      <c r="C333" s="2" t="s">
        <v>304</v>
      </c>
      <c r="D333" s="2">
        <v>8879</v>
      </c>
      <c r="E333" s="2">
        <v>1135</v>
      </c>
      <c r="F333" s="2" t="s">
        <v>461</v>
      </c>
      <c r="G333" s="2" t="s">
        <v>336</v>
      </c>
      <c r="H333" s="2" t="s">
        <v>150</v>
      </c>
      <c r="I333" s="2" t="s">
        <v>87</v>
      </c>
      <c r="J333" s="2">
        <v>5</v>
      </c>
      <c r="K333" s="2" t="s">
        <v>151</v>
      </c>
      <c r="L333" s="2" t="s">
        <v>152</v>
      </c>
      <c r="M333" s="2" t="s">
        <v>153</v>
      </c>
      <c r="N333" s="2" t="str">
        <f>HYPERLINK("https://klocwork.dal.design.ti.com:443/review/insight-review.html#issuedetails_goto:problemid=8879,project=MCUSW_J7_KW_FULL,searchquery=taxonomy:'' build:RS-2022-10-06_06-07-58 grouping:off module:CddIpc","KW Issue Link")</f>
        <v>KW Issue Link</v>
      </c>
      <c r="O333" s="2"/>
      <c r="P333" s="2"/>
      <c r="Q333" s="2"/>
      <c r="R333" s="2"/>
      <c r="S333" s="2" t="s">
        <v>154</v>
      </c>
      <c r="T333" s="2"/>
    </row>
    <row r="334" spans="1:20" ht="120" x14ac:dyDescent="0.25">
      <c r="A334" s="2" t="s">
        <v>459</v>
      </c>
      <c r="B334" s="2" t="s">
        <v>460</v>
      </c>
      <c r="C334" s="2" t="s">
        <v>304</v>
      </c>
      <c r="D334" s="2">
        <v>8880</v>
      </c>
      <c r="E334" s="2">
        <v>1148</v>
      </c>
      <c r="F334" s="2" t="s">
        <v>461</v>
      </c>
      <c r="G334" s="2" t="s">
        <v>336</v>
      </c>
      <c r="H334" s="2" t="s">
        <v>150</v>
      </c>
      <c r="I334" s="2" t="s">
        <v>87</v>
      </c>
      <c r="J334" s="2">
        <v>5</v>
      </c>
      <c r="K334" s="2" t="s">
        <v>151</v>
      </c>
      <c r="L334" s="2" t="s">
        <v>152</v>
      </c>
      <c r="M334" s="2" t="s">
        <v>153</v>
      </c>
      <c r="N334" s="2" t="str">
        <f>HYPERLINK("https://klocwork.dal.design.ti.com:443/review/insight-review.html#issuedetails_goto:problemid=8880,project=MCUSW_J7_KW_FULL,searchquery=taxonomy:'' build:RS-2022-10-06_06-07-58 grouping:off module:CddIpc","KW Issue Link")</f>
        <v>KW Issue Link</v>
      </c>
      <c r="O334" s="2"/>
      <c r="P334" s="2"/>
      <c r="Q334" s="2"/>
      <c r="R334" s="2"/>
      <c r="S334" s="2" t="s">
        <v>154</v>
      </c>
      <c r="T334" s="2"/>
    </row>
    <row r="335" spans="1:20" ht="120" x14ac:dyDescent="0.25">
      <c r="A335" s="2" t="s">
        <v>459</v>
      </c>
      <c r="B335" s="2" t="s">
        <v>460</v>
      </c>
      <c r="C335" s="2" t="s">
        <v>304</v>
      </c>
      <c r="D335" s="2">
        <v>8881</v>
      </c>
      <c r="E335" s="2">
        <v>1151</v>
      </c>
      <c r="F335" s="2" t="s">
        <v>462</v>
      </c>
      <c r="G335" s="2" t="s">
        <v>336</v>
      </c>
      <c r="H335" s="2" t="s">
        <v>150</v>
      </c>
      <c r="I335" s="2" t="s">
        <v>87</v>
      </c>
      <c r="J335" s="2">
        <v>5</v>
      </c>
      <c r="K335" s="2" t="s">
        <v>151</v>
      </c>
      <c r="L335" s="2" t="s">
        <v>152</v>
      </c>
      <c r="M335" s="2" t="s">
        <v>153</v>
      </c>
      <c r="N335" s="2" t="str">
        <f>HYPERLINK("https://klocwork.dal.design.ti.com:443/review/insight-review.html#issuedetails_goto:problemid=8881,project=MCUSW_J7_KW_FULL,searchquery=taxonomy:'' build:RS-2022-10-06_06-07-58 grouping:off module:CddIpc","KW Issue Link")</f>
        <v>KW Issue Link</v>
      </c>
      <c r="O335" s="2"/>
      <c r="P335" s="2"/>
      <c r="Q335" s="2"/>
      <c r="R335" s="2"/>
      <c r="S335" s="2" t="s">
        <v>154</v>
      </c>
      <c r="T335" s="2"/>
    </row>
    <row r="336" spans="1:20" ht="120" x14ac:dyDescent="0.25">
      <c r="A336" s="2" t="s">
        <v>295</v>
      </c>
      <c r="B336" s="2" t="s">
        <v>296</v>
      </c>
      <c r="C336" s="2" t="s">
        <v>463</v>
      </c>
      <c r="D336" s="2">
        <v>8885</v>
      </c>
      <c r="E336" s="2">
        <v>78</v>
      </c>
      <c r="F336" s="2" t="s">
        <v>298</v>
      </c>
      <c r="G336" s="2" t="s">
        <v>464</v>
      </c>
      <c r="H336" s="2" t="s">
        <v>150</v>
      </c>
      <c r="I336" s="2" t="s">
        <v>123</v>
      </c>
      <c r="J336" s="2">
        <v>4</v>
      </c>
      <c r="K336" s="2" t="s">
        <v>151</v>
      </c>
      <c r="L336" s="2" t="s">
        <v>152</v>
      </c>
      <c r="M336" s="2" t="s">
        <v>153</v>
      </c>
      <c r="N336" s="2" t="str">
        <f>HYPERLINK("https://klocwork.dal.design.ti.com:443/review/insight-review.html#issuedetails_goto:problemid=8885,project=MCUSW_J7_KW_FULL,searchquery=taxonomy:'' build:RS-2022-10-06_06-07-58 grouping:off module:CddIpc","KW Issue Link")</f>
        <v>KW Issue Link</v>
      </c>
      <c r="O336" s="2"/>
      <c r="P336" s="2"/>
      <c r="Q336" s="2"/>
      <c r="R336" s="2"/>
      <c r="S336" s="2" t="s">
        <v>154</v>
      </c>
      <c r="T336" s="2"/>
    </row>
    <row r="337" spans="1:20" ht="120" x14ac:dyDescent="0.25">
      <c r="A337" s="2" t="s">
        <v>465</v>
      </c>
      <c r="B337" s="2" t="s">
        <v>466</v>
      </c>
      <c r="C337" s="2" t="s">
        <v>463</v>
      </c>
      <c r="D337" s="2">
        <v>8888</v>
      </c>
      <c r="E337" s="2">
        <v>113</v>
      </c>
      <c r="F337" s="2" t="s">
        <v>467</v>
      </c>
      <c r="G337" s="2" t="s">
        <v>464</v>
      </c>
      <c r="H337" s="2" t="s">
        <v>150</v>
      </c>
      <c r="I337" s="2" t="s">
        <v>88</v>
      </c>
      <c r="J337" s="2">
        <v>6</v>
      </c>
      <c r="K337" s="2" t="s">
        <v>151</v>
      </c>
      <c r="L337" s="2" t="s">
        <v>152</v>
      </c>
      <c r="M337" s="2" t="s">
        <v>158</v>
      </c>
      <c r="N337" s="2" t="str">
        <f>HYPERLINK("https://klocwork.dal.design.ti.com:443/review/insight-review.html#issuedetails_goto:problemid=8888,project=MCUSW_J7_KW_FULL,searchquery=taxonomy:'' build:RS-2022-10-06_06-07-58 grouping:off module:CddIpc","KW Issue Link")</f>
        <v>KW Issue Link</v>
      </c>
      <c r="O337" s="2" t="s">
        <v>468</v>
      </c>
      <c r="P337" s="2" t="s">
        <v>204</v>
      </c>
      <c r="Q337" s="2" t="s">
        <v>161</v>
      </c>
      <c r="R337" s="2" t="s">
        <v>469</v>
      </c>
      <c r="S337" s="2" t="s">
        <v>154</v>
      </c>
      <c r="T337" s="2"/>
    </row>
    <row r="338" spans="1:20" ht="120" x14ac:dyDescent="0.25">
      <c r="A338" s="2" t="s">
        <v>145</v>
      </c>
      <c r="B338" s="2" t="s">
        <v>146</v>
      </c>
      <c r="C338" s="2" t="s">
        <v>470</v>
      </c>
      <c r="D338" s="2">
        <v>8889</v>
      </c>
      <c r="E338" s="2">
        <v>1</v>
      </c>
      <c r="F338" s="2" t="s">
        <v>148</v>
      </c>
      <c r="G338" s="2" t="s">
        <v>471</v>
      </c>
      <c r="H338" s="2" t="s">
        <v>150</v>
      </c>
      <c r="I338" s="2" t="s">
        <v>123</v>
      </c>
      <c r="J338" s="2">
        <v>4</v>
      </c>
      <c r="K338" s="2" t="s">
        <v>151</v>
      </c>
      <c r="L338" s="2" t="s">
        <v>152</v>
      </c>
      <c r="M338" s="2" t="s">
        <v>153</v>
      </c>
      <c r="N338" s="2" t="str">
        <f>HYPERLINK("https://klocwork.dal.design.ti.com:443/review/insight-review.html#issuedetails_goto:problemid=8889,project=MCUSW_J7_KW_FULL,searchquery=taxonomy:'' build:RS-2022-10-06_06-07-58 grouping:off module:CddIpc","KW Issue Link")</f>
        <v>KW Issue Link</v>
      </c>
      <c r="O338" s="2"/>
      <c r="P338" s="2"/>
      <c r="Q338" s="2"/>
      <c r="R338" s="2"/>
      <c r="S338" s="2" t="s">
        <v>154</v>
      </c>
      <c r="T338" s="2"/>
    </row>
    <row r="339" spans="1:20" ht="120" x14ac:dyDescent="0.25">
      <c r="A339" s="2" t="s">
        <v>415</v>
      </c>
      <c r="B339" s="2" t="s">
        <v>416</v>
      </c>
      <c r="C339" s="2" t="s">
        <v>470</v>
      </c>
      <c r="D339" s="2">
        <v>8890</v>
      </c>
      <c r="E339" s="2">
        <v>180</v>
      </c>
      <c r="F339" s="2" t="s">
        <v>426</v>
      </c>
      <c r="G339" s="2" t="s">
        <v>472</v>
      </c>
      <c r="H339" s="2" t="s">
        <v>150</v>
      </c>
      <c r="I339" s="2" t="s">
        <v>88</v>
      </c>
      <c r="J339" s="2">
        <v>6</v>
      </c>
      <c r="K339" s="2" t="s">
        <v>151</v>
      </c>
      <c r="L339" s="2" t="s">
        <v>152</v>
      </c>
      <c r="M339" s="2" t="s">
        <v>158</v>
      </c>
      <c r="N339" s="2" t="str">
        <f>HYPERLINK("https://klocwork.dal.design.ti.com:443/review/insight-review.html#issuedetails_goto:problemid=8890,project=MCUSW_J7_KW_FULL,searchquery=taxonomy:'' build:RS-2022-10-06_06-07-58 grouping:off module:CddIpc","KW Issue Link")</f>
        <v>KW Issue Link</v>
      </c>
      <c r="O339" s="2" t="s">
        <v>418</v>
      </c>
      <c r="P339" s="2" t="s">
        <v>234</v>
      </c>
      <c r="Q339" s="2" t="s">
        <v>161</v>
      </c>
      <c r="R339" s="2" t="s">
        <v>419</v>
      </c>
      <c r="S339" s="2" t="s">
        <v>154</v>
      </c>
      <c r="T339" s="2"/>
    </row>
    <row r="340" spans="1:20" ht="120" x14ac:dyDescent="0.25">
      <c r="A340" s="2" t="s">
        <v>415</v>
      </c>
      <c r="B340" s="2" t="s">
        <v>416</v>
      </c>
      <c r="C340" s="2" t="s">
        <v>470</v>
      </c>
      <c r="D340" s="2">
        <v>8891</v>
      </c>
      <c r="E340" s="2">
        <v>217</v>
      </c>
      <c r="F340" s="2" t="s">
        <v>473</v>
      </c>
      <c r="G340" s="2" t="s">
        <v>474</v>
      </c>
      <c r="H340" s="2" t="s">
        <v>150</v>
      </c>
      <c r="I340" s="2" t="s">
        <v>88</v>
      </c>
      <c r="J340" s="2">
        <v>6</v>
      </c>
      <c r="K340" s="2" t="s">
        <v>151</v>
      </c>
      <c r="L340" s="2" t="s">
        <v>152</v>
      </c>
      <c r="M340" s="2" t="s">
        <v>158</v>
      </c>
      <c r="N340" s="2" t="str">
        <f>HYPERLINK("https://klocwork.dal.design.ti.com:443/review/insight-review.html#issuedetails_goto:problemid=8891,project=MCUSW_J7_KW_FULL,searchquery=taxonomy:'' build:RS-2022-10-06_06-07-58 grouping:off module:CddIpc","KW Issue Link")</f>
        <v>KW Issue Link</v>
      </c>
      <c r="O340" s="2" t="s">
        <v>418</v>
      </c>
      <c r="P340" s="2" t="s">
        <v>234</v>
      </c>
      <c r="Q340" s="2" t="s">
        <v>161</v>
      </c>
      <c r="R340" s="2" t="s">
        <v>419</v>
      </c>
      <c r="S340" s="2" t="s">
        <v>154</v>
      </c>
      <c r="T340" s="2"/>
    </row>
    <row r="341" spans="1:20" ht="120" x14ac:dyDescent="0.25">
      <c r="A341" s="2" t="s">
        <v>415</v>
      </c>
      <c r="B341" s="2" t="s">
        <v>416</v>
      </c>
      <c r="C341" s="2" t="s">
        <v>470</v>
      </c>
      <c r="D341" s="2">
        <v>8892</v>
      </c>
      <c r="E341" s="2">
        <v>287</v>
      </c>
      <c r="F341" s="2" t="s">
        <v>475</v>
      </c>
      <c r="G341" s="2" t="s">
        <v>476</v>
      </c>
      <c r="H341" s="2" t="s">
        <v>150</v>
      </c>
      <c r="I341" s="2" t="s">
        <v>88</v>
      </c>
      <c r="J341" s="2">
        <v>6</v>
      </c>
      <c r="K341" s="2" t="s">
        <v>151</v>
      </c>
      <c r="L341" s="2" t="s">
        <v>152</v>
      </c>
      <c r="M341" s="2" t="s">
        <v>158</v>
      </c>
      <c r="N341" s="2" t="str">
        <f>HYPERLINK("https://klocwork.dal.design.ti.com:443/review/insight-review.html#issuedetails_goto:problemid=8892,project=MCUSW_J7_KW_FULL,searchquery=taxonomy:'' build:RS-2022-10-06_06-07-58 grouping:off module:CddIpc","KW Issue Link")</f>
        <v>KW Issue Link</v>
      </c>
      <c r="O341" s="2" t="s">
        <v>418</v>
      </c>
      <c r="P341" s="2" t="s">
        <v>234</v>
      </c>
      <c r="Q341" s="2" t="s">
        <v>161</v>
      </c>
      <c r="R341" s="2" t="s">
        <v>419</v>
      </c>
      <c r="S341" s="2" t="s">
        <v>154</v>
      </c>
      <c r="T341" s="2"/>
    </row>
    <row r="342" spans="1:20" ht="120" x14ac:dyDescent="0.25">
      <c r="A342" s="2" t="s">
        <v>415</v>
      </c>
      <c r="B342" s="2" t="s">
        <v>416</v>
      </c>
      <c r="C342" s="2" t="s">
        <v>470</v>
      </c>
      <c r="D342" s="2">
        <v>8893</v>
      </c>
      <c r="E342" s="2">
        <v>419</v>
      </c>
      <c r="F342" s="2" t="s">
        <v>477</v>
      </c>
      <c r="G342" s="2" t="s">
        <v>478</v>
      </c>
      <c r="H342" s="2" t="s">
        <v>150</v>
      </c>
      <c r="I342" s="2" t="s">
        <v>88</v>
      </c>
      <c r="J342" s="2">
        <v>6</v>
      </c>
      <c r="K342" s="2" t="s">
        <v>151</v>
      </c>
      <c r="L342" s="2" t="s">
        <v>152</v>
      </c>
      <c r="M342" s="2" t="s">
        <v>158</v>
      </c>
      <c r="N342" s="2" t="str">
        <f>HYPERLINK("https://klocwork.dal.design.ti.com:443/review/insight-review.html#issuedetails_goto:problemid=8893,project=MCUSW_J7_KW_FULL,searchquery=taxonomy:'' build:RS-2022-10-06_06-07-58 grouping:off module:CddIpc","KW Issue Link")</f>
        <v>KW Issue Link</v>
      </c>
      <c r="O342" s="2" t="s">
        <v>418</v>
      </c>
      <c r="P342" s="2" t="s">
        <v>234</v>
      </c>
      <c r="Q342" s="2" t="s">
        <v>161</v>
      </c>
      <c r="R342" s="2" t="s">
        <v>419</v>
      </c>
      <c r="S342" s="2" t="s">
        <v>154</v>
      </c>
      <c r="T342" s="2"/>
    </row>
    <row r="343" spans="1:20" ht="120" x14ac:dyDescent="0.25">
      <c r="A343" s="2" t="s">
        <v>415</v>
      </c>
      <c r="B343" s="2" t="s">
        <v>416</v>
      </c>
      <c r="C343" s="2" t="s">
        <v>470</v>
      </c>
      <c r="D343" s="2">
        <v>8894</v>
      </c>
      <c r="E343" s="2">
        <v>451</v>
      </c>
      <c r="F343" s="2" t="s">
        <v>475</v>
      </c>
      <c r="G343" s="2" t="s">
        <v>479</v>
      </c>
      <c r="H343" s="2" t="s">
        <v>150</v>
      </c>
      <c r="I343" s="2" t="s">
        <v>88</v>
      </c>
      <c r="J343" s="2">
        <v>6</v>
      </c>
      <c r="K343" s="2" t="s">
        <v>151</v>
      </c>
      <c r="L343" s="2" t="s">
        <v>152</v>
      </c>
      <c r="M343" s="2" t="s">
        <v>158</v>
      </c>
      <c r="N343" s="2" t="str">
        <f>HYPERLINK("https://klocwork.dal.design.ti.com:443/review/insight-review.html#issuedetails_goto:problemid=8894,project=MCUSW_J7_KW_FULL,searchquery=taxonomy:'' build:RS-2022-10-06_06-07-58 grouping:off module:CddIpc","KW Issue Link")</f>
        <v>KW Issue Link</v>
      </c>
      <c r="O343" s="2" t="s">
        <v>418</v>
      </c>
      <c r="P343" s="2" t="s">
        <v>234</v>
      </c>
      <c r="Q343" s="2" t="s">
        <v>161</v>
      </c>
      <c r="R343" s="2" t="s">
        <v>419</v>
      </c>
      <c r="S343" s="2" t="s">
        <v>154</v>
      </c>
      <c r="T343" s="2"/>
    </row>
    <row r="344" spans="1:20" ht="120" x14ac:dyDescent="0.25">
      <c r="A344" s="2" t="s">
        <v>196</v>
      </c>
      <c r="B344" s="2" t="s">
        <v>197</v>
      </c>
      <c r="C344" s="2" t="s">
        <v>470</v>
      </c>
      <c r="D344" s="2">
        <v>8897</v>
      </c>
      <c r="E344" s="2">
        <v>241</v>
      </c>
      <c r="F344" s="2" t="s">
        <v>480</v>
      </c>
      <c r="G344" s="2" t="s">
        <v>474</v>
      </c>
      <c r="H344" s="2" t="s">
        <v>150</v>
      </c>
      <c r="I344" s="2" t="s">
        <v>123</v>
      </c>
      <c r="J344" s="2">
        <v>4</v>
      </c>
      <c r="K344" s="2" t="s">
        <v>151</v>
      </c>
      <c r="L344" s="2" t="s">
        <v>152</v>
      </c>
      <c r="M344" s="2" t="s">
        <v>153</v>
      </c>
      <c r="N344" s="2" t="str">
        <f>HYPERLINK("https://klocwork.dal.design.ti.com:443/review/insight-review.html#issuedetails_goto:problemid=8897,project=MCUSW_J7_KW_FULL,searchquery=taxonomy:'' build:RS-2022-10-06_06-07-58 grouping:off module:CddIpc","KW Issue Link")</f>
        <v>KW Issue Link</v>
      </c>
      <c r="O344" s="2"/>
      <c r="P344" s="2"/>
      <c r="Q344" s="2"/>
      <c r="R344" s="2"/>
      <c r="S344" s="2" t="s">
        <v>154</v>
      </c>
      <c r="T344" s="2"/>
    </row>
    <row r="345" spans="1:20" ht="120" x14ac:dyDescent="0.25">
      <c r="A345" s="2" t="s">
        <v>196</v>
      </c>
      <c r="B345" s="2" t="s">
        <v>197</v>
      </c>
      <c r="C345" s="2" t="s">
        <v>470</v>
      </c>
      <c r="D345" s="2">
        <v>8898</v>
      </c>
      <c r="E345" s="2">
        <v>287</v>
      </c>
      <c r="F345" s="2" t="s">
        <v>481</v>
      </c>
      <c r="G345" s="2" t="s">
        <v>476</v>
      </c>
      <c r="H345" s="2" t="s">
        <v>150</v>
      </c>
      <c r="I345" s="2" t="s">
        <v>123</v>
      </c>
      <c r="J345" s="2">
        <v>4</v>
      </c>
      <c r="K345" s="2" t="s">
        <v>151</v>
      </c>
      <c r="L345" s="2" t="s">
        <v>152</v>
      </c>
      <c r="M345" s="2" t="s">
        <v>153</v>
      </c>
      <c r="N345" s="2" t="str">
        <f>HYPERLINK("https://klocwork.dal.design.ti.com:443/review/insight-review.html#issuedetails_goto:problemid=8898,project=MCUSW_J7_KW_FULL,searchquery=taxonomy:'' build:RS-2022-10-06_06-07-58 grouping:off module:CddIpc","KW Issue Link")</f>
        <v>KW Issue Link</v>
      </c>
      <c r="O345" s="2"/>
      <c r="P345" s="2"/>
      <c r="Q345" s="2"/>
      <c r="R345" s="2"/>
      <c r="S345" s="2" t="s">
        <v>154</v>
      </c>
      <c r="T345" s="2"/>
    </row>
    <row r="346" spans="1:20" ht="120" x14ac:dyDescent="0.25">
      <c r="A346" s="2" t="s">
        <v>196</v>
      </c>
      <c r="B346" s="2" t="s">
        <v>197</v>
      </c>
      <c r="C346" s="2" t="s">
        <v>470</v>
      </c>
      <c r="D346" s="2">
        <v>8899</v>
      </c>
      <c r="E346" s="2">
        <v>329</v>
      </c>
      <c r="F346" s="2" t="s">
        <v>482</v>
      </c>
      <c r="G346" s="2" t="s">
        <v>476</v>
      </c>
      <c r="H346" s="2" t="s">
        <v>150</v>
      </c>
      <c r="I346" s="2" t="s">
        <v>123</v>
      </c>
      <c r="J346" s="2">
        <v>4</v>
      </c>
      <c r="K346" s="2" t="s">
        <v>151</v>
      </c>
      <c r="L346" s="2" t="s">
        <v>152</v>
      </c>
      <c r="M346" s="2" t="s">
        <v>153</v>
      </c>
      <c r="N346" s="2" t="str">
        <f>HYPERLINK("https://klocwork.dal.design.ti.com:443/review/insight-review.html#issuedetails_goto:problemid=8899,project=MCUSW_J7_KW_FULL,searchquery=taxonomy:'' build:RS-2022-10-06_06-07-58 grouping:off module:CddIpc","KW Issue Link")</f>
        <v>KW Issue Link</v>
      </c>
      <c r="O346" s="2"/>
      <c r="P346" s="2"/>
      <c r="Q346" s="2"/>
      <c r="R346" s="2"/>
      <c r="S346" s="2" t="s">
        <v>154</v>
      </c>
      <c r="T346" s="2"/>
    </row>
    <row r="347" spans="1:20" ht="120" x14ac:dyDescent="0.25">
      <c r="A347" s="2" t="s">
        <v>196</v>
      </c>
      <c r="B347" s="2" t="s">
        <v>197</v>
      </c>
      <c r="C347" s="2" t="s">
        <v>470</v>
      </c>
      <c r="D347" s="2">
        <v>8900</v>
      </c>
      <c r="E347" s="2">
        <v>414</v>
      </c>
      <c r="F347" s="2" t="s">
        <v>483</v>
      </c>
      <c r="G347" s="2" t="s">
        <v>478</v>
      </c>
      <c r="H347" s="2" t="s">
        <v>150</v>
      </c>
      <c r="I347" s="2" t="s">
        <v>123</v>
      </c>
      <c r="J347" s="2">
        <v>4</v>
      </c>
      <c r="K347" s="2" t="s">
        <v>151</v>
      </c>
      <c r="L347" s="2" t="s">
        <v>152</v>
      </c>
      <c r="M347" s="2" t="s">
        <v>153</v>
      </c>
      <c r="N347" s="2" t="str">
        <f>HYPERLINK("https://klocwork.dal.design.ti.com:443/review/insight-review.html#issuedetails_goto:problemid=8900,project=MCUSW_J7_KW_FULL,searchquery=taxonomy:'' build:RS-2022-10-06_06-07-58 grouping:off module:CddIpc","KW Issue Link")</f>
        <v>KW Issue Link</v>
      </c>
      <c r="O347" s="2"/>
      <c r="P347" s="2"/>
      <c r="Q347" s="2"/>
      <c r="R347" s="2"/>
      <c r="S347" s="2" t="s">
        <v>154</v>
      </c>
      <c r="T347" s="2"/>
    </row>
    <row r="348" spans="1:20" ht="120" x14ac:dyDescent="0.25">
      <c r="A348" s="2" t="s">
        <v>196</v>
      </c>
      <c r="B348" s="2" t="s">
        <v>197</v>
      </c>
      <c r="C348" s="2" t="s">
        <v>470</v>
      </c>
      <c r="D348" s="2">
        <v>8901</v>
      </c>
      <c r="E348" s="2">
        <v>416</v>
      </c>
      <c r="F348" s="2" t="s">
        <v>484</v>
      </c>
      <c r="G348" s="2" t="s">
        <v>478</v>
      </c>
      <c r="H348" s="2" t="s">
        <v>150</v>
      </c>
      <c r="I348" s="2" t="s">
        <v>123</v>
      </c>
      <c r="J348" s="2">
        <v>4</v>
      </c>
      <c r="K348" s="2" t="s">
        <v>151</v>
      </c>
      <c r="L348" s="2" t="s">
        <v>152</v>
      </c>
      <c r="M348" s="2" t="s">
        <v>153</v>
      </c>
      <c r="N348" s="2" t="str">
        <f>HYPERLINK("https://klocwork.dal.design.ti.com:443/review/insight-review.html#issuedetails_goto:problemid=8901,project=MCUSW_J7_KW_FULL,searchquery=taxonomy:'' build:RS-2022-10-06_06-07-58 grouping:off module:CddIpc","KW Issue Link")</f>
        <v>KW Issue Link</v>
      </c>
      <c r="O348" s="2"/>
      <c r="P348" s="2"/>
      <c r="Q348" s="2"/>
      <c r="R348" s="2"/>
      <c r="S348" s="2" t="s">
        <v>154</v>
      </c>
      <c r="T348" s="2"/>
    </row>
    <row r="349" spans="1:20" ht="120" x14ac:dyDescent="0.25">
      <c r="A349" s="2" t="s">
        <v>196</v>
      </c>
      <c r="B349" s="2" t="s">
        <v>197</v>
      </c>
      <c r="C349" s="2" t="s">
        <v>470</v>
      </c>
      <c r="D349" s="2">
        <v>8902</v>
      </c>
      <c r="E349" s="2">
        <v>419</v>
      </c>
      <c r="F349" s="2" t="s">
        <v>485</v>
      </c>
      <c r="G349" s="2" t="s">
        <v>478</v>
      </c>
      <c r="H349" s="2" t="s">
        <v>150</v>
      </c>
      <c r="I349" s="2" t="s">
        <v>123</v>
      </c>
      <c r="J349" s="2">
        <v>4</v>
      </c>
      <c r="K349" s="2" t="s">
        <v>151</v>
      </c>
      <c r="L349" s="2" t="s">
        <v>152</v>
      </c>
      <c r="M349" s="2" t="s">
        <v>153</v>
      </c>
      <c r="N349" s="2" t="str">
        <f>HYPERLINK("https://klocwork.dal.design.ti.com:443/review/insight-review.html#issuedetails_goto:problemid=8902,project=MCUSW_J7_KW_FULL,searchquery=taxonomy:'' build:RS-2022-10-06_06-07-58 grouping:off module:CddIpc","KW Issue Link")</f>
        <v>KW Issue Link</v>
      </c>
      <c r="O349" s="2"/>
      <c r="P349" s="2"/>
      <c r="Q349" s="2"/>
      <c r="R349" s="2"/>
      <c r="S349" s="2" t="s">
        <v>154</v>
      </c>
      <c r="T349" s="2"/>
    </row>
    <row r="350" spans="1:20" ht="120" x14ac:dyDescent="0.25">
      <c r="A350" s="2" t="s">
        <v>196</v>
      </c>
      <c r="B350" s="2" t="s">
        <v>197</v>
      </c>
      <c r="C350" s="2" t="s">
        <v>470</v>
      </c>
      <c r="D350" s="2">
        <v>8903</v>
      </c>
      <c r="E350" s="2">
        <v>422</v>
      </c>
      <c r="F350" s="2" t="s">
        <v>482</v>
      </c>
      <c r="G350" s="2" t="s">
        <v>478</v>
      </c>
      <c r="H350" s="2" t="s">
        <v>150</v>
      </c>
      <c r="I350" s="2" t="s">
        <v>123</v>
      </c>
      <c r="J350" s="2">
        <v>4</v>
      </c>
      <c r="K350" s="2" t="s">
        <v>151</v>
      </c>
      <c r="L350" s="2" t="s">
        <v>152</v>
      </c>
      <c r="M350" s="2" t="s">
        <v>153</v>
      </c>
      <c r="N350" s="2" t="str">
        <f>HYPERLINK("https://klocwork.dal.design.ti.com:443/review/insight-review.html#issuedetails_goto:problemid=8903,project=MCUSW_J7_KW_FULL,searchquery=taxonomy:'' build:RS-2022-10-06_06-07-58 grouping:off module:CddIpc","KW Issue Link")</f>
        <v>KW Issue Link</v>
      </c>
      <c r="O350" s="2"/>
      <c r="P350" s="2"/>
      <c r="Q350" s="2"/>
      <c r="R350" s="2"/>
      <c r="S350" s="2" t="s">
        <v>154</v>
      </c>
      <c r="T350" s="2"/>
    </row>
    <row r="351" spans="1:20" ht="120" x14ac:dyDescent="0.25">
      <c r="A351" s="2" t="s">
        <v>196</v>
      </c>
      <c r="B351" s="2" t="s">
        <v>197</v>
      </c>
      <c r="C351" s="2" t="s">
        <v>470</v>
      </c>
      <c r="D351" s="2">
        <v>8904</v>
      </c>
      <c r="E351" s="2">
        <v>431</v>
      </c>
      <c r="F351" s="2" t="s">
        <v>482</v>
      </c>
      <c r="G351" s="2" t="s">
        <v>478</v>
      </c>
      <c r="H351" s="2" t="s">
        <v>150</v>
      </c>
      <c r="I351" s="2" t="s">
        <v>123</v>
      </c>
      <c r="J351" s="2">
        <v>4</v>
      </c>
      <c r="K351" s="2" t="s">
        <v>151</v>
      </c>
      <c r="L351" s="2" t="s">
        <v>152</v>
      </c>
      <c r="M351" s="2" t="s">
        <v>153</v>
      </c>
      <c r="N351" s="2" t="str">
        <f>HYPERLINK("https://klocwork.dal.design.ti.com:443/review/insight-review.html#issuedetails_goto:problemid=8904,project=MCUSW_J7_KW_FULL,searchquery=taxonomy:'' build:RS-2022-10-06_06-07-58 grouping:off module:CddIpc","KW Issue Link")</f>
        <v>KW Issue Link</v>
      </c>
      <c r="O351" s="2"/>
      <c r="P351" s="2"/>
      <c r="Q351" s="2"/>
      <c r="R351" s="2"/>
      <c r="S351" s="2" t="s">
        <v>154</v>
      </c>
      <c r="T351" s="2"/>
    </row>
    <row r="352" spans="1:20" ht="120" x14ac:dyDescent="0.25">
      <c r="A352" s="2" t="s">
        <v>365</v>
      </c>
      <c r="B352" s="2" t="s">
        <v>486</v>
      </c>
      <c r="C352" s="2" t="s">
        <v>470</v>
      </c>
      <c r="D352" s="2">
        <v>8908</v>
      </c>
      <c r="E352" s="2">
        <v>243</v>
      </c>
      <c r="F352" s="2" t="s">
        <v>367</v>
      </c>
      <c r="G352" s="2" t="s">
        <v>474</v>
      </c>
      <c r="H352" s="2" t="s">
        <v>150</v>
      </c>
      <c r="I352" s="2" t="s">
        <v>123</v>
      </c>
      <c r="J352" s="2">
        <v>4</v>
      </c>
      <c r="K352" s="2" t="s">
        <v>151</v>
      </c>
      <c r="L352" s="2" t="s">
        <v>152</v>
      </c>
      <c r="M352" s="2" t="s">
        <v>153</v>
      </c>
      <c r="N352" s="2" t="str">
        <f>HYPERLINK("https://klocwork.dal.design.ti.com:443/review/insight-review.html#issuedetails_goto:problemid=8908,project=MCUSW_J7_KW_FULL,searchquery=taxonomy:'' build:RS-2022-10-06_06-07-58 grouping:off module:CddIpc","KW Issue Link")</f>
        <v>KW Issue Link</v>
      </c>
      <c r="O352" s="2"/>
      <c r="P352" s="2"/>
      <c r="Q352" s="2"/>
      <c r="R352" s="2"/>
      <c r="S352" s="2" t="s">
        <v>154</v>
      </c>
      <c r="T352" s="2"/>
    </row>
    <row r="353" spans="1:20" ht="120" x14ac:dyDescent="0.25">
      <c r="A353" s="2" t="s">
        <v>365</v>
      </c>
      <c r="B353" s="2" t="s">
        <v>486</v>
      </c>
      <c r="C353" s="2" t="s">
        <v>470</v>
      </c>
      <c r="D353" s="2">
        <v>8909</v>
      </c>
      <c r="E353" s="2">
        <v>245</v>
      </c>
      <c r="F353" s="2" t="s">
        <v>367</v>
      </c>
      <c r="G353" s="2" t="s">
        <v>474</v>
      </c>
      <c r="H353" s="2" t="s">
        <v>150</v>
      </c>
      <c r="I353" s="2" t="s">
        <v>123</v>
      </c>
      <c r="J353" s="2">
        <v>4</v>
      </c>
      <c r="K353" s="2" t="s">
        <v>151</v>
      </c>
      <c r="L353" s="2" t="s">
        <v>152</v>
      </c>
      <c r="M353" s="2" t="s">
        <v>153</v>
      </c>
      <c r="N353" s="2" t="str">
        <f>HYPERLINK("https://klocwork.dal.design.ti.com:443/review/insight-review.html#issuedetails_goto:problemid=8909,project=MCUSW_J7_KW_FULL,searchquery=taxonomy:'' build:RS-2022-10-06_06-07-58 grouping:off module:CddIpc","KW Issue Link")</f>
        <v>KW Issue Link</v>
      </c>
      <c r="O353" s="2"/>
      <c r="P353" s="2"/>
      <c r="Q353" s="2"/>
      <c r="R353" s="2"/>
      <c r="S353" s="2" t="s">
        <v>154</v>
      </c>
      <c r="T353" s="2"/>
    </row>
    <row r="354" spans="1:20" ht="120" x14ac:dyDescent="0.25">
      <c r="A354" s="2" t="s">
        <v>191</v>
      </c>
      <c r="B354" s="2" t="s">
        <v>192</v>
      </c>
      <c r="C354" s="2" t="s">
        <v>470</v>
      </c>
      <c r="D354" s="2">
        <v>8910</v>
      </c>
      <c r="E354" s="2">
        <v>243</v>
      </c>
      <c r="F354" s="2" t="s">
        <v>193</v>
      </c>
      <c r="G354" s="2" t="s">
        <v>474</v>
      </c>
      <c r="H354" s="2" t="s">
        <v>150</v>
      </c>
      <c r="I354" s="2" t="s">
        <v>123</v>
      </c>
      <c r="J354" s="2">
        <v>4</v>
      </c>
      <c r="K354" s="2" t="s">
        <v>151</v>
      </c>
      <c r="L354" s="2" t="s">
        <v>152</v>
      </c>
      <c r="M354" s="2" t="s">
        <v>153</v>
      </c>
      <c r="N354" s="2" t="str">
        <f>HYPERLINK("https://klocwork.dal.design.ti.com:443/review/insight-review.html#issuedetails_goto:problemid=8910,project=MCUSW_J7_KW_FULL,searchquery=taxonomy:'' build:RS-2022-10-06_06-07-58 grouping:off module:CddIpc","KW Issue Link")</f>
        <v>KW Issue Link</v>
      </c>
      <c r="O354" s="2"/>
      <c r="P354" s="2"/>
      <c r="Q354" s="2"/>
      <c r="R354" s="2"/>
      <c r="S354" s="2" t="s">
        <v>154</v>
      </c>
      <c r="T354" s="2"/>
    </row>
    <row r="355" spans="1:20" ht="120" x14ac:dyDescent="0.25">
      <c r="A355" s="2" t="s">
        <v>191</v>
      </c>
      <c r="B355" s="2" t="s">
        <v>192</v>
      </c>
      <c r="C355" s="2" t="s">
        <v>470</v>
      </c>
      <c r="D355" s="2">
        <v>8911</v>
      </c>
      <c r="E355" s="2">
        <v>385</v>
      </c>
      <c r="F355" s="2" t="s">
        <v>487</v>
      </c>
      <c r="G355" s="2" t="s">
        <v>488</v>
      </c>
      <c r="H355" s="2" t="s">
        <v>150</v>
      </c>
      <c r="I355" s="2" t="s">
        <v>123</v>
      </c>
      <c r="J355" s="2">
        <v>4</v>
      </c>
      <c r="K355" s="2" t="s">
        <v>151</v>
      </c>
      <c r="L355" s="2" t="s">
        <v>152</v>
      </c>
      <c r="M355" s="2" t="s">
        <v>153</v>
      </c>
      <c r="N355" s="2" t="str">
        <f>HYPERLINK("https://klocwork.dal.design.ti.com:443/review/insight-review.html#issuedetails_goto:problemid=8911,project=MCUSW_J7_KW_FULL,searchquery=taxonomy:'' build:RS-2022-10-06_06-07-58 grouping:off module:CddIpc","KW Issue Link")</f>
        <v>KW Issue Link</v>
      </c>
      <c r="O355" s="2"/>
      <c r="P355" s="2"/>
      <c r="Q355" s="2"/>
      <c r="R355" s="2"/>
      <c r="S355" s="2" t="s">
        <v>154</v>
      </c>
      <c r="T355" s="2"/>
    </row>
    <row r="356" spans="1:20" ht="120" x14ac:dyDescent="0.25">
      <c r="A356" s="2" t="s">
        <v>191</v>
      </c>
      <c r="B356" s="2" t="s">
        <v>192</v>
      </c>
      <c r="C356" s="2" t="s">
        <v>470</v>
      </c>
      <c r="D356" s="2">
        <v>8912</v>
      </c>
      <c r="E356" s="2">
        <v>414</v>
      </c>
      <c r="F356" s="2" t="s">
        <v>193</v>
      </c>
      <c r="G356" s="2" t="s">
        <v>478</v>
      </c>
      <c r="H356" s="2" t="s">
        <v>150</v>
      </c>
      <c r="I356" s="2" t="s">
        <v>123</v>
      </c>
      <c r="J356" s="2">
        <v>4</v>
      </c>
      <c r="K356" s="2" t="s">
        <v>151</v>
      </c>
      <c r="L356" s="2" t="s">
        <v>152</v>
      </c>
      <c r="M356" s="2" t="s">
        <v>153</v>
      </c>
      <c r="N356" s="2" t="str">
        <f>HYPERLINK("https://klocwork.dal.design.ti.com:443/review/insight-review.html#issuedetails_goto:problemid=8912,project=MCUSW_J7_KW_FULL,searchquery=taxonomy:'' build:RS-2022-10-06_06-07-58 grouping:off module:CddIpc","KW Issue Link")</f>
        <v>KW Issue Link</v>
      </c>
      <c r="O356" s="2"/>
      <c r="P356" s="2"/>
      <c r="Q356" s="2"/>
      <c r="R356" s="2"/>
      <c r="S356" s="2" t="s">
        <v>154</v>
      </c>
      <c r="T356" s="2"/>
    </row>
    <row r="357" spans="1:20" ht="120" x14ac:dyDescent="0.25">
      <c r="A357" s="2" t="s">
        <v>191</v>
      </c>
      <c r="B357" s="2" t="s">
        <v>192</v>
      </c>
      <c r="C357" s="2" t="s">
        <v>470</v>
      </c>
      <c r="D357" s="2">
        <v>8913</v>
      </c>
      <c r="E357" s="2">
        <v>416</v>
      </c>
      <c r="F357" s="2" t="s">
        <v>193</v>
      </c>
      <c r="G357" s="2" t="s">
        <v>478</v>
      </c>
      <c r="H357" s="2" t="s">
        <v>150</v>
      </c>
      <c r="I357" s="2" t="s">
        <v>123</v>
      </c>
      <c r="J357" s="2">
        <v>4</v>
      </c>
      <c r="K357" s="2" t="s">
        <v>151</v>
      </c>
      <c r="L357" s="2" t="s">
        <v>152</v>
      </c>
      <c r="M357" s="2" t="s">
        <v>153</v>
      </c>
      <c r="N357" s="2" t="str">
        <f>HYPERLINK("https://klocwork.dal.design.ti.com:443/review/insight-review.html#issuedetails_goto:problemid=8913,project=MCUSW_J7_KW_FULL,searchquery=taxonomy:'' build:RS-2022-10-06_06-07-58 grouping:off module:CddIpc","KW Issue Link")</f>
        <v>KW Issue Link</v>
      </c>
      <c r="O357" s="2"/>
      <c r="P357" s="2"/>
      <c r="Q357" s="2"/>
      <c r="R357" s="2"/>
      <c r="S357" s="2" t="s">
        <v>154</v>
      </c>
      <c r="T357" s="2"/>
    </row>
    <row r="358" spans="1:20" ht="120" x14ac:dyDescent="0.25">
      <c r="A358" s="2" t="s">
        <v>410</v>
      </c>
      <c r="B358" s="2" t="s">
        <v>411</v>
      </c>
      <c r="C358" s="2" t="s">
        <v>470</v>
      </c>
      <c r="D358" s="2">
        <v>8914</v>
      </c>
      <c r="E358" s="2">
        <v>254</v>
      </c>
      <c r="F358" s="2" t="s">
        <v>412</v>
      </c>
      <c r="G358" s="2" t="s">
        <v>471</v>
      </c>
      <c r="H358" s="2" t="s">
        <v>150</v>
      </c>
      <c r="I358" s="2" t="s">
        <v>88</v>
      </c>
      <c r="J358" s="2">
        <v>6</v>
      </c>
      <c r="K358" s="2" t="s">
        <v>151</v>
      </c>
      <c r="L358" s="2" t="s">
        <v>152</v>
      </c>
      <c r="M358" s="2" t="s">
        <v>158</v>
      </c>
      <c r="N358" s="2" t="str">
        <f>HYPERLINK("https://klocwork.dal.design.ti.com:443/review/insight-review.html#issuedetails_goto:problemid=8914,project=MCUSW_J7_KW_FULL,searchquery=taxonomy:'' build:RS-2022-10-06_06-07-58 grouping:off module:CddIpc","KW Issue Link")</f>
        <v>KW Issue Link</v>
      </c>
      <c r="O358" s="2" t="s">
        <v>413</v>
      </c>
      <c r="P358" s="2" t="s">
        <v>160</v>
      </c>
      <c r="Q358" s="2" t="s">
        <v>161</v>
      </c>
      <c r="R358" s="2" t="s">
        <v>414</v>
      </c>
      <c r="S358" s="2" t="s">
        <v>154</v>
      </c>
      <c r="T358" s="2"/>
    </row>
    <row r="359" spans="1:20" ht="120" x14ac:dyDescent="0.25">
      <c r="A359" s="2" t="s">
        <v>179</v>
      </c>
      <c r="B359" s="2" t="s">
        <v>180</v>
      </c>
      <c r="C359" s="2" t="s">
        <v>470</v>
      </c>
      <c r="D359" s="2">
        <v>8915</v>
      </c>
      <c r="E359" s="2">
        <v>271</v>
      </c>
      <c r="F359" s="2" t="s">
        <v>489</v>
      </c>
      <c r="G359" s="2" t="s">
        <v>476</v>
      </c>
      <c r="H359" s="2" t="s">
        <v>150</v>
      </c>
      <c r="I359" s="2" t="s">
        <v>124</v>
      </c>
      <c r="J359" s="2">
        <v>8</v>
      </c>
      <c r="K359" s="2" t="s">
        <v>151</v>
      </c>
      <c r="L359" s="2" t="s">
        <v>152</v>
      </c>
      <c r="M359" s="2" t="s">
        <v>182</v>
      </c>
      <c r="N359" s="2" t="str">
        <f>HYPERLINK("https://klocwork.dal.design.ti.com:443/review/insight-review.html#issuedetails_goto:problemid=8915,project=MCUSW_J7_KW_FULL,searchquery=taxonomy:'' build:RS-2022-10-06_06-07-58 grouping:off module:CddIpc","KW Issue Link")</f>
        <v>KW Issue Link</v>
      </c>
      <c r="O359" s="2"/>
      <c r="P359" s="2"/>
      <c r="Q359" s="2"/>
      <c r="R359" s="2"/>
      <c r="S359" s="2" t="s">
        <v>154</v>
      </c>
      <c r="T359" s="2"/>
    </row>
    <row r="360" spans="1:20" ht="120" x14ac:dyDescent="0.25">
      <c r="A360" s="2" t="s">
        <v>179</v>
      </c>
      <c r="B360" s="2" t="s">
        <v>180</v>
      </c>
      <c r="C360" s="2" t="s">
        <v>470</v>
      </c>
      <c r="D360" s="2">
        <v>8916</v>
      </c>
      <c r="E360" s="2">
        <v>398</v>
      </c>
      <c r="F360" s="2" t="s">
        <v>490</v>
      </c>
      <c r="G360" s="2" t="s">
        <v>478</v>
      </c>
      <c r="H360" s="2" t="s">
        <v>150</v>
      </c>
      <c r="I360" s="2" t="s">
        <v>124</v>
      </c>
      <c r="J360" s="2">
        <v>8</v>
      </c>
      <c r="K360" s="2" t="s">
        <v>151</v>
      </c>
      <c r="L360" s="2" t="s">
        <v>152</v>
      </c>
      <c r="M360" s="2" t="s">
        <v>182</v>
      </c>
      <c r="N360" s="2" t="str">
        <f>HYPERLINK("https://klocwork.dal.design.ti.com:443/review/insight-review.html#issuedetails_goto:problemid=8916,project=MCUSW_J7_KW_FULL,searchquery=taxonomy:'' build:RS-2022-10-06_06-07-58 grouping:off module:CddIpc","KW Issue Link")</f>
        <v>KW Issue Link</v>
      </c>
      <c r="O360" s="2"/>
      <c r="P360" s="2"/>
      <c r="Q360" s="2"/>
      <c r="R360" s="2"/>
      <c r="S360" s="2" t="s">
        <v>154</v>
      </c>
      <c r="T360" s="2"/>
    </row>
    <row r="361" spans="1:20" ht="120" x14ac:dyDescent="0.25">
      <c r="A361" s="2" t="s">
        <v>229</v>
      </c>
      <c r="B361" s="2" t="s">
        <v>230</v>
      </c>
      <c r="C361" s="2" t="s">
        <v>470</v>
      </c>
      <c r="D361" s="2">
        <v>8917</v>
      </c>
      <c r="E361" s="2">
        <v>272</v>
      </c>
      <c r="F361" s="2" t="s">
        <v>491</v>
      </c>
      <c r="G361" s="2" t="s">
        <v>476</v>
      </c>
      <c r="H361" s="2" t="s">
        <v>150</v>
      </c>
      <c r="I361" s="2" t="s">
        <v>89</v>
      </c>
      <c r="J361" s="2">
        <v>7</v>
      </c>
      <c r="K361" s="2" t="s">
        <v>151</v>
      </c>
      <c r="L361" s="2" t="s">
        <v>152</v>
      </c>
      <c r="M361" s="2" t="s">
        <v>158</v>
      </c>
      <c r="N361" s="2" t="str">
        <f>HYPERLINK("https://klocwork.dal.design.ti.com:443/review/insight-review.html#issuedetails_goto:problemid=8917,project=MCUSW_J7_KW_FULL,searchquery=taxonomy:'' build:RS-2022-10-06_06-07-58 grouping:off module:CddIpc","KW Issue Link")</f>
        <v>KW Issue Link</v>
      </c>
      <c r="O361" s="2" t="s">
        <v>233</v>
      </c>
      <c r="P361" s="2" t="s">
        <v>234</v>
      </c>
      <c r="Q361" s="2" t="s">
        <v>161</v>
      </c>
      <c r="R361" s="2" t="s">
        <v>235</v>
      </c>
      <c r="S361" s="2" t="s">
        <v>154</v>
      </c>
      <c r="T361" s="2"/>
    </row>
    <row r="362" spans="1:20" ht="120" x14ac:dyDescent="0.25">
      <c r="A362" s="2" t="s">
        <v>359</v>
      </c>
      <c r="B362" s="2" t="s">
        <v>360</v>
      </c>
      <c r="C362" s="2" t="s">
        <v>470</v>
      </c>
      <c r="D362" s="2">
        <v>8918</v>
      </c>
      <c r="E362" s="2">
        <v>280</v>
      </c>
      <c r="F362" s="2" t="s">
        <v>492</v>
      </c>
      <c r="G362" s="2" t="s">
        <v>476</v>
      </c>
      <c r="H362" s="2" t="s">
        <v>150</v>
      </c>
      <c r="I362" s="2" t="s">
        <v>123</v>
      </c>
      <c r="J362" s="2">
        <v>4</v>
      </c>
      <c r="K362" s="2" t="s">
        <v>151</v>
      </c>
      <c r="L362" s="2" t="s">
        <v>152</v>
      </c>
      <c r="M362" s="2" t="s">
        <v>153</v>
      </c>
      <c r="N362" s="2" t="str">
        <f>HYPERLINK("https://klocwork.dal.design.ti.com:443/review/insight-review.html#issuedetails_goto:problemid=8918,project=MCUSW_J7_KW_FULL,searchquery=taxonomy:'' build:RS-2022-10-06_06-07-58 grouping:off module:CddIpc","KW Issue Link")</f>
        <v>KW Issue Link</v>
      </c>
      <c r="O362" s="2"/>
      <c r="P362" s="2"/>
      <c r="Q362" s="2"/>
      <c r="R362" s="2"/>
      <c r="S362" s="2" t="s">
        <v>154</v>
      </c>
      <c r="T362" s="2"/>
    </row>
    <row r="363" spans="1:20" ht="120" x14ac:dyDescent="0.25">
      <c r="A363" s="2" t="s">
        <v>359</v>
      </c>
      <c r="B363" s="2" t="s">
        <v>360</v>
      </c>
      <c r="C363" s="2" t="s">
        <v>470</v>
      </c>
      <c r="D363" s="2">
        <v>8919</v>
      </c>
      <c r="E363" s="2">
        <v>281</v>
      </c>
      <c r="F363" s="2" t="s">
        <v>493</v>
      </c>
      <c r="G363" s="2" t="s">
        <v>476</v>
      </c>
      <c r="H363" s="2" t="s">
        <v>150</v>
      </c>
      <c r="I363" s="2" t="s">
        <v>123</v>
      </c>
      <c r="J363" s="2">
        <v>4</v>
      </c>
      <c r="K363" s="2" t="s">
        <v>151</v>
      </c>
      <c r="L363" s="2" t="s">
        <v>152</v>
      </c>
      <c r="M363" s="2" t="s">
        <v>153</v>
      </c>
      <c r="N363" s="2" t="str">
        <f>HYPERLINK("https://klocwork.dal.design.ti.com:443/review/insight-review.html#issuedetails_goto:problemid=8919,project=MCUSW_J7_KW_FULL,searchquery=taxonomy:'' build:RS-2022-10-06_06-07-58 grouping:off module:CddIpc","KW Issue Link")</f>
        <v>KW Issue Link</v>
      </c>
      <c r="O363" s="2"/>
      <c r="P363" s="2"/>
      <c r="Q363" s="2"/>
      <c r="R363" s="2"/>
      <c r="S363" s="2" t="s">
        <v>154</v>
      </c>
      <c r="T363" s="2"/>
    </row>
    <row r="364" spans="1:20" ht="120" x14ac:dyDescent="0.25">
      <c r="A364" s="2" t="s">
        <v>359</v>
      </c>
      <c r="B364" s="2" t="s">
        <v>360</v>
      </c>
      <c r="C364" s="2" t="s">
        <v>470</v>
      </c>
      <c r="D364" s="2">
        <v>8920</v>
      </c>
      <c r="E364" s="2">
        <v>282</v>
      </c>
      <c r="F364" s="2" t="s">
        <v>494</v>
      </c>
      <c r="G364" s="2" t="s">
        <v>476</v>
      </c>
      <c r="H364" s="2" t="s">
        <v>150</v>
      </c>
      <c r="I364" s="2" t="s">
        <v>123</v>
      </c>
      <c r="J364" s="2">
        <v>4</v>
      </c>
      <c r="K364" s="2" t="s">
        <v>151</v>
      </c>
      <c r="L364" s="2" t="s">
        <v>152</v>
      </c>
      <c r="M364" s="2" t="s">
        <v>153</v>
      </c>
      <c r="N364" s="2" t="str">
        <f>HYPERLINK("https://klocwork.dal.design.ti.com:443/review/insight-review.html#issuedetails_goto:problemid=8920,project=MCUSW_J7_KW_FULL,searchquery=taxonomy:'' build:RS-2022-10-06_06-07-58 grouping:off module:CddIpc","KW Issue Link")</f>
        <v>KW Issue Link</v>
      </c>
      <c r="O364" s="2"/>
      <c r="P364" s="2"/>
      <c r="Q364" s="2"/>
      <c r="R364" s="2"/>
      <c r="S364" s="2" t="s">
        <v>154</v>
      </c>
      <c r="T364" s="2"/>
    </row>
    <row r="365" spans="1:20" ht="120" x14ac:dyDescent="0.25">
      <c r="A365" s="2" t="s">
        <v>345</v>
      </c>
      <c r="B365" s="2" t="s">
        <v>346</v>
      </c>
      <c r="C365" s="2" t="s">
        <v>470</v>
      </c>
      <c r="D365" s="2">
        <v>8921</v>
      </c>
      <c r="E365" s="2">
        <v>290</v>
      </c>
      <c r="F365" s="2" t="s">
        <v>495</v>
      </c>
      <c r="G365" s="2" t="s">
        <v>476</v>
      </c>
      <c r="H365" s="2" t="s">
        <v>150</v>
      </c>
      <c r="I365" s="2" t="s">
        <v>123</v>
      </c>
      <c r="J365" s="2">
        <v>4</v>
      </c>
      <c r="K365" s="2" t="s">
        <v>151</v>
      </c>
      <c r="L365" s="2" t="s">
        <v>152</v>
      </c>
      <c r="M365" s="2" t="s">
        <v>153</v>
      </c>
      <c r="N365" s="2" t="str">
        <f>HYPERLINK("https://klocwork.dal.design.ti.com:443/review/insight-review.html#issuedetails_goto:problemid=8921,project=MCUSW_J7_KW_FULL,searchquery=taxonomy:'' build:RS-2022-10-06_06-07-58 grouping:off module:CddIpc","KW Issue Link")</f>
        <v>KW Issue Link</v>
      </c>
      <c r="O365" s="2"/>
      <c r="P365" s="2"/>
      <c r="Q365" s="2"/>
      <c r="R365" s="2"/>
      <c r="S365" s="2" t="s">
        <v>154</v>
      </c>
      <c r="T365" s="2"/>
    </row>
    <row r="366" spans="1:20" ht="120" x14ac:dyDescent="0.25">
      <c r="A366" s="2" t="s">
        <v>345</v>
      </c>
      <c r="B366" s="2" t="s">
        <v>346</v>
      </c>
      <c r="C366" s="2" t="s">
        <v>470</v>
      </c>
      <c r="D366" s="2">
        <v>8922</v>
      </c>
      <c r="E366" s="2">
        <v>406</v>
      </c>
      <c r="F366" s="2" t="s">
        <v>496</v>
      </c>
      <c r="G366" s="2" t="s">
        <v>478</v>
      </c>
      <c r="H366" s="2" t="s">
        <v>150</v>
      </c>
      <c r="I366" s="2" t="s">
        <v>123</v>
      </c>
      <c r="J366" s="2">
        <v>4</v>
      </c>
      <c r="K366" s="2" t="s">
        <v>151</v>
      </c>
      <c r="L366" s="2" t="s">
        <v>152</v>
      </c>
      <c r="M366" s="2" t="s">
        <v>153</v>
      </c>
      <c r="N366" s="2" t="str">
        <f>HYPERLINK("https://klocwork.dal.design.ti.com:443/review/insight-review.html#issuedetails_goto:problemid=8922,project=MCUSW_J7_KW_FULL,searchquery=taxonomy:'' build:RS-2022-10-06_06-07-58 grouping:off module:CddIpc","KW Issue Link")</f>
        <v>KW Issue Link</v>
      </c>
      <c r="O366" s="2"/>
      <c r="P366" s="2"/>
      <c r="Q366" s="2"/>
      <c r="R366" s="2"/>
      <c r="S366" s="2" t="s">
        <v>154</v>
      </c>
      <c r="T366" s="2"/>
    </row>
    <row r="367" spans="1:20" ht="120" x14ac:dyDescent="0.25">
      <c r="A367" s="2" t="s">
        <v>246</v>
      </c>
      <c r="B367" s="2" t="s">
        <v>192</v>
      </c>
      <c r="C367" s="2" t="s">
        <v>470</v>
      </c>
      <c r="D367" s="2">
        <v>8926</v>
      </c>
      <c r="E367" s="2">
        <v>318</v>
      </c>
      <c r="F367" s="2" t="s">
        <v>497</v>
      </c>
      <c r="G367" s="2" t="s">
        <v>476</v>
      </c>
      <c r="H367" s="2" t="s">
        <v>150</v>
      </c>
      <c r="I367" s="2" t="s">
        <v>123</v>
      </c>
      <c r="J367" s="2">
        <v>4</v>
      </c>
      <c r="K367" s="2" t="s">
        <v>151</v>
      </c>
      <c r="L367" s="2" t="s">
        <v>152</v>
      </c>
      <c r="M367" s="2" t="s">
        <v>153</v>
      </c>
      <c r="N367" s="2" t="str">
        <f>HYPERLINK("https://klocwork.dal.design.ti.com:443/review/insight-review.html#issuedetails_goto:problemid=8926,project=MCUSW_J7_KW_FULL,searchquery=taxonomy:'' build:RS-2022-10-06_06-07-58 grouping:off module:CddIpc","KW Issue Link")</f>
        <v>KW Issue Link</v>
      </c>
      <c r="O367" s="2"/>
      <c r="P367" s="2"/>
      <c r="Q367" s="2"/>
      <c r="R367" s="2"/>
      <c r="S367" s="2" t="s">
        <v>154</v>
      </c>
      <c r="T367" s="2"/>
    </row>
    <row r="368" spans="1:20" ht="120" x14ac:dyDescent="0.25">
      <c r="A368" s="2" t="s">
        <v>246</v>
      </c>
      <c r="B368" s="2" t="s">
        <v>247</v>
      </c>
      <c r="C368" s="2" t="s">
        <v>470</v>
      </c>
      <c r="D368" s="2">
        <v>8927</v>
      </c>
      <c r="E368" s="2">
        <v>410</v>
      </c>
      <c r="F368" s="2" t="s">
        <v>498</v>
      </c>
      <c r="G368" s="2" t="s">
        <v>478</v>
      </c>
      <c r="H368" s="2" t="s">
        <v>150</v>
      </c>
      <c r="I368" s="2" t="s">
        <v>123</v>
      </c>
      <c r="J368" s="2">
        <v>4</v>
      </c>
      <c r="K368" s="2" t="s">
        <v>151</v>
      </c>
      <c r="L368" s="2" t="s">
        <v>152</v>
      </c>
      <c r="M368" s="2" t="s">
        <v>153</v>
      </c>
      <c r="N368" s="2" t="str">
        <f>HYPERLINK("https://klocwork.dal.design.ti.com:443/review/insight-review.html#issuedetails_goto:problemid=8927,project=MCUSW_J7_KW_FULL,searchquery=taxonomy:'' build:RS-2022-10-06_06-07-58 grouping:off module:CddIpc","KW Issue Link")</f>
        <v>KW Issue Link</v>
      </c>
      <c r="O368" s="2"/>
      <c r="P368" s="2"/>
      <c r="Q368" s="2"/>
      <c r="R368" s="2"/>
      <c r="S368" s="2" t="s">
        <v>154</v>
      </c>
      <c r="T368" s="2"/>
    </row>
    <row r="369" spans="1:20" ht="120" x14ac:dyDescent="0.25">
      <c r="A369" s="2" t="s">
        <v>242</v>
      </c>
      <c r="B369" s="2" t="s">
        <v>243</v>
      </c>
      <c r="C369" s="2" t="s">
        <v>470</v>
      </c>
      <c r="D369" s="2">
        <v>8931</v>
      </c>
      <c r="E369" s="2">
        <v>321</v>
      </c>
      <c r="F369" s="2" t="s">
        <v>393</v>
      </c>
      <c r="G369" s="2" t="s">
        <v>476</v>
      </c>
      <c r="H369" s="2" t="s">
        <v>150</v>
      </c>
      <c r="I369" s="2" t="s">
        <v>123</v>
      </c>
      <c r="J369" s="2">
        <v>4</v>
      </c>
      <c r="K369" s="2" t="s">
        <v>151</v>
      </c>
      <c r="L369" s="2" t="s">
        <v>152</v>
      </c>
      <c r="M369" s="2" t="s">
        <v>153</v>
      </c>
      <c r="N369" s="2" t="str">
        <f>HYPERLINK("https://klocwork.dal.design.ti.com:443/review/insight-review.html#issuedetails_goto:problemid=8931,project=MCUSW_J7_KW_FULL,searchquery=taxonomy:'' build:RS-2022-10-06_06-07-58 grouping:off module:CddIpc","KW Issue Link")</f>
        <v>KW Issue Link</v>
      </c>
      <c r="O369" s="2"/>
      <c r="P369" s="2"/>
      <c r="Q369" s="2"/>
      <c r="R369" s="2"/>
      <c r="S369" s="2" t="s">
        <v>154</v>
      </c>
      <c r="T369" s="2"/>
    </row>
    <row r="370" spans="1:20" ht="120" x14ac:dyDescent="0.25">
      <c r="A370" s="2" t="s">
        <v>499</v>
      </c>
      <c r="B370" s="2" t="s">
        <v>500</v>
      </c>
      <c r="C370" s="2" t="s">
        <v>470</v>
      </c>
      <c r="D370" s="2">
        <v>8932</v>
      </c>
      <c r="E370" s="2">
        <v>332</v>
      </c>
      <c r="F370" s="2" t="s">
        <v>501</v>
      </c>
      <c r="G370" s="2" t="s">
        <v>476</v>
      </c>
      <c r="H370" s="2" t="s">
        <v>150</v>
      </c>
      <c r="I370" s="2" t="s">
        <v>88</v>
      </c>
      <c r="J370" s="2">
        <v>6</v>
      </c>
      <c r="K370" s="2" t="s">
        <v>151</v>
      </c>
      <c r="L370" s="2" t="s">
        <v>152</v>
      </c>
      <c r="M370" s="2" t="s">
        <v>153</v>
      </c>
      <c r="N370" s="2" t="str">
        <f>HYPERLINK("https://klocwork.dal.design.ti.com:443/review/insight-review.html#issuedetails_goto:problemid=8932,project=MCUSW_J7_KW_FULL,searchquery=taxonomy:'' build:RS-2022-10-06_06-07-58 grouping:off module:CddIpc","KW Issue Link")</f>
        <v>KW Issue Link</v>
      </c>
      <c r="O370" s="2" t="s">
        <v>502</v>
      </c>
      <c r="P370" s="2" t="s">
        <v>281</v>
      </c>
      <c r="Q370" s="2" t="s">
        <v>219</v>
      </c>
      <c r="R370" s="2" t="s">
        <v>282</v>
      </c>
      <c r="S370" s="2" t="s">
        <v>154</v>
      </c>
      <c r="T370" s="2" t="s">
        <v>503</v>
      </c>
    </row>
    <row r="371" spans="1:20" ht="120" x14ac:dyDescent="0.25">
      <c r="A371" s="2" t="s">
        <v>445</v>
      </c>
      <c r="B371" s="2" t="s">
        <v>223</v>
      </c>
      <c r="C371" s="2" t="s">
        <v>470</v>
      </c>
      <c r="D371" s="2">
        <v>8933</v>
      </c>
      <c r="E371" s="2">
        <v>336</v>
      </c>
      <c r="F371" s="2" t="s">
        <v>504</v>
      </c>
      <c r="G371" s="2" t="s">
        <v>476</v>
      </c>
      <c r="H371" s="2" t="s">
        <v>150</v>
      </c>
      <c r="I371" s="2" t="s">
        <v>89</v>
      </c>
      <c r="J371" s="2">
        <v>7</v>
      </c>
      <c r="K371" s="2" t="s">
        <v>151</v>
      </c>
      <c r="L371" s="2" t="s">
        <v>152</v>
      </c>
      <c r="M371" s="2" t="s">
        <v>158</v>
      </c>
      <c r="N371" s="2" t="str">
        <f>HYPERLINK("https://klocwork.dal.design.ti.com:443/review/insight-review.html#issuedetails_goto:problemid=8933,project=MCUSW_J7_KW_FULL,searchquery=taxonomy:'' build:RS-2022-10-06_06-07-58 grouping:off module:CddIpc","KW Issue Link")</f>
        <v>KW Issue Link</v>
      </c>
      <c r="O371" s="2" t="s">
        <v>447</v>
      </c>
      <c r="P371" s="2" t="s">
        <v>267</v>
      </c>
      <c r="Q371" s="2" t="s">
        <v>161</v>
      </c>
      <c r="R371" s="2" t="s">
        <v>448</v>
      </c>
      <c r="S371" s="2" t="s">
        <v>154</v>
      </c>
      <c r="T371" s="2"/>
    </row>
    <row r="372" spans="1:20" ht="120" x14ac:dyDescent="0.25">
      <c r="A372" s="2" t="s">
        <v>445</v>
      </c>
      <c r="B372" s="2" t="s">
        <v>223</v>
      </c>
      <c r="C372" s="2" t="s">
        <v>470</v>
      </c>
      <c r="D372" s="2">
        <v>8934</v>
      </c>
      <c r="E372" s="2">
        <v>363</v>
      </c>
      <c r="F372" s="2" t="s">
        <v>504</v>
      </c>
      <c r="G372" s="2" t="s">
        <v>476</v>
      </c>
      <c r="H372" s="2" t="s">
        <v>150</v>
      </c>
      <c r="I372" s="2" t="s">
        <v>89</v>
      </c>
      <c r="J372" s="2">
        <v>7</v>
      </c>
      <c r="K372" s="2" t="s">
        <v>151</v>
      </c>
      <c r="L372" s="2" t="s">
        <v>152</v>
      </c>
      <c r="M372" s="2" t="s">
        <v>158</v>
      </c>
      <c r="N372" s="2" t="str">
        <f>HYPERLINK("https://klocwork.dal.design.ti.com:443/review/insight-review.html#issuedetails_goto:problemid=8934,project=MCUSW_J7_KW_FULL,searchquery=taxonomy:'' build:RS-2022-10-06_06-07-58 grouping:off module:CddIpc","KW Issue Link")</f>
        <v>KW Issue Link</v>
      </c>
      <c r="O372" s="2" t="s">
        <v>447</v>
      </c>
      <c r="P372" s="2" t="s">
        <v>267</v>
      </c>
      <c r="Q372" s="2" t="s">
        <v>161</v>
      </c>
      <c r="R372" s="2" t="s">
        <v>448</v>
      </c>
      <c r="S372" s="2" t="s">
        <v>154</v>
      </c>
      <c r="T372" s="2"/>
    </row>
    <row r="373" spans="1:20" ht="120" x14ac:dyDescent="0.25">
      <c r="A373" s="2" t="s">
        <v>445</v>
      </c>
      <c r="B373" s="2" t="s">
        <v>223</v>
      </c>
      <c r="C373" s="2" t="s">
        <v>470</v>
      </c>
      <c r="D373" s="2">
        <v>8935</v>
      </c>
      <c r="E373" s="2">
        <v>405</v>
      </c>
      <c r="F373" s="2" t="s">
        <v>504</v>
      </c>
      <c r="G373" s="2" t="s">
        <v>478</v>
      </c>
      <c r="H373" s="2" t="s">
        <v>150</v>
      </c>
      <c r="I373" s="2" t="s">
        <v>89</v>
      </c>
      <c r="J373" s="2">
        <v>7</v>
      </c>
      <c r="K373" s="2" t="s">
        <v>151</v>
      </c>
      <c r="L373" s="2" t="s">
        <v>152</v>
      </c>
      <c r="M373" s="2" t="s">
        <v>158</v>
      </c>
      <c r="N373" s="2" t="str">
        <f>HYPERLINK("https://klocwork.dal.design.ti.com:443/review/insight-review.html#issuedetails_goto:problemid=8935,project=MCUSW_J7_KW_FULL,searchquery=taxonomy:'' build:RS-2022-10-06_06-07-58 grouping:off module:CddIpc","KW Issue Link")</f>
        <v>KW Issue Link</v>
      </c>
      <c r="O373" s="2" t="s">
        <v>447</v>
      </c>
      <c r="P373" s="2" t="s">
        <v>267</v>
      </c>
      <c r="Q373" s="2" t="s">
        <v>161</v>
      </c>
      <c r="R373" s="2" t="s">
        <v>448</v>
      </c>
      <c r="S373" s="2" t="s">
        <v>154</v>
      </c>
      <c r="T373" s="2"/>
    </row>
    <row r="374" spans="1:20" ht="120" x14ac:dyDescent="0.25">
      <c r="A374" s="2" t="s">
        <v>222</v>
      </c>
      <c r="B374" s="2" t="s">
        <v>223</v>
      </c>
      <c r="C374" s="2" t="s">
        <v>470</v>
      </c>
      <c r="D374" s="2">
        <v>8936</v>
      </c>
      <c r="E374" s="2">
        <v>336</v>
      </c>
      <c r="F374" s="2" t="s">
        <v>224</v>
      </c>
      <c r="G374" s="2" t="s">
        <v>476</v>
      </c>
      <c r="H374" s="2" t="s">
        <v>150</v>
      </c>
      <c r="I374" s="2" t="s">
        <v>123</v>
      </c>
      <c r="J374" s="2">
        <v>4</v>
      </c>
      <c r="K374" s="2" t="s">
        <v>151</v>
      </c>
      <c r="L374" s="2" t="s">
        <v>152</v>
      </c>
      <c r="M374" s="2" t="s">
        <v>153</v>
      </c>
      <c r="N374" s="2" t="str">
        <f>HYPERLINK("https://klocwork.dal.design.ti.com:443/review/insight-review.html#issuedetails_goto:problemid=8936,project=MCUSW_J7_KW_FULL,searchquery=taxonomy:'' build:RS-2022-10-06_06-07-58 grouping:off module:CddIpc","KW Issue Link")</f>
        <v>KW Issue Link</v>
      </c>
      <c r="O374" s="2"/>
      <c r="P374" s="2"/>
      <c r="Q374" s="2"/>
      <c r="R374" s="2"/>
      <c r="S374" s="2" t="s">
        <v>154</v>
      </c>
      <c r="T374" s="2"/>
    </row>
    <row r="375" spans="1:20" ht="120" x14ac:dyDescent="0.25">
      <c r="A375" s="2" t="s">
        <v>222</v>
      </c>
      <c r="B375" s="2" t="s">
        <v>223</v>
      </c>
      <c r="C375" s="2" t="s">
        <v>470</v>
      </c>
      <c r="D375" s="2">
        <v>8937</v>
      </c>
      <c r="E375" s="2">
        <v>363</v>
      </c>
      <c r="F375" s="2" t="s">
        <v>224</v>
      </c>
      <c r="G375" s="2" t="s">
        <v>476</v>
      </c>
      <c r="H375" s="2" t="s">
        <v>150</v>
      </c>
      <c r="I375" s="2" t="s">
        <v>123</v>
      </c>
      <c r="J375" s="2">
        <v>4</v>
      </c>
      <c r="K375" s="2" t="s">
        <v>151</v>
      </c>
      <c r="L375" s="2" t="s">
        <v>152</v>
      </c>
      <c r="M375" s="2" t="s">
        <v>153</v>
      </c>
      <c r="N375" s="2" t="str">
        <f>HYPERLINK("https://klocwork.dal.design.ti.com:443/review/insight-review.html#issuedetails_goto:problemid=8937,project=MCUSW_J7_KW_FULL,searchquery=taxonomy:'' build:RS-2022-10-06_06-07-58 grouping:off module:CddIpc","KW Issue Link")</f>
        <v>KW Issue Link</v>
      </c>
      <c r="O375" s="2"/>
      <c r="P375" s="2"/>
      <c r="Q375" s="2"/>
      <c r="R375" s="2"/>
      <c r="S375" s="2" t="s">
        <v>154</v>
      </c>
      <c r="T375" s="2"/>
    </row>
    <row r="376" spans="1:20" ht="120" x14ac:dyDescent="0.25">
      <c r="A376" s="2" t="s">
        <v>222</v>
      </c>
      <c r="B376" s="2" t="s">
        <v>223</v>
      </c>
      <c r="C376" s="2" t="s">
        <v>470</v>
      </c>
      <c r="D376" s="2">
        <v>8938</v>
      </c>
      <c r="E376" s="2">
        <v>405</v>
      </c>
      <c r="F376" s="2" t="s">
        <v>224</v>
      </c>
      <c r="G376" s="2" t="s">
        <v>478</v>
      </c>
      <c r="H376" s="2" t="s">
        <v>150</v>
      </c>
      <c r="I376" s="2" t="s">
        <v>123</v>
      </c>
      <c r="J376" s="2">
        <v>4</v>
      </c>
      <c r="K376" s="2" t="s">
        <v>151</v>
      </c>
      <c r="L376" s="2" t="s">
        <v>152</v>
      </c>
      <c r="M376" s="2" t="s">
        <v>153</v>
      </c>
      <c r="N376" s="2" t="str">
        <f>HYPERLINK("https://klocwork.dal.design.ti.com:443/review/insight-review.html#issuedetails_goto:problemid=8938,project=MCUSW_J7_KW_FULL,searchquery=taxonomy:'' build:RS-2022-10-06_06-07-58 grouping:off module:CddIpc","KW Issue Link")</f>
        <v>KW Issue Link</v>
      </c>
      <c r="O376" s="2"/>
      <c r="P376" s="2"/>
      <c r="Q376" s="2"/>
      <c r="R376" s="2"/>
      <c r="S376" s="2" t="s">
        <v>154</v>
      </c>
      <c r="T376" s="2"/>
    </row>
    <row r="377" spans="1:20" ht="120" x14ac:dyDescent="0.25">
      <c r="A377" s="2" t="s">
        <v>206</v>
      </c>
      <c r="B377" s="2" t="s">
        <v>207</v>
      </c>
      <c r="C377" s="2" t="s">
        <v>470</v>
      </c>
      <c r="D377" s="2">
        <v>8939</v>
      </c>
      <c r="E377" s="2">
        <v>359</v>
      </c>
      <c r="F377" s="2" t="s">
        <v>340</v>
      </c>
      <c r="G377" s="2" t="s">
        <v>476</v>
      </c>
      <c r="H377" s="2" t="s">
        <v>150</v>
      </c>
      <c r="I377" s="2" t="s">
        <v>88</v>
      </c>
      <c r="J377" s="2">
        <v>6</v>
      </c>
      <c r="K377" s="2" t="s">
        <v>151</v>
      </c>
      <c r="L377" s="2" t="s">
        <v>152</v>
      </c>
      <c r="M377" s="2" t="s">
        <v>158</v>
      </c>
      <c r="N377" s="2" t="str">
        <f>HYPERLINK("https://klocwork.dal.design.ti.com:443/review/insight-review.html#issuedetails_goto:problemid=8939,project=MCUSW_J7_KW_FULL,searchquery=taxonomy:'' build:RS-2022-10-06_06-07-58 grouping:off module:CddIpc","KW Issue Link")</f>
        <v>KW Issue Link</v>
      </c>
      <c r="O377" s="2" t="s">
        <v>209</v>
      </c>
      <c r="P377" s="2" t="s">
        <v>210</v>
      </c>
      <c r="Q377" s="2" t="s">
        <v>211</v>
      </c>
      <c r="R377" s="2" t="s">
        <v>212</v>
      </c>
      <c r="S377" s="2" t="s">
        <v>154</v>
      </c>
      <c r="T377" s="2" t="s">
        <v>213</v>
      </c>
    </row>
    <row r="378" spans="1:20" ht="120" x14ac:dyDescent="0.25">
      <c r="A378" s="2" t="s">
        <v>269</v>
      </c>
      <c r="B378" s="2" t="s">
        <v>270</v>
      </c>
      <c r="C378" s="2" t="s">
        <v>470</v>
      </c>
      <c r="D378" s="2">
        <v>8940</v>
      </c>
      <c r="E378" s="2">
        <v>359</v>
      </c>
      <c r="F378" s="2" t="s">
        <v>505</v>
      </c>
      <c r="G378" s="2" t="s">
        <v>476</v>
      </c>
      <c r="H378" s="2" t="s">
        <v>150</v>
      </c>
      <c r="I378" s="2" t="s">
        <v>123</v>
      </c>
      <c r="J378" s="2">
        <v>4</v>
      </c>
      <c r="K378" s="2" t="s">
        <v>151</v>
      </c>
      <c r="L378" s="2" t="s">
        <v>152</v>
      </c>
      <c r="M378" s="2" t="s">
        <v>153</v>
      </c>
      <c r="N378" s="2" t="str">
        <f>HYPERLINK("https://klocwork.dal.design.ti.com:443/review/insight-review.html#issuedetails_goto:problemid=8940,project=MCUSW_J7_KW_FULL,searchquery=taxonomy:'' build:RS-2022-10-06_06-07-58 grouping:off module:CddIpc","KW Issue Link")</f>
        <v>KW Issue Link</v>
      </c>
      <c r="O378" s="2"/>
      <c r="P378" s="2"/>
      <c r="Q378" s="2"/>
      <c r="R378" s="2"/>
      <c r="S378" s="2" t="s">
        <v>154</v>
      </c>
      <c r="T378" s="2"/>
    </row>
    <row r="379" spans="1:20" ht="120" x14ac:dyDescent="0.25">
      <c r="A379" s="2" t="s">
        <v>155</v>
      </c>
      <c r="B379" s="2" t="s">
        <v>156</v>
      </c>
      <c r="C379" s="2" t="s">
        <v>506</v>
      </c>
      <c r="D379" s="2">
        <v>8942</v>
      </c>
      <c r="E379" s="2">
        <v>91</v>
      </c>
      <c r="F379" s="2" t="s">
        <v>157</v>
      </c>
      <c r="G379" s="2" t="s">
        <v>507</v>
      </c>
      <c r="H379" s="2" t="s">
        <v>150</v>
      </c>
      <c r="I379" s="2" t="s">
        <v>89</v>
      </c>
      <c r="J379" s="2">
        <v>7</v>
      </c>
      <c r="K379" s="2" t="s">
        <v>151</v>
      </c>
      <c r="L379" s="2" t="s">
        <v>152</v>
      </c>
      <c r="M379" s="2" t="s">
        <v>158</v>
      </c>
      <c r="N379" s="2" t="str">
        <f>HYPERLINK("https://klocwork.dal.design.ti.com:443/review/insight-review.html#issuedetails_goto:problemid=8942,project=MCUSW_J7_KW_FULL,searchquery=taxonomy:'' build:RS-2022-10-06_06-07-58 grouping:off module:CddIpc","KW Issue Link")</f>
        <v>KW Issue Link</v>
      </c>
      <c r="O379" s="2" t="s">
        <v>159</v>
      </c>
      <c r="P379" s="2" t="s">
        <v>160</v>
      </c>
      <c r="Q379" s="2" t="s">
        <v>161</v>
      </c>
      <c r="R379" s="2" t="s">
        <v>162</v>
      </c>
      <c r="S379" s="2" t="s">
        <v>154</v>
      </c>
      <c r="T379" s="2"/>
    </row>
    <row r="380" spans="1:20" ht="120" x14ac:dyDescent="0.25">
      <c r="A380" s="2" t="s">
        <v>145</v>
      </c>
      <c r="B380" s="2" t="s">
        <v>146</v>
      </c>
      <c r="C380" s="2" t="s">
        <v>508</v>
      </c>
      <c r="D380" s="2">
        <v>8943</v>
      </c>
      <c r="E380" s="2">
        <v>1</v>
      </c>
      <c r="F380" s="2" t="s">
        <v>148</v>
      </c>
      <c r="G380" s="2" t="s">
        <v>509</v>
      </c>
      <c r="H380" s="2" t="s">
        <v>150</v>
      </c>
      <c r="I380" s="2" t="s">
        <v>123</v>
      </c>
      <c r="J380" s="2">
        <v>4</v>
      </c>
      <c r="K380" s="2" t="s">
        <v>151</v>
      </c>
      <c r="L380" s="2" t="s">
        <v>152</v>
      </c>
      <c r="M380" s="2" t="s">
        <v>153</v>
      </c>
      <c r="N380" s="2" t="str">
        <f>HYPERLINK("https://klocwork.dal.design.ti.com:443/review/insight-review.html#issuedetails_goto:problemid=8943,project=MCUSW_J7_KW_FULL,searchquery=taxonomy:'' build:RS-2022-10-06_06-07-58 grouping:off module:CddIpc","KW Issue Link")</f>
        <v>KW Issue Link</v>
      </c>
      <c r="O380" s="2"/>
      <c r="P380" s="2"/>
      <c r="Q380" s="2"/>
      <c r="R380" s="2"/>
      <c r="S380" s="2" t="s">
        <v>154</v>
      </c>
      <c r="T380" s="2"/>
    </row>
    <row r="381" spans="1:20" ht="120" x14ac:dyDescent="0.25">
      <c r="A381" s="2" t="s">
        <v>295</v>
      </c>
      <c r="B381" s="2" t="s">
        <v>296</v>
      </c>
      <c r="C381" s="2" t="s">
        <v>508</v>
      </c>
      <c r="D381" s="2">
        <v>8944</v>
      </c>
      <c r="E381" s="2">
        <v>54</v>
      </c>
      <c r="F381" s="2" t="s">
        <v>298</v>
      </c>
      <c r="G381" s="2" t="s">
        <v>509</v>
      </c>
      <c r="H381" s="2" t="s">
        <v>150</v>
      </c>
      <c r="I381" s="2" t="s">
        <v>123</v>
      </c>
      <c r="J381" s="2">
        <v>4</v>
      </c>
      <c r="K381" s="2" t="s">
        <v>151</v>
      </c>
      <c r="L381" s="2" t="s">
        <v>152</v>
      </c>
      <c r="M381" s="2" t="s">
        <v>153</v>
      </c>
      <c r="N381" s="2" t="str">
        <f>HYPERLINK("https://klocwork.dal.design.ti.com:443/review/insight-review.html#issuedetails_goto:problemid=8944,project=MCUSW_J7_KW_FULL,searchquery=taxonomy:'' build:RS-2022-10-06_06-07-58 grouping:off module:CddIpc","KW Issue Link")</f>
        <v>KW Issue Link</v>
      </c>
      <c r="O381" s="2"/>
      <c r="P381" s="2"/>
      <c r="Q381" s="2"/>
      <c r="R381" s="2"/>
      <c r="S381" s="2" t="s">
        <v>154</v>
      </c>
      <c r="T381" s="2"/>
    </row>
    <row r="382" spans="1:20" ht="120" x14ac:dyDescent="0.25">
      <c r="A382" s="2" t="s">
        <v>415</v>
      </c>
      <c r="B382" s="2" t="s">
        <v>416</v>
      </c>
      <c r="C382" s="2" t="s">
        <v>508</v>
      </c>
      <c r="D382" s="2">
        <v>8956</v>
      </c>
      <c r="E382" s="2">
        <v>89</v>
      </c>
      <c r="F382" s="2" t="s">
        <v>424</v>
      </c>
      <c r="G382" s="2" t="s">
        <v>510</v>
      </c>
      <c r="H382" s="2" t="s">
        <v>150</v>
      </c>
      <c r="I382" s="2" t="s">
        <v>88</v>
      </c>
      <c r="J382" s="2">
        <v>6</v>
      </c>
      <c r="K382" s="2" t="s">
        <v>151</v>
      </c>
      <c r="L382" s="2" t="s">
        <v>152</v>
      </c>
      <c r="M382" s="2" t="s">
        <v>158</v>
      </c>
      <c r="N382" s="2" t="str">
        <f>HYPERLINK("https://klocwork.dal.design.ti.com:443/review/insight-review.html#issuedetails_goto:problemid=8956,project=MCUSW_J7_KW_FULL,searchquery=taxonomy:'' build:RS-2022-10-06_06-07-58 grouping:off module:CddIpc","KW Issue Link")</f>
        <v>KW Issue Link</v>
      </c>
      <c r="O382" s="2" t="s">
        <v>418</v>
      </c>
      <c r="P382" s="2" t="s">
        <v>234</v>
      </c>
      <c r="Q382" s="2" t="s">
        <v>161</v>
      </c>
      <c r="R382" s="2" t="s">
        <v>419</v>
      </c>
      <c r="S382" s="2" t="s">
        <v>154</v>
      </c>
      <c r="T382" s="2"/>
    </row>
    <row r="383" spans="1:20" ht="120" x14ac:dyDescent="0.25">
      <c r="A383" s="2" t="s">
        <v>415</v>
      </c>
      <c r="B383" s="2" t="s">
        <v>416</v>
      </c>
      <c r="C383" s="2" t="s">
        <v>508</v>
      </c>
      <c r="D383" s="2">
        <v>8957</v>
      </c>
      <c r="E383" s="2">
        <v>105</v>
      </c>
      <c r="F383" s="2" t="s">
        <v>424</v>
      </c>
      <c r="G383" s="2" t="s">
        <v>510</v>
      </c>
      <c r="H383" s="2" t="s">
        <v>150</v>
      </c>
      <c r="I383" s="2" t="s">
        <v>88</v>
      </c>
      <c r="J383" s="2">
        <v>6</v>
      </c>
      <c r="K383" s="2" t="s">
        <v>151</v>
      </c>
      <c r="L383" s="2" t="s">
        <v>152</v>
      </c>
      <c r="M383" s="2" t="s">
        <v>158</v>
      </c>
      <c r="N383" s="2" t="str">
        <f>HYPERLINK("https://klocwork.dal.design.ti.com:443/review/insight-review.html#issuedetails_goto:problemid=8957,project=MCUSW_J7_KW_FULL,searchquery=taxonomy:'' build:RS-2022-10-06_06-07-58 grouping:off module:CddIpc","KW Issue Link")</f>
        <v>KW Issue Link</v>
      </c>
      <c r="O383" s="2" t="s">
        <v>418</v>
      </c>
      <c r="P383" s="2" t="s">
        <v>234</v>
      </c>
      <c r="Q383" s="2" t="s">
        <v>161</v>
      </c>
      <c r="R383" s="2" t="s">
        <v>419</v>
      </c>
      <c r="S383" s="2" t="s">
        <v>154</v>
      </c>
      <c r="T383" s="2"/>
    </row>
    <row r="384" spans="1:20" ht="120" x14ac:dyDescent="0.25">
      <c r="A384" s="2" t="s">
        <v>226</v>
      </c>
      <c r="B384" s="2" t="s">
        <v>227</v>
      </c>
      <c r="C384" s="2" t="s">
        <v>508</v>
      </c>
      <c r="D384" s="2">
        <v>8958</v>
      </c>
      <c r="E384" s="2">
        <v>89</v>
      </c>
      <c r="F384" s="2" t="s">
        <v>432</v>
      </c>
      <c r="G384" s="2" t="s">
        <v>510</v>
      </c>
      <c r="H384" s="2" t="s">
        <v>150</v>
      </c>
      <c r="I384" s="2" t="s">
        <v>123</v>
      </c>
      <c r="J384" s="2">
        <v>4</v>
      </c>
      <c r="K384" s="2" t="s">
        <v>151</v>
      </c>
      <c r="L384" s="2" t="s">
        <v>152</v>
      </c>
      <c r="M384" s="2" t="s">
        <v>153</v>
      </c>
      <c r="N384" s="2" t="str">
        <f>HYPERLINK("https://klocwork.dal.design.ti.com:443/review/insight-review.html#issuedetails_goto:problemid=8958,project=MCUSW_J7_KW_FULL,searchquery=taxonomy:'' build:RS-2022-10-06_06-07-58 grouping:off module:CddIpc","KW Issue Link")</f>
        <v>KW Issue Link</v>
      </c>
      <c r="O384" s="2"/>
      <c r="P384" s="2"/>
      <c r="Q384" s="2"/>
      <c r="R384" s="2"/>
      <c r="S384" s="2" t="s">
        <v>154</v>
      </c>
      <c r="T384" s="2"/>
    </row>
    <row r="385" spans="1:20" ht="120" x14ac:dyDescent="0.25">
      <c r="A385" s="2" t="s">
        <v>226</v>
      </c>
      <c r="B385" s="2" t="s">
        <v>227</v>
      </c>
      <c r="C385" s="2" t="s">
        <v>508</v>
      </c>
      <c r="D385" s="2">
        <v>8959</v>
      </c>
      <c r="E385" s="2">
        <v>105</v>
      </c>
      <c r="F385" s="2" t="s">
        <v>432</v>
      </c>
      <c r="G385" s="2" t="s">
        <v>510</v>
      </c>
      <c r="H385" s="2" t="s">
        <v>150</v>
      </c>
      <c r="I385" s="2" t="s">
        <v>123</v>
      </c>
      <c r="J385" s="2">
        <v>4</v>
      </c>
      <c r="K385" s="2" t="s">
        <v>151</v>
      </c>
      <c r="L385" s="2" t="s">
        <v>152</v>
      </c>
      <c r="M385" s="2" t="s">
        <v>153</v>
      </c>
      <c r="N385" s="2" t="str">
        <f>HYPERLINK("https://klocwork.dal.design.ti.com:443/review/insight-review.html#issuedetails_goto:problemid=8959,project=MCUSW_J7_KW_FULL,searchquery=taxonomy:'' build:RS-2022-10-06_06-07-58 grouping:off module:CddIpc","KW Issue Link")</f>
        <v>KW Issue Link</v>
      </c>
      <c r="O385" s="2"/>
      <c r="P385" s="2"/>
      <c r="Q385" s="2"/>
      <c r="R385" s="2"/>
      <c r="S385" s="2" t="s">
        <v>154</v>
      </c>
      <c r="T385" s="2"/>
    </row>
    <row r="386" spans="1:20" ht="120" x14ac:dyDescent="0.25">
      <c r="A386" s="2" t="s">
        <v>246</v>
      </c>
      <c r="B386" s="2" t="s">
        <v>247</v>
      </c>
      <c r="C386" s="2" t="s">
        <v>508</v>
      </c>
      <c r="D386" s="2">
        <v>8962</v>
      </c>
      <c r="E386" s="2">
        <v>96</v>
      </c>
      <c r="F386" s="2" t="s">
        <v>511</v>
      </c>
      <c r="G386" s="2" t="s">
        <v>510</v>
      </c>
      <c r="H386" s="2" t="s">
        <v>150</v>
      </c>
      <c r="I386" s="2" t="s">
        <v>123</v>
      </c>
      <c r="J386" s="2">
        <v>4</v>
      </c>
      <c r="K386" s="2" t="s">
        <v>151</v>
      </c>
      <c r="L386" s="2" t="s">
        <v>152</v>
      </c>
      <c r="M386" s="2" t="s">
        <v>153</v>
      </c>
      <c r="N386" s="2" t="str">
        <f>HYPERLINK("https://klocwork.dal.design.ti.com:443/review/insight-review.html#issuedetails_goto:problemid=8962,project=MCUSW_J7_KW_FULL,searchquery=taxonomy:'' build:RS-2022-10-06_06-07-58 grouping:off module:CddIpc","KW Issue Link")</f>
        <v>KW Issue Link</v>
      </c>
      <c r="O386" s="2"/>
      <c r="P386" s="2"/>
      <c r="Q386" s="2"/>
      <c r="R386" s="2"/>
      <c r="S386" s="2" t="s">
        <v>154</v>
      </c>
      <c r="T386" s="2"/>
    </row>
    <row r="387" spans="1:20" ht="120" x14ac:dyDescent="0.25">
      <c r="A387" s="2" t="s">
        <v>246</v>
      </c>
      <c r="B387" s="2" t="s">
        <v>247</v>
      </c>
      <c r="C387" s="2" t="s">
        <v>508</v>
      </c>
      <c r="D387" s="2">
        <v>8963</v>
      </c>
      <c r="E387" s="2">
        <v>132</v>
      </c>
      <c r="F387" s="2" t="s">
        <v>512</v>
      </c>
      <c r="G387" s="2" t="s">
        <v>513</v>
      </c>
      <c r="H387" s="2" t="s">
        <v>150</v>
      </c>
      <c r="I387" s="2" t="s">
        <v>123</v>
      </c>
      <c r="J387" s="2">
        <v>4</v>
      </c>
      <c r="K387" s="2" t="s">
        <v>151</v>
      </c>
      <c r="L387" s="2" t="s">
        <v>152</v>
      </c>
      <c r="M387" s="2" t="s">
        <v>153</v>
      </c>
      <c r="N387" s="2" t="str">
        <f>HYPERLINK("https://klocwork.dal.design.ti.com:443/review/insight-review.html#issuedetails_goto:problemid=8963,project=MCUSW_J7_KW_FULL,searchquery=taxonomy:'' build:RS-2022-10-06_06-07-58 grouping:off module:CddIpc","KW Issue Link")</f>
        <v>KW Issue Link</v>
      </c>
      <c r="O387" s="2"/>
      <c r="P387" s="2"/>
      <c r="Q387" s="2"/>
      <c r="R387" s="2"/>
      <c r="S387" s="2" t="s">
        <v>154</v>
      </c>
      <c r="T387" s="2"/>
    </row>
    <row r="388" spans="1:20" ht="120" x14ac:dyDescent="0.25">
      <c r="A388" s="2" t="s">
        <v>246</v>
      </c>
      <c r="B388" s="2" t="s">
        <v>247</v>
      </c>
      <c r="C388" s="2" t="s">
        <v>508</v>
      </c>
      <c r="D388" s="2">
        <v>8964</v>
      </c>
      <c r="E388" s="2">
        <v>162</v>
      </c>
      <c r="F388" s="2" t="s">
        <v>512</v>
      </c>
      <c r="G388" s="2" t="s">
        <v>514</v>
      </c>
      <c r="H388" s="2" t="s">
        <v>150</v>
      </c>
      <c r="I388" s="2" t="s">
        <v>123</v>
      </c>
      <c r="J388" s="2">
        <v>4</v>
      </c>
      <c r="K388" s="2" t="s">
        <v>151</v>
      </c>
      <c r="L388" s="2" t="s">
        <v>152</v>
      </c>
      <c r="M388" s="2" t="s">
        <v>153</v>
      </c>
      <c r="N388" s="2" t="str">
        <f>HYPERLINK("https://klocwork.dal.design.ti.com:443/review/insight-review.html#issuedetails_goto:problemid=8964,project=MCUSW_J7_KW_FULL,searchquery=taxonomy:'' build:RS-2022-10-06_06-07-58 grouping:off module:CddIpc","KW Issue Link")</f>
        <v>KW Issue Link</v>
      </c>
      <c r="O388" s="2"/>
      <c r="P388" s="2"/>
      <c r="Q388" s="2"/>
      <c r="R388" s="2"/>
      <c r="S388" s="2" t="s">
        <v>154</v>
      </c>
      <c r="T388" s="2"/>
    </row>
    <row r="389" spans="1:20" ht="120" x14ac:dyDescent="0.25">
      <c r="A389" s="2" t="s">
        <v>179</v>
      </c>
      <c r="B389" s="2" t="s">
        <v>180</v>
      </c>
      <c r="C389" s="2" t="s">
        <v>508</v>
      </c>
      <c r="D389" s="2">
        <v>8971</v>
      </c>
      <c r="E389" s="2">
        <v>144</v>
      </c>
      <c r="F389" s="2" t="s">
        <v>515</v>
      </c>
      <c r="G389" s="2" t="s">
        <v>514</v>
      </c>
      <c r="H389" s="2" t="s">
        <v>150</v>
      </c>
      <c r="I389" s="2" t="s">
        <v>124</v>
      </c>
      <c r="J389" s="2">
        <v>8</v>
      </c>
      <c r="K389" s="2" t="s">
        <v>151</v>
      </c>
      <c r="L389" s="2" t="s">
        <v>152</v>
      </c>
      <c r="M389" s="2" t="s">
        <v>182</v>
      </c>
      <c r="N389" s="2" t="str">
        <f>HYPERLINK("https://klocwork.dal.design.ti.com:443/review/insight-review.html#issuedetails_goto:problemid=8971,project=MCUSW_J7_KW_FULL,searchquery=taxonomy:'' build:RS-2022-10-06_06-07-58 grouping:off module:CddIpc","KW Issue Link")</f>
        <v>KW Issue Link</v>
      </c>
      <c r="O389" s="2"/>
      <c r="P389" s="2"/>
      <c r="Q389" s="2"/>
      <c r="R389" s="2"/>
      <c r="S389" s="2" t="s">
        <v>154</v>
      </c>
      <c r="T389" s="2"/>
    </row>
    <row r="390" spans="1:20" ht="120" x14ac:dyDescent="0.25">
      <c r="A390" s="2" t="s">
        <v>222</v>
      </c>
      <c r="B390" s="2" t="s">
        <v>223</v>
      </c>
      <c r="C390" s="2" t="s">
        <v>508</v>
      </c>
      <c r="D390" s="2">
        <v>8973</v>
      </c>
      <c r="E390" s="2">
        <v>166</v>
      </c>
      <c r="F390" s="2" t="s">
        <v>224</v>
      </c>
      <c r="G390" s="2" t="s">
        <v>514</v>
      </c>
      <c r="H390" s="2" t="s">
        <v>150</v>
      </c>
      <c r="I390" s="2" t="s">
        <v>123</v>
      </c>
      <c r="J390" s="2">
        <v>4</v>
      </c>
      <c r="K390" s="2" t="s">
        <v>151</v>
      </c>
      <c r="L390" s="2" t="s">
        <v>152</v>
      </c>
      <c r="M390" s="2" t="s">
        <v>153</v>
      </c>
      <c r="N390" s="2" t="str">
        <f>HYPERLINK("https://klocwork.dal.design.ti.com:443/review/insight-review.html#issuedetails_goto:problemid=8973,project=MCUSW_J7_KW_FULL,searchquery=taxonomy:'' build:RS-2022-10-06_06-07-58 grouping:off module:CddIpc","KW Issue Link")</f>
        <v>KW Issue Link</v>
      </c>
      <c r="O390" s="2"/>
      <c r="P390" s="2"/>
      <c r="Q390" s="2"/>
      <c r="R390" s="2"/>
      <c r="S390" s="2" t="s">
        <v>154</v>
      </c>
      <c r="T390" s="2"/>
    </row>
    <row r="391" spans="1:20" ht="120" x14ac:dyDescent="0.25">
      <c r="A391" s="2" t="s">
        <v>222</v>
      </c>
      <c r="B391" s="2" t="s">
        <v>223</v>
      </c>
      <c r="C391" s="2" t="s">
        <v>508</v>
      </c>
      <c r="D391" s="2">
        <v>8974</v>
      </c>
      <c r="E391" s="2">
        <v>178</v>
      </c>
      <c r="F391" s="2" t="s">
        <v>224</v>
      </c>
      <c r="G391" s="2" t="s">
        <v>516</v>
      </c>
      <c r="H391" s="2" t="s">
        <v>150</v>
      </c>
      <c r="I391" s="2" t="s">
        <v>123</v>
      </c>
      <c r="J391" s="2">
        <v>4</v>
      </c>
      <c r="K391" s="2" t="s">
        <v>151</v>
      </c>
      <c r="L391" s="2" t="s">
        <v>152</v>
      </c>
      <c r="M391" s="2" t="s">
        <v>153</v>
      </c>
      <c r="N391" s="2" t="str">
        <f>HYPERLINK("https://klocwork.dal.design.ti.com:443/review/insight-review.html#issuedetails_goto:problemid=8974,project=MCUSW_J7_KW_FULL,searchquery=taxonomy:'' build:RS-2022-10-06_06-07-58 grouping:off module:CddIpc","KW Issue Link")</f>
        <v>KW Issue Link</v>
      </c>
      <c r="O391" s="2"/>
      <c r="P391" s="2"/>
      <c r="Q391" s="2"/>
      <c r="R391" s="2"/>
      <c r="S391" s="2" t="s">
        <v>154</v>
      </c>
      <c r="T391" s="2"/>
    </row>
    <row r="392" spans="1:20" ht="120" x14ac:dyDescent="0.25">
      <c r="A392" s="2" t="s">
        <v>302</v>
      </c>
      <c r="B392" s="2" t="s">
        <v>303</v>
      </c>
      <c r="C392" s="2" t="s">
        <v>517</v>
      </c>
      <c r="D392" s="2">
        <v>8975</v>
      </c>
      <c r="E392" s="2">
        <v>1</v>
      </c>
      <c r="F392" s="2" t="s">
        <v>518</v>
      </c>
      <c r="G392" s="2" t="s">
        <v>519</v>
      </c>
      <c r="H392" s="2" t="s">
        <v>150</v>
      </c>
      <c r="I392" s="2" t="s">
        <v>123</v>
      </c>
      <c r="J392" s="2">
        <v>4</v>
      </c>
      <c r="K392" s="2" t="s">
        <v>151</v>
      </c>
      <c r="L392" s="2" t="s">
        <v>152</v>
      </c>
      <c r="M392" s="2" t="s">
        <v>153</v>
      </c>
      <c r="N392" s="2" t="str">
        <f>HYPERLINK("https://klocwork.dal.design.ti.com:443/review/insight-review.html#issuedetails_goto:problemid=8975,project=MCUSW_J7_KW_FULL,searchquery=taxonomy:'' build:RS-2022-10-06_06-07-58 grouping:off module:CddIpc","KW Issue Link")</f>
        <v>KW Issue Link</v>
      </c>
      <c r="O392" s="2"/>
      <c r="P392" s="2"/>
      <c r="Q392" s="2"/>
      <c r="R392" s="2"/>
      <c r="S392" s="2" t="s">
        <v>154</v>
      </c>
      <c r="T392" s="2"/>
    </row>
    <row r="393" spans="1:20" ht="120" x14ac:dyDescent="0.25">
      <c r="A393" s="2" t="s">
        <v>145</v>
      </c>
      <c r="B393" s="2" t="s">
        <v>146</v>
      </c>
      <c r="C393" s="2" t="s">
        <v>517</v>
      </c>
      <c r="D393" s="2">
        <v>8976</v>
      </c>
      <c r="E393" s="2">
        <v>1</v>
      </c>
      <c r="F393" s="2" t="s">
        <v>148</v>
      </c>
      <c r="G393" s="2" t="s">
        <v>519</v>
      </c>
      <c r="H393" s="2" t="s">
        <v>150</v>
      </c>
      <c r="I393" s="2" t="s">
        <v>123</v>
      </c>
      <c r="J393" s="2">
        <v>4</v>
      </c>
      <c r="K393" s="2" t="s">
        <v>151</v>
      </c>
      <c r="L393" s="2" t="s">
        <v>152</v>
      </c>
      <c r="M393" s="2" t="s">
        <v>153</v>
      </c>
      <c r="N393" s="2" t="str">
        <f>HYPERLINK("https://klocwork.dal.design.ti.com:443/review/insight-review.html#issuedetails_goto:problemid=8976,project=MCUSW_J7_KW_FULL,searchquery=taxonomy:'' build:RS-2022-10-06_06-07-58 grouping:off module:CddIpc","KW Issue Link")</f>
        <v>KW Issue Link</v>
      </c>
      <c r="O393" s="2"/>
      <c r="P393" s="2"/>
      <c r="Q393" s="2"/>
      <c r="R393" s="2"/>
      <c r="S393" s="2" t="s">
        <v>154</v>
      </c>
      <c r="T393" s="2"/>
    </row>
    <row r="394" spans="1:20" ht="120" x14ac:dyDescent="0.25">
      <c r="A394" s="2" t="s">
        <v>269</v>
      </c>
      <c r="B394" s="2" t="s">
        <v>270</v>
      </c>
      <c r="C394" s="2" t="s">
        <v>517</v>
      </c>
      <c r="D394" s="2">
        <v>8983</v>
      </c>
      <c r="E394" s="2">
        <v>147</v>
      </c>
      <c r="F394" s="2" t="s">
        <v>520</v>
      </c>
      <c r="G394" s="2" t="s">
        <v>521</v>
      </c>
      <c r="H394" s="2" t="s">
        <v>150</v>
      </c>
      <c r="I394" s="2" t="s">
        <v>123</v>
      </c>
      <c r="J394" s="2">
        <v>4</v>
      </c>
      <c r="K394" s="2" t="s">
        <v>151</v>
      </c>
      <c r="L394" s="2" t="s">
        <v>152</v>
      </c>
      <c r="M394" s="2" t="s">
        <v>153</v>
      </c>
      <c r="N394" s="2" t="str">
        <f>HYPERLINK("https://klocwork.dal.design.ti.com:443/review/insight-review.html#issuedetails_goto:problemid=8983,project=MCUSW_J7_KW_FULL,searchquery=taxonomy:'' build:RS-2022-10-06_06-07-58 grouping:off module:CddIpc","KW Issue Link")</f>
        <v>KW Issue Link</v>
      </c>
      <c r="O394" s="2"/>
      <c r="P394" s="2"/>
      <c r="Q394" s="2"/>
      <c r="R394" s="2"/>
      <c r="S394" s="2" t="s">
        <v>154</v>
      </c>
      <c r="T394" s="2"/>
    </row>
    <row r="395" spans="1:20" ht="120" x14ac:dyDescent="0.25">
      <c r="A395" s="2" t="s">
        <v>246</v>
      </c>
      <c r="B395" s="2" t="s">
        <v>247</v>
      </c>
      <c r="C395" s="2" t="s">
        <v>517</v>
      </c>
      <c r="D395" s="2">
        <v>8985</v>
      </c>
      <c r="E395" s="2">
        <v>115</v>
      </c>
      <c r="F395" s="2" t="s">
        <v>522</v>
      </c>
      <c r="G395" s="2" t="s">
        <v>523</v>
      </c>
      <c r="H395" s="2" t="s">
        <v>150</v>
      </c>
      <c r="I395" s="2" t="s">
        <v>123</v>
      </c>
      <c r="J395" s="2">
        <v>4</v>
      </c>
      <c r="K395" s="2" t="s">
        <v>151</v>
      </c>
      <c r="L395" s="2" t="s">
        <v>152</v>
      </c>
      <c r="M395" s="2" t="s">
        <v>153</v>
      </c>
      <c r="N395" s="2" t="str">
        <f>HYPERLINK("https://klocwork.dal.design.ti.com:443/review/insight-review.html#issuedetails_goto:problemid=8985,project=MCUSW_J7_KW_FULL,searchquery=taxonomy:'' build:RS-2022-10-06_06-07-58 grouping:off module:CddIpc","KW Issue Link")</f>
        <v>KW Issue Link</v>
      </c>
      <c r="O395" s="2"/>
      <c r="P395" s="2"/>
      <c r="Q395" s="2"/>
      <c r="R395" s="2"/>
      <c r="S395" s="2" t="s">
        <v>154</v>
      </c>
      <c r="T395" s="2"/>
    </row>
    <row r="396" spans="1:20" ht="120" x14ac:dyDescent="0.25">
      <c r="A396" s="2" t="s">
        <v>246</v>
      </c>
      <c r="B396" s="2" t="s">
        <v>247</v>
      </c>
      <c r="C396" s="2" t="s">
        <v>517</v>
      </c>
      <c r="D396" s="2">
        <v>8986</v>
      </c>
      <c r="E396" s="2">
        <v>134</v>
      </c>
      <c r="F396" s="2" t="s">
        <v>522</v>
      </c>
      <c r="G396" s="2" t="s">
        <v>524</v>
      </c>
      <c r="H396" s="2" t="s">
        <v>150</v>
      </c>
      <c r="I396" s="2" t="s">
        <v>123</v>
      </c>
      <c r="J396" s="2">
        <v>4</v>
      </c>
      <c r="K396" s="2" t="s">
        <v>151</v>
      </c>
      <c r="L396" s="2" t="s">
        <v>152</v>
      </c>
      <c r="M396" s="2" t="s">
        <v>153</v>
      </c>
      <c r="N396" s="2" t="str">
        <f>HYPERLINK("https://klocwork.dal.design.ti.com:443/review/insight-review.html#issuedetails_goto:problemid=8986,project=MCUSW_J7_KW_FULL,searchquery=taxonomy:'' build:RS-2022-10-06_06-07-58 grouping:off module:CddIpc","KW Issue Link")</f>
        <v>KW Issue Link</v>
      </c>
      <c r="O396" s="2"/>
      <c r="P396" s="2"/>
      <c r="Q396" s="2"/>
      <c r="R396" s="2"/>
      <c r="S396" s="2" t="s">
        <v>154</v>
      </c>
      <c r="T396" s="2"/>
    </row>
    <row r="397" spans="1:20" ht="120" x14ac:dyDescent="0.25">
      <c r="A397" s="2" t="s">
        <v>214</v>
      </c>
      <c r="B397" s="2" t="s">
        <v>215</v>
      </c>
      <c r="C397" s="2" t="s">
        <v>517</v>
      </c>
      <c r="D397" s="2">
        <v>8992</v>
      </c>
      <c r="E397" s="2">
        <v>155</v>
      </c>
      <c r="F397" s="2" t="s">
        <v>216</v>
      </c>
      <c r="G397" s="2" t="s">
        <v>525</v>
      </c>
      <c r="H397" s="2" t="s">
        <v>150</v>
      </c>
      <c r="I397" s="2" t="s">
        <v>88</v>
      </c>
      <c r="J397" s="2">
        <v>6</v>
      </c>
      <c r="K397" s="2" t="s">
        <v>151</v>
      </c>
      <c r="L397" s="2" t="s">
        <v>152</v>
      </c>
      <c r="M397" s="2" t="s">
        <v>158</v>
      </c>
      <c r="N397" s="2" t="str">
        <f>HYPERLINK("https://klocwork.dal.design.ti.com:443/review/insight-review.html#issuedetails_goto:problemid=8992,project=MCUSW_J7_KW_FULL,searchquery=taxonomy:'' build:RS-2022-10-06_06-07-58 grouping:off module:CddIpc","KW Issue Link")</f>
        <v>KW Issue Link</v>
      </c>
      <c r="O397" s="2" t="s">
        <v>217</v>
      </c>
      <c r="P397" s="2" t="s">
        <v>218</v>
      </c>
      <c r="Q397" s="2" t="s">
        <v>219</v>
      </c>
      <c r="R397" s="2" t="s">
        <v>220</v>
      </c>
      <c r="S397" s="2" t="s">
        <v>154</v>
      </c>
      <c r="T397" s="2" t="s">
        <v>221</v>
      </c>
    </row>
    <row r="398" spans="1:20" ht="120" x14ac:dyDescent="0.25">
      <c r="A398" s="2" t="s">
        <v>145</v>
      </c>
      <c r="B398" s="2" t="s">
        <v>146</v>
      </c>
      <c r="C398" s="2" t="s">
        <v>526</v>
      </c>
      <c r="D398" s="2">
        <v>9017</v>
      </c>
      <c r="E398" s="2">
        <v>1</v>
      </c>
      <c r="F398" s="2" t="s">
        <v>148</v>
      </c>
      <c r="G398" s="2" t="s">
        <v>527</v>
      </c>
      <c r="H398" s="2" t="s">
        <v>150</v>
      </c>
      <c r="I398" s="2" t="s">
        <v>123</v>
      </c>
      <c r="J398" s="2">
        <v>4</v>
      </c>
      <c r="K398" s="2" t="s">
        <v>151</v>
      </c>
      <c r="L398" s="2" t="s">
        <v>152</v>
      </c>
      <c r="M398" s="2" t="s">
        <v>153</v>
      </c>
      <c r="N398" s="2" t="str">
        <f>HYPERLINK("https://klocwork.dal.design.ti.com:443/review/insight-review.html#issuedetails_goto:problemid=9017,project=MCUSW_J7_KW_FULL,searchquery=taxonomy:'' build:RS-2022-10-06_06-07-58 grouping:off module:CddIpc","KW Issue Link")</f>
        <v>KW Issue Link</v>
      </c>
      <c r="O398" s="2"/>
      <c r="P398" s="2"/>
      <c r="Q398" s="2"/>
      <c r="R398" s="2"/>
      <c r="S398" s="2" t="s">
        <v>154</v>
      </c>
      <c r="T398" s="2"/>
    </row>
    <row r="399" spans="1:20" ht="120" x14ac:dyDescent="0.25">
      <c r="A399" s="2" t="s">
        <v>258</v>
      </c>
      <c r="B399" s="2" t="s">
        <v>259</v>
      </c>
      <c r="C399" s="2" t="s">
        <v>526</v>
      </c>
      <c r="D399" s="2">
        <v>9018</v>
      </c>
      <c r="E399" s="2">
        <v>84</v>
      </c>
      <c r="F399" s="2" t="s">
        <v>528</v>
      </c>
      <c r="G399" s="2" t="s">
        <v>527</v>
      </c>
      <c r="H399" s="2" t="s">
        <v>150</v>
      </c>
      <c r="I399" s="2" t="s">
        <v>89</v>
      </c>
      <c r="J399" s="2">
        <v>7</v>
      </c>
      <c r="K399" s="2" t="s">
        <v>151</v>
      </c>
      <c r="L399" s="2" t="s">
        <v>152</v>
      </c>
      <c r="M399" s="2" t="s">
        <v>158</v>
      </c>
      <c r="N399" s="2" t="str">
        <f>HYPERLINK("https://klocwork.dal.design.ti.com:443/review/insight-review.html#issuedetails_goto:problemid=9018,project=MCUSW_J7_KW_FULL,searchquery=taxonomy:'' build:RS-2022-10-06_06-07-58 grouping:off module:CddIpc","KW Issue Link")</f>
        <v>KW Issue Link</v>
      </c>
      <c r="O399" s="2" t="s">
        <v>261</v>
      </c>
      <c r="P399" s="2" t="s">
        <v>204</v>
      </c>
      <c r="Q399" s="2" t="s">
        <v>161</v>
      </c>
      <c r="R399" s="2" t="s">
        <v>262</v>
      </c>
      <c r="S399" s="2" t="s">
        <v>154</v>
      </c>
      <c r="T399" s="2"/>
    </row>
    <row r="400" spans="1:20" ht="120" x14ac:dyDescent="0.25">
      <c r="A400" s="2" t="s">
        <v>258</v>
      </c>
      <c r="B400" s="2" t="s">
        <v>259</v>
      </c>
      <c r="C400" s="2" t="s">
        <v>526</v>
      </c>
      <c r="D400" s="2">
        <v>9019</v>
      </c>
      <c r="E400" s="2">
        <v>112</v>
      </c>
      <c r="F400" s="2" t="s">
        <v>529</v>
      </c>
      <c r="G400" s="2" t="s">
        <v>527</v>
      </c>
      <c r="H400" s="2" t="s">
        <v>150</v>
      </c>
      <c r="I400" s="2" t="s">
        <v>89</v>
      </c>
      <c r="J400" s="2">
        <v>7</v>
      </c>
      <c r="K400" s="2" t="s">
        <v>151</v>
      </c>
      <c r="L400" s="2" t="s">
        <v>152</v>
      </c>
      <c r="M400" s="2" t="s">
        <v>158</v>
      </c>
      <c r="N400" s="2" t="str">
        <f>HYPERLINK("https://klocwork.dal.design.ti.com:443/review/insight-review.html#issuedetails_goto:problemid=9019,project=MCUSW_J7_KW_FULL,searchquery=taxonomy:'' build:RS-2022-10-06_06-07-58 grouping:off module:CddIpc","KW Issue Link")</f>
        <v>KW Issue Link</v>
      </c>
      <c r="O400" s="2" t="s">
        <v>261</v>
      </c>
      <c r="P400" s="2" t="s">
        <v>204</v>
      </c>
      <c r="Q400" s="2" t="s">
        <v>161</v>
      </c>
      <c r="R400" s="2" t="s">
        <v>262</v>
      </c>
      <c r="S400" s="2" t="s">
        <v>154</v>
      </c>
      <c r="T400" s="2"/>
    </row>
    <row r="401" spans="1:20" ht="120" x14ac:dyDescent="0.25">
      <c r="A401" s="2" t="s">
        <v>258</v>
      </c>
      <c r="B401" s="2" t="s">
        <v>259</v>
      </c>
      <c r="C401" s="2" t="s">
        <v>526</v>
      </c>
      <c r="D401" s="2">
        <v>9020</v>
      </c>
      <c r="E401" s="2">
        <v>152</v>
      </c>
      <c r="F401" s="2" t="s">
        <v>529</v>
      </c>
      <c r="G401" s="2" t="s">
        <v>527</v>
      </c>
      <c r="H401" s="2" t="s">
        <v>150</v>
      </c>
      <c r="I401" s="2" t="s">
        <v>89</v>
      </c>
      <c r="J401" s="2">
        <v>7</v>
      </c>
      <c r="K401" s="2" t="s">
        <v>151</v>
      </c>
      <c r="L401" s="2" t="s">
        <v>152</v>
      </c>
      <c r="M401" s="2" t="s">
        <v>158</v>
      </c>
      <c r="N401" s="2" t="str">
        <f>HYPERLINK("https://klocwork.dal.design.ti.com:443/review/insight-review.html#issuedetails_goto:problemid=9020,project=MCUSW_J7_KW_FULL,searchquery=taxonomy:'' build:RS-2022-10-06_06-07-58 grouping:off module:CddIpc","KW Issue Link")</f>
        <v>KW Issue Link</v>
      </c>
      <c r="O401" s="2" t="s">
        <v>261</v>
      </c>
      <c r="P401" s="2" t="s">
        <v>204</v>
      </c>
      <c r="Q401" s="2" t="s">
        <v>161</v>
      </c>
      <c r="R401" s="2" t="s">
        <v>262</v>
      </c>
      <c r="S401" s="2" t="s">
        <v>154</v>
      </c>
      <c r="T401" s="2"/>
    </row>
    <row r="402" spans="1:20" ht="120" x14ac:dyDescent="0.25">
      <c r="A402" s="2" t="s">
        <v>258</v>
      </c>
      <c r="B402" s="2" t="s">
        <v>259</v>
      </c>
      <c r="C402" s="2" t="s">
        <v>526</v>
      </c>
      <c r="D402" s="2">
        <v>9021</v>
      </c>
      <c r="E402" s="2">
        <v>165</v>
      </c>
      <c r="F402" s="2" t="s">
        <v>530</v>
      </c>
      <c r="G402" s="2" t="s">
        <v>527</v>
      </c>
      <c r="H402" s="2" t="s">
        <v>150</v>
      </c>
      <c r="I402" s="2" t="s">
        <v>89</v>
      </c>
      <c r="J402" s="2">
        <v>7</v>
      </c>
      <c r="K402" s="2" t="s">
        <v>151</v>
      </c>
      <c r="L402" s="2" t="s">
        <v>152</v>
      </c>
      <c r="M402" s="2" t="s">
        <v>158</v>
      </c>
      <c r="N402" s="2" t="str">
        <f>HYPERLINK("https://klocwork.dal.design.ti.com:443/review/insight-review.html#issuedetails_goto:problemid=9021,project=MCUSW_J7_KW_FULL,searchquery=taxonomy:'' build:RS-2022-10-06_06-07-58 grouping:off module:CddIpc","KW Issue Link")</f>
        <v>KW Issue Link</v>
      </c>
      <c r="O402" s="2" t="s">
        <v>261</v>
      </c>
      <c r="P402" s="2" t="s">
        <v>204</v>
      </c>
      <c r="Q402" s="2" t="s">
        <v>161</v>
      </c>
      <c r="R402" s="2" t="s">
        <v>262</v>
      </c>
      <c r="S402" s="2" t="s">
        <v>154</v>
      </c>
      <c r="T402" s="2"/>
    </row>
    <row r="403" spans="1:20" ht="120" x14ac:dyDescent="0.25">
      <c r="A403" s="2" t="s">
        <v>258</v>
      </c>
      <c r="B403" s="2" t="s">
        <v>259</v>
      </c>
      <c r="C403" s="2" t="s">
        <v>526</v>
      </c>
      <c r="D403" s="2">
        <v>9022</v>
      </c>
      <c r="E403" s="2">
        <v>176</v>
      </c>
      <c r="F403" s="2" t="s">
        <v>530</v>
      </c>
      <c r="G403" s="2" t="s">
        <v>527</v>
      </c>
      <c r="H403" s="2" t="s">
        <v>150</v>
      </c>
      <c r="I403" s="2" t="s">
        <v>89</v>
      </c>
      <c r="J403" s="2">
        <v>7</v>
      </c>
      <c r="K403" s="2" t="s">
        <v>151</v>
      </c>
      <c r="L403" s="2" t="s">
        <v>152</v>
      </c>
      <c r="M403" s="2" t="s">
        <v>158</v>
      </c>
      <c r="N403" s="2" t="str">
        <f>HYPERLINK("https://klocwork.dal.design.ti.com:443/review/insight-review.html#issuedetails_goto:problemid=9022,project=MCUSW_J7_KW_FULL,searchquery=taxonomy:'' build:RS-2022-10-06_06-07-58 grouping:off module:CddIpc","KW Issue Link")</f>
        <v>KW Issue Link</v>
      </c>
      <c r="O403" s="2" t="s">
        <v>261</v>
      </c>
      <c r="P403" s="2" t="s">
        <v>204</v>
      </c>
      <c r="Q403" s="2" t="s">
        <v>161</v>
      </c>
      <c r="R403" s="2" t="s">
        <v>262</v>
      </c>
      <c r="S403" s="2" t="s">
        <v>154</v>
      </c>
      <c r="T403" s="2"/>
    </row>
    <row r="404" spans="1:20" ht="120" x14ac:dyDescent="0.25">
      <c r="A404" s="2" t="s">
        <v>258</v>
      </c>
      <c r="B404" s="2" t="s">
        <v>259</v>
      </c>
      <c r="C404" s="2" t="s">
        <v>526</v>
      </c>
      <c r="D404" s="2">
        <v>9023</v>
      </c>
      <c r="E404" s="2">
        <v>212</v>
      </c>
      <c r="F404" s="2" t="s">
        <v>531</v>
      </c>
      <c r="G404" s="2" t="s">
        <v>527</v>
      </c>
      <c r="H404" s="2" t="s">
        <v>150</v>
      </c>
      <c r="I404" s="2" t="s">
        <v>89</v>
      </c>
      <c r="J404" s="2">
        <v>7</v>
      </c>
      <c r="K404" s="2" t="s">
        <v>151</v>
      </c>
      <c r="L404" s="2" t="s">
        <v>152</v>
      </c>
      <c r="M404" s="2" t="s">
        <v>158</v>
      </c>
      <c r="N404" s="2" t="str">
        <f>HYPERLINK("https://klocwork.dal.design.ti.com:443/review/insight-review.html#issuedetails_goto:problemid=9023,project=MCUSW_J7_KW_FULL,searchquery=taxonomy:'' build:RS-2022-10-06_06-07-58 grouping:off module:CddIpc","KW Issue Link")</f>
        <v>KW Issue Link</v>
      </c>
      <c r="O404" s="2" t="s">
        <v>261</v>
      </c>
      <c r="P404" s="2" t="s">
        <v>204</v>
      </c>
      <c r="Q404" s="2" t="s">
        <v>161</v>
      </c>
      <c r="R404" s="2" t="s">
        <v>262</v>
      </c>
      <c r="S404" s="2" t="s">
        <v>154</v>
      </c>
      <c r="T404" s="2"/>
    </row>
    <row r="405" spans="1:20" ht="120" x14ac:dyDescent="0.25">
      <c r="A405" s="2" t="s">
        <v>359</v>
      </c>
      <c r="B405" s="2" t="s">
        <v>360</v>
      </c>
      <c r="C405" s="2" t="s">
        <v>526</v>
      </c>
      <c r="D405" s="2">
        <v>9024</v>
      </c>
      <c r="E405" s="2">
        <v>98</v>
      </c>
      <c r="F405" s="2" t="s">
        <v>532</v>
      </c>
      <c r="G405" s="2" t="s">
        <v>533</v>
      </c>
      <c r="H405" s="2" t="s">
        <v>150</v>
      </c>
      <c r="I405" s="2" t="s">
        <v>123</v>
      </c>
      <c r="J405" s="2">
        <v>4</v>
      </c>
      <c r="K405" s="2" t="s">
        <v>151</v>
      </c>
      <c r="L405" s="2" t="s">
        <v>152</v>
      </c>
      <c r="M405" s="2" t="s">
        <v>153</v>
      </c>
      <c r="N405" s="2" t="str">
        <f>HYPERLINK("https://klocwork.dal.design.ti.com:443/review/insight-review.html#issuedetails_goto:problemid=9024,project=MCUSW_J7_KW_FULL,searchquery=taxonomy:'' build:RS-2022-10-06_06-07-58 grouping:off module:CddIpc","KW Issue Link")</f>
        <v>KW Issue Link</v>
      </c>
      <c r="O405" s="2"/>
      <c r="P405" s="2"/>
      <c r="Q405" s="2"/>
      <c r="R405" s="2"/>
      <c r="S405" s="2" t="s">
        <v>154</v>
      </c>
      <c r="T405" s="2"/>
    </row>
    <row r="406" spans="1:20" ht="120" x14ac:dyDescent="0.25">
      <c r="A406" s="2" t="s">
        <v>359</v>
      </c>
      <c r="B406" s="2" t="s">
        <v>360</v>
      </c>
      <c r="C406" s="2" t="s">
        <v>526</v>
      </c>
      <c r="D406" s="2">
        <v>9025</v>
      </c>
      <c r="E406" s="2">
        <v>99</v>
      </c>
      <c r="F406" s="2" t="s">
        <v>534</v>
      </c>
      <c r="G406" s="2" t="s">
        <v>533</v>
      </c>
      <c r="H406" s="2" t="s">
        <v>150</v>
      </c>
      <c r="I406" s="2" t="s">
        <v>123</v>
      </c>
      <c r="J406" s="2">
        <v>4</v>
      </c>
      <c r="K406" s="2" t="s">
        <v>151</v>
      </c>
      <c r="L406" s="2" t="s">
        <v>152</v>
      </c>
      <c r="M406" s="2" t="s">
        <v>153</v>
      </c>
      <c r="N406" s="2" t="str">
        <f>HYPERLINK("https://klocwork.dal.design.ti.com:443/review/insight-review.html#issuedetails_goto:problemid=9025,project=MCUSW_J7_KW_FULL,searchquery=taxonomy:'' build:RS-2022-10-06_06-07-58 grouping:off module:CddIpc","KW Issue Link")</f>
        <v>KW Issue Link</v>
      </c>
      <c r="O406" s="2"/>
      <c r="P406" s="2"/>
      <c r="Q406" s="2"/>
      <c r="R406" s="2"/>
      <c r="S406" s="2" t="s">
        <v>154</v>
      </c>
      <c r="T406" s="2"/>
    </row>
    <row r="407" spans="1:20" ht="120" x14ac:dyDescent="0.25">
      <c r="A407" s="2" t="s">
        <v>359</v>
      </c>
      <c r="B407" s="2" t="s">
        <v>360</v>
      </c>
      <c r="C407" s="2" t="s">
        <v>526</v>
      </c>
      <c r="D407" s="2">
        <v>9026</v>
      </c>
      <c r="E407" s="2">
        <v>141</v>
      </c>
      <c r="F407" s="2" t="s">
        <v>535</v>
      </c>
      <c r="G407" s="2" t="s">
        <v>536</v>
      </c>
      <c r="H407" s="2" t="s">
        <v>150</v>
      </c>
      <c r="I407" s="2" t="s">
        <v>123</v>
      </c>
      <c r="J407" s="2">
        <v>4</v>
      </c>
      <c r="K407" s="2" t="s">
        <v>151</v>
      </c>
      <c r="L407" s="2" t="s">
        <v>152</v>
      </c>
      <c r="M407" s="2" t="s">
        <v>153</v>
      </c>
      <c r="N407" s="2" t="str">
        <f>HYPERLINK("https://klocwork.dal.design.ti.com:443/review/insight-review.html#issuedetails_goto:problemid=9026,project=MCUSW_J7_KW_FULL,searchquery=taxonomy:'' build:RS-2022-10-06_06-07-58 grouping:off module:CddIpc","KW Issue Link")</f>
        <v>KW Issue Link</v>
      </c>
      <c r="O407" s="2"/>
      <c r="P407" s="2"/>
      <c r="Q407" s="2"/>
      <c r="R407" s="2"/>
      <c r="S407" s="2" t="s">
        <v>154</v>
      </c>
      <c r="T407" s="2"/>
    </row>
    <row r="408" spans="1:20" ht="120" x14ac:dyDescent="0.25">
      <c r="A408" s="2" t="s">
        <v>359</v>
      </c>
      <c r="B408" s="2" t="s">
        <v>360</v>
      </c>
      <c r="C408" s="2" t="s">
        <v>526</v>
      </c>
      <c r="D408" s="2">
        <v>9027</v>
      </c>
      <c r="E408" s="2">
        <v>154</v>
      </c>
      <c r="F408" s="2" t="s">
        <v>537</v>
      </c>
      <c r="G408" s="2" t="s">
        <v>538</v>
      </c>
      <c r="H408" s="2" t="s">
        <v>150</v>
      </c>
      <c r="I408" s="2" t="s">
        <v>123</v>
      </c>
      <c r="J408" s="2">
        <v>4</v>
      </c>
      <c r="K408" s="2" t="s">
        <v>151</v>
      </c>
      <c r="L408" s="2" t="s">
        <v>152</v>
      </c>
      <c r="M408" s="2" t="s">
        <v>153</v>
      </c>
      <c r="N408" s="2" t="str">
        <f>HYPERLINK("https://klocwork.dal.design.ti.com:443/review/insight-review.html#issuedetails_goto:problemid=9027,project=MCUSW_J7_KW_FULL,searchquery=taxonomy:'' build:RS-2022-10-06_06-07-58 grouping:off module:CddIpc","KW Issue Link")</f>
        <v>KW Issue Link</v>
      </c>
      <c r="O408" s="2"/>
      <c r="P408" s="2"/>
      <c r="Q408" s="2"/>
      <c r="R408" s="2"/>
      <c r="S408" s="2" t="s">
        <v>154</v>
      </c>
      <c r="T408" s="2"/>
    </row>
    <row r="409" spans="1:20" ht="120" x14ac:dyDescent="0.25">
      <c r="A409" s="2" t="s">
        <v>359</v>
      </c>
      <c r="B409" s="2" t="s">
        <v>360</v>
      </c>
      <c r="C409" s="2" t="s">
        <v>526</v>
      </c>
      <c r="D409" s="2">
        <v>9028</v>
      </c>
      <c r="E409" s="2">
        <v>167</v>
      </c>
      <c r="F409" s="2" t="s">
        <v>537</v>
      </c>
      <c r="G409" s="2" t="s">
        <v>539</v>
      </c>
      <c r="H409" s="2" t="s">
        <v>150</v>
      </c>
      <c r="I409" s="2" t="s">
        <v>123</v>
      </c>
      <c r="J409" s="2">
        <v>4</v>
      </c>
      <c r="K409" s="2" t="s">
        <v>151</v>
      </c>
      <c r="L409" s="2" t="s">
        <v>152</v>
      </c>
      <c r="M409" s="2" t="s">
        <v>153</v>
      </c>
      <c r="N409" s="2" t="str">
        <f>HYPERLINK("https://klocwork.dal.design.ti.com:443/review/insight-review.html#issuedetails_goto:problemid=9028,project=MCUSW_J7_KW_FULL,searchquery=taxonomy:'' build:RS-2022-10-06_06-07-58 grouping:off module:CddIpc","KW Issue Link")</f>
        <v>KW Issue Link</v>
      </c>
      <c r="O409" s="2"/>
      <c r="P409" s="2"/>
      <c r="Q409" s="2"/>
      <c r="R409" s="2"/>
      <c r="S409" s="2" t="s">
        <v>154</v>
      </c>
      <c r="T409" s="2"/>
    </row>
    <row r="410" spans="1:20" ht="120" x14ac:dyDescent="0.25">
      <c r="A410" s="2" t="s">
        <v>359</v>
      </c>
      <c r="B410" s="2" t="s">
        <v>360</v>
      </c>
      <c r="C410" s="2" t="s">
        <v>526</v>
      </c>
      <c r="D410" s="2">
        <v>9029</v>
      </c>
      <c r="E410" s="2">
        <v>268</v>
      </c>
      <c r="F410" s="2" t="s">
        <v>537</v>
      </c>
      <c r="G410" s="2" t="s">
        <v>540</v>
      </c>
      <c r="H410" s="2" t="s">
        <v>150</v>
      </c>
      <c r="I410" s="2" t="s">
        <v>123</v>
      </c>
      <c r="J410" s="2">
        <v>4</v>
      </c>
      <c r="K410" s="2" t="s">
        <v>151</v>
      </c>
      <c r="L410" s="2" t="s">
        <v>152</v>
      </c>
      <c r="M410" s="2" t="s">
        <v>153</v>
      </c>
      <c r="N410" s="2" t="str">
        <f>HYPERLINK("https://klocwork.dal.design.ti.com:443/review/insight-review.html#issuedetails_goto:problemid=9029,project=MCUSW_J7_KW_FULL,searchquery=taxonomy:'' build:RS-2022-10-06_06-07-58 grouping:off module:CddIpc","KW Issue Link")</f>
        <v>KW Issue Link</v>
      </c>
      <c r="O410" s="2"/>
      <c r="P410" s="2"/>
      <c r="Q410" s="2"/>
      <c r="R410" s="2"/>
      <c r="S410" s="2" t="s">
        <v>154</v>
      </c>
      <c r="T410" s="2"/>
    </row>
    <row r="411" spans="1:20" ht="120" x14ac:dyDescent="0.25">
      <c r="A411" s="2" t="s">
        <v>246</v>
      </c>
      <c r="B411" s="2" t="s">
        <v>247</v>
      </c>
      <c r="C411" s="2" t="s">
        <v>526</v>
      </c>
      <c r="D411" s="2">
        <v>9034</v>
      </c>
      <c r="E411" s="2">
        <v>234</v>
      </c>
      <c r="F411" s="2" t="s">
        <v>541</v>
      </c>
      <c r="G411" s="2" t="s">
        <v>542</v>
      </c>
      <c r="H411" s="2" t="s">
        <v>150</v>
      </c>
      <c r="I411" s="2" t="s">
        <v>123</v>
      </c>
      <c r="J411" s="2">
        <v>4</v>
      </c>
      <c r="K411" s="2" t="s">
        <v>151</v>
      </c>
      <c r="L411" s="2" t="s">
        <v>152</v>
      </c>
      <c r="M411" s="2" t="s">
        <v>153</v>
      </c>
      <c r="N411" s="2" t="str">
        <f>HYPERLINK("https://klocwork.dal.design.ti.com:443/review/insight-review.html#issuedetails_goto:problemid=9034,project=MCUSW_J7_KW_FULL,searchquery=taxonomy:'' build:RS-2022-10-06_06-07-58 grouping:off module:CddIpc","KW Issue Link")</f>
        <v>KW Issue Link</v>
      </c>
      <c r="O411" s="2"/>
      <c r="P411" s="2"/>
      <c r="Q411" s="2"/>
      <c r="R411" s="2"/>
      <c r="S411" s="2" t="s">
        <v>154</v>
      </c>
      <c r="T411" s="2"/>
    </row>
    <row r="412" spans="1:20" ht="120" x14ac:dyDescent="0.25">
      <c r="A412" s="2" t="s">
        <v>246</v>
      </c>
      <c r="B412" s="2" t="s">
        <v>247</v>
      </c>
      <c r="C412" s="2" t="s">
        <v>526</v>
      </c>
      <c r="D412" s="2">
        <v>9035</v>
      </c>
      <c r="E412" s="2">
        <v>241</v>
      </c>
      <c r="F412" s="2" t="s">
        <v>249</v>
      </c>
      <c r="G412" s="2" t="s">
        <v>542</v>
      </c>
      <c r="H412" s="2" t="s">
        <v>150</v>
      </c>
      <c r="I412" s="2" t="s">
        <v>123</v>
      </c>
      <c r="J412" s="2">
        <v>4</v>
      </c>
      <c r="K412" s="2" t="s">
        <v>151</v>
      </c>
      <c r="L412" s="2" t="s">
        <v>152</v>
      </c>
      <c r="M412" s="2" t="s">
        <v>153</v>
      </c>
      <c r="N412" s="2" t="str">
        <f>HYPERLINK("https://klocwork.dal.design.ti.com:443/review/insight-review.html#issuedetails_goto:problemid=9035,project=MCUSW_J7_KW_FULL,searchquery=taxonomy:'' build:RS-2022-10-06_06-07-58 grouping:off module:CddIpc","KW Issue Link")</f>
        <v>KW Issue Link</v>
      </c>
      <c r="O412" s="2"/>
      <c r="P412" s="2"/>
      <c r="Q412" s="2"/>
      <c r="R412" s="2"/>
      <c r="S412" s="2" t="s">
        <v>154</v>
      </c>
      <c r="T412" s="2"/>
    </row>
    <row r="413" spans="1:20" ht="120" x14ac:dyDescent="0.25">
      <c r="A413" s="2" t="s">
        <v>246</v>
      </c>
      <c r="B413" s="2" t="s">
        <v>247</v>
      </c>
      <c r="C413" s="2" t="s">
        <v>526</v>
      </c>
      <c r="D413" s="2">
        <v>9036</v>
      </c>
      <c r="E413" s="2">
        <v>260</v>
      </c>
      <c r="F413" s="2" t="s">
        <v>541</v>
      </c>
      <c r="G413" s="2" t="s">
        <v>543</v>
      </c>
      <c r="H413" s="2" t="s">
        <v>150</v>
      </c>
      <c r="I413" s="2" t="s">
        <v>123</v>
      </c>
      <c r="J413" s="2">
        <v>4</v>
      </c>
      <c r="K413" s="2" t="s">
        <v>151</v>
      </c>
      <c r="L413" s="2" t="s">
        <v>152</v>
      </c>
      <c r="M413" s="2" t="s">
        <v>153</v>
      </c>
      <c r="N413" s="2" t="str">
        <f>HYPERLINK("https://klocwork.dal.design.ti.com:443/review/insight-review.html#issuedetails_goto:problemid=9036,project=MCUSW_J7_KW_FULL,searchquery=taxonomy:'' build:RS-2022-10-06_06-07-58 grouping:off module:CddIpc","KW Issue Link")</f>
        <v>KW Issue Link</v>
      </c>
      <c r="O413" s="2"/>
      <c r="P413" s="2"/>
      <c r="Q413" s="2"/>
      <c r="R413" s="2"/>
      <c r="S413" s="2" t="s">
        <v>154</v>
      </c>
      <c r="T413" s="2"/>
    </row>
    <row r="414" spans="1:20" ht="120" x14ac:dyDescent="0.25">
      <c r="A414" s="2" t="s">
        <v>316</v>
      </c>
      <c r="B414" s="2" t="s">
        <v>317</v>
      </c>
      <c r="C414" s="2" t="s">
        <v>526</v>
      </c>
      <c r="D414" s="2">
        <v>9037</v>
      </c>
      <c r="E414" s="2">
        <v>240</v>
      </c>
      <c r="F414" s="2" t="s">
        <v>544</v>
      </c>
      <c r="G414" s="2" t="s">
        <v>542</v>
      </c>
      <c r="H414" s="2" t="s">
        <v>150</v>
      </c>
      <c r="I414" s="2" t="s">
        <v>89</v>
      </c>
      <c r="J414" s="2">
        <v>7</v>
      </c>
      <c r="K414" s="2" t="s">
        <v>151</v>
      </c>
      <c r="L414" s="2" t="s">
        <v>152</v>
      </c>
      <c r="M414" s="2" t="s">
        <v>158</v>
      </c>
      <c r="N414" s="2" t="str">
        <f>HYPERLINK("https://klocwork.dal.design.ti.com:443/review/insight-review.html#issuedetails_goto:problemid=9037,project=MCUSW_J7_KW_FULL,searchquery=taxonomy:'' build:RS-2022-10-06_06-07-58 grouping:off module:CddIpc","KW Issue Link")</f>
        <v>KW Issue Link</v>
      </c>
      <c r="O414" s="2" t="s">
        <v>320</v>
      </c>
      <c r="P414" s="2" t="s">
        <v>321</v>
      </c>
      <c r="Q414" s="2" t="s">
        <v>161</v>
      </c>
      <c r="R414" s="2" t="s">
        <v>322</v>
      </c>
      <c r="S414" s="2" t="s">
        <v>154</v>
      </c>
      <c r="T414" s="2"/>
    </row>
    <row r="415" spans="1:20" ht="120" x14ac:dyDescent="0.25">
      <c r="A415" s="2" t="s">
        <v>316</v>
      </c>
      <c r="B415" s="2" t="s">
        <v>317</v>
      </c>
      <c r="C415" s="2" t="s">
        <v>526</v>
      </c>
      <c r="D415" s="2">
        <v>9038</v>
      </c>
      <c r="E415" s="2">
        <v>284</v>
      </c>
      <c r="F415" s="2" t="s">
        <v>328</v>
      </c>
      <c r="G415" s="2" t="s">
        <v>545</v>
      </c>
      <c r="H415" s="2" t="s">
        <v>150</v>
      </c>
      <c r="I415" s="2" t="s">
        <v>89</v>
      </c>
      <c r="J415" s="2">
        <v>7</v>
      </c>
      <c r="K415" s="2" t="s">
        <v>151</v>
      </c>
      <c r="L415" s="2" t="s">
        <v>152</v>
      </c>
      <c r="M415" s="2" t="s">
        <v>158</v>
      </c>
      <c r="N415" s="2" t="str">
        <f>HYPERLINK("https://klocwork.dal.design.ti.com:443/review/insight-review.html#issuedetails_goto:problemid=9038,project=MCUSW_J7_KW_FULL,searchquery=taxonomy:'' build:RS-2022-10-06_06-07-58 grouping:off module:CddIpc","KW Issue Link")</f>
        <v>KW Issue Link</v>
      </c>
      <c r="O415" s="2" t="s">
        <v>320</v>
      </c>
      <c r="P415" s="2" t="s">
        <v>321</v>
      </c>
      <c r="Q415" s="2" t="s">
        <v>161</v>
      </c>
      <c r="R415" s="2" t="s">
        <v>322</v>
      </c>
      <c r="S415" s="2" t="s">
        <v>154</v>
      </c>
      <c r="T415" s="2"/>
    </row>
    <row r="416" spans="1:20" ht="120" x14ac:dyDescent="0.25">
      <c r="A416" s="2" t="s">
        <v>449</v>
      </c>
      <c r="B416" s="2" t="s">
        <v>223</v>
      </c>
      <c r="C416" s="2" t="s">
        <v>526</v>
      </c>
      <c r="D416" s="2">
        <v>9039</v>
      </c>
      <c r="E416" s="2">
        <v>245</v>
      </c>
      <c r="F416" s="2" t="s">
        <v>450</v>
      </c>
      <c r="G416" s="2" t="s">
        <v>542</v>
      </c>
      <c r="H416" s="2" t="s">
        <v>150</v>
      </c>
      <c r="I416" s="2" t="s">
        <v>123</v>
      </c>
      <c r="J416" s="2">
        <v>4</v>
      </c>
      <c r="K416" s="2" t="s">
        <v>151</v>
      </c>
      <c r="L416" s="2" t="s">
        <v>152</v>
      </c>
      <c r="M416" s="2" t="s">
        <v>153</v>
      </c>
      <c r="N416" s="2" t="str">
        <f>HYPERLINK("https://klocwork.dal.design.ti.com:443/review/insight-review.html#issuedetails_goto:problemid=9039,project=MCUSW_J7_KW_FULL,searchquery=taxonomy:'' build:RS-2022-10-06_06-07-58 grouping:off module:CddIpc","KW Issue Link")</f>
        <v>KW Issue Link</v>
      </c>
      <c r="O416" s="2"/>
      <c r="P416" s="2"/>
      <c r="Q416" s="2"/>
      <c r="R416" s="2"/>
      <c r="S416" s="2" t="s">
        <v>154</v>
      </c>
      <c r="T416" s="2"/>
    </row>
    <row r="417" spans="1:20" ht="120" x14ac:dyDescent="0.25">
      <c r="A417" s="2" t="s">
        <v>400</v>
      </c>
      <c r="B417" s="2" t="s">
        <v>401</v>
      </c>
      <c r="C417" s="2" t="s">
        <v>526</v>
      </c>
      <c r="D417" s="2">
        <v>9040</v>
      </c>
      <c r="E417" s="2">
        <v>245</v>
      </c>
      <c r="F417" s="2" t="s">
        <v>546</v>
      </c>
      <c r="G417" s="2" t="s">
        <v>542</v>
      </c>
      <c r="H417" s="2" t="s">
        <v>150</v>
      </c>
      <c r="I417" s="2" t="s">
        <v>88</v>
      </c>
      <c r="J417" s="2">
        <v>6</v>
      </c>
      <c r="K417" s="2" t="s">
        <v>151</v>
      </c>
      <c r="L417" s="2" t="s">
        <v>152</v>
      </c>
      <c r="M417" s="2" t="s">
        <v>158</v>
      </c>
      <c r="N417" s="2" t="str">
        <f>HYPERLINK("https://klocwork.dal.design.ti.com:443/review/insight-review.html#issuedetails_goto:problemid=9040,project=MCUSW_J7_KW_FULL,searchquery=taxonomy:'' build:RS-2022-10-06_06-07-58 grouping:off module:CddIpc","KW Issue Link")</f>
        <v>KW Issue Link</v>
      </c>
      <c r="O417" s="2" t="s">
        <v>403</v>
      </c>
      <c r="P417" s="2" t="s">
        <v>267</v>
      </c>
      <c r="Q417" s="2" t="s">
        <v>161</v>
      </c>
      <c r="R417" s="2" t="s">
        <v>404</v>
      </c>
      <c r="S417" s="2" t="s">
        <v>154</v>
      </c>
      <c r="T417" s="2"/>
    </row>
    <row r="418" spans="1:20" ht="120" x14ac:dyDescent="0.25">
      <c r="A418" s="2" t="s">
        <v>547</v>
      </c>
      <c r="B418" s="2" t="s">
        <v>548</v>
      </c>
      <c r="C418" s="2" t="s">
        <v>526</v>
      </c>
      <c r="D418" s="2">
        <v>9041</v>
      </c>
      <c r="E418" s="2">
        <v>247</v>
      </c>
      <c r="F418" s="2" t="s">
        <v>549</v>
      </c>
      <c r="G418" s="2" t="s">
        <v>542</v>
      </c>
      <c r="H418" s="2" t="s">
        <v>150</v>
      </c>
      <c r="I418" s="2" t="s">
        <v>89</v>
      </c>
      <c r="J418" s="2">
        <v>7</v>
      </c>
      <c r="K418" s="2" t="s">
        <v>151</v>
      </c>
      <c r="L418" s="2" t="s">
        <v>152</v>
      </c>
      <c r="M418" s="2" t="s">
        <v>158</v>
      </c>
      <c r="N418" s="2" t="str">
        <f>HYPERLINK("https://klocwork.dal.design.ti.com:443/review/insight-review.html#issuedetails_goto:problemid=9041,project=MCUSW_J7_KW_FULL,searchquery=taxonomy:'' build:RS-2022-10-06_06-07-58 grouping:off module:CddIpc","KW Issue Link")</f>
        <v>KW Issue Link</v>
      </c>
      <c r="O418" s="2" t="s">
        <v>550</v>
      </c>
      <c r="P418" s="2" t="s">
        <v>551</v>
      </c>
      <c r="Q418" s="2" t="s">
        <v>161</v>
      </c>
      <c r="R418" s="2" t="s">
        <v>552</v>
      </c>
      <c r="S418" s="2" t="s">
        <v>154</v>
      </c>
      <c r="T418" s="2"/>
    </row>
    <row r="419" spans="1:20" ht="120" x14ac:dyDescent="0.25">
      <c r="A419" s="2" t="s">
        <v>553</v>
      </c>
      <c r="B419" s="2" t="s">
        <v>554</v>
      </c>
      <c r="C419" s="2" t="s">
        <v>526</v>
      </c>
      <c r="D419" s="2">
        <v>9042</v>
      </c>
      <c r="E419" s="2">
        <v>247</v>
      </c>
      <c r="F419" s="2" t="s">
        <v>555</v>
      </c>
      <c r="G419" s="2" t="s">
        <v>542</v>
      </c>
      <c r="H419" s="2" t="s">
        <v>150</v>
      </c>
      <c r="I419" s="2" t="s">
        <v>123</v>
      </c>
      <c r="J419" s="2">
        <v>4</v>
      </c>
      <c r="K419" s="2" t="s">
        <v>151</v>
      </c>
      <c r="L419" s="2" t="s">
        <v>152</v>
      </c>
      <c r="M419" s="2" t="s">
        <v>153</v>
      </c>
      <c r="N419" s="2" t="str">
        <f>HYPERLINK("https://klocwork.dal.design.ti.com:443/review/insight-review.html#issuedetails_goto:problemid=9042,project=MCUSW_J7_KW_FULL,searchquery=taxonomy:'' build:RS-2022-10-06_06-07-58 grouping:off module:CddIpc","KW Issue Link")</f>
        <v>KW Issue Link</v>
      </c>
      <c r="O419" s="2"/>
      <c r="P419" s="2"/>
      <c r="Q419" s="2"/>
      <c r="R419" s="2"/>
      <c r="S419" s="2" t="s">
        <v>154</v>
      </c>
      <c r="T419" s="2"/>
    </row>
    <row r="420" spans="1:20" ht="120" x14ac:dyDescent="0.25">
      <c r="A420" s="2" t="s">
        <v>229</v>
      </c>
      <c r="B420" s="2" t="s">
        <v>230</v>
      </c>
      <c r="C420" s="2" t="s">
        <v>526</v>
      </c>
      <c r="D420" s="2">
        <v>9045</v>
      </c>
      <c r="E420" s="2">
        <v>278</v>
      </c>
      <c r="F420" s="2" t="s">
        <v>556</v>
      </c>
      <c r="G420" s="2" t="s">
        <v>545</v>
      </c>
      <c r="H420" s="2" t="s">
        <v>150</v>
      </c>
      <c r="I420" s="2" t="s">
        <v>89</v>
      </c>
      <c r="J420" s="2">
        <v>7</v>
      </c>
      <c r="K420" s="2" t="s">
        <v>151</v>
      </c>
      <c r="L420" s="2" t="s">
        <v>152</v>
      </c>
      <c r="M420" s="2" t="s">
        <v>158</v>
      </c>
      <c r="N420" s="2" t="str">
        <f>HYPERLINK("https://klocwork.dal.design.ti.com:443/review/insight-review.html#issuedetails_goto:problemid=9045,project=MCUSW_J7_KW_FULL,searchquery=taxonomy:'' build:RS-2022-10-06_06-07-58 grouping:off module:CddIpc","KW Issue Link")</f>
        <v>KW Issue Link</v>
      </c>
      <c r="O420" s="2" t="s">
        <v>233</v>
      </c>
      <c r="P420" s="2" t="s">
        <v>234</v>
      </c>
      <c r="Q420" s="2" t="s">
        <v>161</v>
      </c>
      <c r="R420" s="2" t="s">
        <v>235</v>
      </c>
      <c r="S420" s="2" t="s">
        <v>154</v>
      </c>
      <c r="T420" s="2"/>
    </row>
    <row r="421" spans="1:20" ht="120" x14ac:dyDescent="0.25">
      <c r="A421" s="2" t="s">
        <v>229</v>
      </c>
      <c r="B421" s="2" t="s">
        <v>230</v>
      </c>
      <c r="C421" s="2" t="s">
        <v>526</v>
      </c>
      <c r="D421" s="2">
        <v>9046</v>
      </c>
      <c r="E421" s="2">
        <v>291</v>
      </c>
      <c r="F421" s="2" t="s">
        <v>557</v>
      </c>
      <c r="G421" s="2" t="s">
        <v>558</v>
      </c>
      <c r="H421" s="2" t="s">
        <v>150</v>
      </c>
      <c r="I421" s="2" t="s">
        <v>89</v>
      </c>
      <c r="J421" s="2">
        <v>7</v>
      </c>
      <c r="K421" s="2" t="s">
        <v>151</v>
      </c>
      <c r="L421" s="2" t="s">
        <v>152</v>
      </c>
      <c r="M421" s="2" t="s">
        <v>158</v>
      </c>
      <c r="N421" s="2" t="str">
        <f>HYPERLINK("https://klocwork.dal.design.ti.com:443/review/insight-review.html#issuedetails_goto:problemid=9046,project=MCUSW_J7_KW_FULL,searchquery=taxonomy:'' build:RS-2022-10-06_06-07-58 grouping:off module:CddIpc","KW Issue Link")</f>
        <v>KW Issue Link</v>
      </c>
      <c r="O421" s="2" t="s">
        <v>233</v>
      </c>
      <c r="P421" s="2" t="s">
        <v>234</v>
      </c>
      <c r="Q421" s="2" t="s">
        <v>161</v>
      </c>
      <c r="R421" s="2" t="s">
        <v>235</v>
      </c>
      <c r="S421" s="2" t="s">
        <v>154</v>
      </c>
      <c r="T421" s="2"/>
    </row>
    <row r="422" spans="1:20" ht="120" x14ac:dyDescent="0.25">
      <c r="A422" s="2" t="s">
        <v>465</v>
      </c>
      <c r="B422" s="2" t="s">
        <v>466</v>
      </c>
      <c r="C422" s="2" t="s">
        <v>526</v>
      </c>
      <c r="D422" s="2">
        <v>9048</v>
      </c>
      <c r="E422" s="2">
        <v>291</v>
      </c>
      <c r="F422" s="2" t="s">
        <v>467</v>
      </c>
      <c r="G422" s="2" t="s">
        <v>558</v>
      </c>
      <c r="H422" s="2" t="s">
        <v>150</v>
      </c>
      <c r="I422" s="2" t="s">
        <v>88</v>
      </c>
      <c r="J422" s="2">
        <v>6</v>
      </c>
      <c r="K422" s="2" t="s">
        <v>151</v>
      </c>
      <c r="L422" s="2" t="s">
        <v>152</v>
      </c>
      <c r="M422" s="2" t="s">
        <v>158</v>
      </c>
      <c r="N422" s="2" t="str">
        <f>HYPERLINK("https://klocwork.dal.design.ti.com:443/review/insight-review.html#issuedetails_goto:problemid=9048,project=MCUSW_J7_KW_FULL,searchquery=taxonomy:'' build:RS-2022-10-06_06-07-58 grouping:off module:CddIpc","KW Issue Link")</f>
        <v>KW Issue Link</v>
      </c>
      <c r="O422" s="2" t="s">
        <v>468</v>
      </c>
      <c r="P422" s="2" t="s">
        <v>204</v>
      </c>
      <c r="Q422" s="2" t="s">
        <v>161</v>
      </c>
      <c r="R422" s="2" t="s">
        <v>469</v>
      </c>
      <c r="S422" s="2" t="s">
        <v>154</v>
      </c>
      <c r="T422" s="2"/>
    </row>
    <row r="423" spans="1:20" ht="120" x14ac:dyDescent="0.25">
      <c r="A423" s="2" t="s">
        <v>295</v>
      </c>
      <c r="B423" s="2" t="s">
        <v>296</v>
      </c>
      <c r="C423" s="2" t="s">
        <v>559</v>
      </c>
      <c r="D423" s="2">
        <v>9049</v>
      </c>
      <c r="E423" s="2">
        <v>161</v>
      </c>
      <c r="F423" s="2" t="s">
        <v>298</v>
      </c>
      <c r="G423" s="2" t="s">
        <v>560</v>
      </c>
      <c r="H423" s="2" t="s">
        <v>150</v>
      </c>
      <c r="I423" s="2" t="s">
        <v>123</v>
      </c>
      <c r="J423" s="2">
        <v>4</v>
      </c>
      <c r="K423" s="2" t="s">
        <v>151</v>
      </c>
      <c r="L423" s="2" t="s">
        <v>152</v>
      </c>
      <c r="M423" s="2" t="s">
        <v>153</v>
      </c>
      <c r="N423" s="2" t="str">
        <f>HYPERLINK("https://klocwork.dal.design.ti.com:443/review/insight-review.html#issuedetails_goto:problemid=9049,project=MCUSW_J7_KW_FULL,searchquery=taxonomy:'' build:RS-2022-10-06_06-07-58 grouping:off module:CddIpc","KW Issue Link")</f>
        <v>KW Issue Link</v>
      </c>
      <c r="O423" s="2"/>
      <c r="P423" s="2"/>
      <c r="Q423" s="2"/>
      <c r="R423" s="2"/>
      <c r="S423" s="2" t="s">
        <v>154</v>
      </c>
      <c r="T423" s="2"/>
    </row>
    <row r="424" spans="1:20" ht="120" x14ac:dyDescent="0.25">
      <c r="A424" s="2" t="s">
        <v>316</v>
      </c>
      <c r="B424" s="2" t="s">
        <v>317</v>
      </c>
      <c r="C424" s="2" t="s">
        <v>559</v>
      </c>
      <c r="D424" s="2">
        <v>9050</v>
      </c>
      <c r="E424" s="2">
        <v>190</v>
      </c>
      <c r="F424" s="2" t="s">
        <v>561</v>
      </c>
      <c r="G424" s="2" t="s">
        <v>562</v>
      </c>
      <c r="H424" s="2" t="s">
        <v>150</v>
      </c>
      <c r="I424" s="2" t="s">
        <v>89</v>
      </c>
      <c r="J424" s="2">
        <v>7</v>
      </c>
      <c r="K424" s="2" t="s">
        <v>151</v>
      </c>
      <c r="L424" s="2" t="s">
        <v>152</v>
      </c>
      <c r="M424" s="2" t="s">
        <v>158</v>
      </c>
      <c r="N424" s="2" t="str">
        <f>HYPERLINK("https://klocwork.dal.design.ti.com:443/review/insight-review.html#issuedetails_goto:problemid=9050,project=MCUSW_J7_KW_FULL,searchquery=taxonomy:'' build:RS-2022-10-06_06-07-58 grouping:off module:CddIpc","KW Issue Link")</f>
        <v>KW Issue Link</v>
      </c>
      <c r="O424" s="2" t="s">
        <v>320</v>
      </c>
      <c r="P424" s="2" t="s">
        <v>321</v>
      </c>
      <c r="Q424" s="2" t="s">
        <v>161</v>
      </c>
      <c r="R424" s="2" t="s">
        <v>322</v>
      </c>
      <c r="S424" s="2" t="s">
        <v>154</v>
      </c>
      <c r="T424" s="2"/>
    </row>
    <row r="425" spans="1:20" ht="120" x14ac:dyDescent="0.25">
      <c r="A425" s="2" t="s">
        <v>445</v>
      </c>
      <c r="B425" s="2" t="s">
        <v>223</v>
      </c>
      <c r="C425" s="2" t="s">
        <v>559</v>
      </c>
      <c r="D425" s="2">
        <v>9051</v>
      </c>
      <c r="E425" s="2">
        <v>191</v>
      </c>
      <c r="F425" s="2" t="s">
        <v>563</v>
      </c>
      <c r="G425" s="2" t="s">
        <v>562</v>
      </c>
      <c r="H425" s="2" t="s">
        <v>150</v>
      </c>
      <c r="I425" s="2" t="s">
        <v>89</v>
      </c>
      <c r="J425" s="2">
        <v>7</v>
      </c>
      <c r="K425" s="2" t="s">
        <v>151</v>
      </c>
      <c r="L425" s="2" t="s">
        <v>152</v>
      </c>
      <c r="M425" s="2" t="s">
        <v>158</v>
      </c>
      <c r="N425" s="2" t="str">
        <f>HYPERLINK("https://klocwork.dal.design.ti.com:443/review/insight-review.html#issuedetails_goto:problemid=9051,project=MCUSW_J7_KW_FULL,searchquery=taxonomy:'' build:RS-2022-10-06_06-07-58 grouping:off module:CddIpc","KW Issue Link")</f>
        <v>KW Issue Link</v>
      </c>
      <c r="O425" s="2" t="s">
        <v>447</v>
      </c>
      <c r="P425" s="2" t="s">
        <v>267</v>
      </c>
      <c r="Q425" s="2" t="s">
        <v>161</v>
      </c>
      <c r="R425" s="2" t="s">
        <v>448</v>
      </c>
      <c r="S425" s="2" t="s">
        <v>154</v>
      </c>
      <c r="T425" s="2"/>
    </row>
    <row r="426" spans="1:20" ht="120" x14ac:dyDescent="0.25">
      <c r="A426" s="2" t="s">
        <v>445</v>
      </c>
      <c r="B426" s="2" t="s">
        <v>223</v>
      </c>
      <c r="C426" s="2" t="s">
        <v>559</v>
      </c>
      <c r="D426" s="2">
        <v>9052</v>
      </c>
      <c r="E426" s="2">
        <v>193</v>
      </c>
      <c r="F426" s="2" t="s">
        <v>564</v>
      </c>
      <c r="G426" s="2" t="s">
        <v>562</v>
      </c>
      <c r="H426" s="2" t="s">
        <v>150</v>
      </c>
      <c r="I426" s="2" t="s">
        <v>89</v>
      </c>
      <c r="J426" s="2">
        <v>7</v>
      </c>
      <c r="K426" s="2" t="s">
        <v>151</v>
      </c>
      <c r="L426" s="2" t="s">
        <v>152</v>
      </c>
      <c r="M426" s="2" t="s">
        <v>158</v>
      </c>
      <c r="N426" s="2" t="str">
        <f>HYPERLINK("https://klocwork.dal.design.ti.com:443/review/insight-review.html#issuedetails_goto:problemid=9052,project=MCUSW_J7_KW_FULL,searchquery=taxonomy:'' build:RS-2022-10-06_06-07-58 grouping:off module:CddIpc","KW Issue Link")</f>
        <v>KW Issue Link</v>
      </c>
      <c r="O426" s="2" t="s">
        <v>447</v>
      </c>
      <c r="P426" s="2" t="s">
        <v>267</v>
      </c>
      <c r="Q426" s="2" t="s">
        <v>161</v>
      </c>
      <c r="R426" s="2" t="s">
        <v>448</v>
      </c>
      <c r="S426" s="2" t="s">
        <v>154</v>
      </c>
      <c r="T426" s="2"/>
    </row>
    <row r="427" spans="1:20" ht="120" x14ac:dyDescent="0.25">
      <c r="A427" s="2" t="s">
        <v>445</v>
      </c>
      <c r="B427" s="2" t="s">
        <v>223</v>
      </c>
      <c r="C427" s="2" t="s">
        <v>559</v>
      </c>
      <c r="D427" s="2">
        <v>9053</v>
      </c>
      <c r="E427" s="2">
        <v>193</v>
      </c>
      <c r="F427" s="2" t="s">
        <v>565</v>
      </c>
      <c r="G427" s="2" t="s">
        <v>562</v>
      </c>
      <c r="H427" s="2" t="s">
        <v>150</v>
      </c>
      <c r="I427" s="2" t="s">
        <v>89</v>
      </c>
      <c r="J427" s="2">
        <v>7</v>
      </c>
      <c r="K427" s="2" t="s">
        <v>151</v>
      </c>
      <c r="L427" s="2" t="s">
        <v>152</v>
      </c>
      <c r="M427" s="2" t="s">
        <v>158</v>
      </c>
      <c r="N427" s="2" t="str">
        <f>HYPERLINK("https://klocwork.dal.design.ti.com:443/review/insight-review.html#issuedetails_goto:problemid=9053,project=MCUSW_J7_KW_FULL,searchquery=taxonomy:'' build:RS-2022-10-06_06-07-58 grouping:off module:CddIpc","KW Issue Link")</f>
        <v>KW Issue Link</v>
      </c>
      <c r="O427" s="2" t="s">
        <v>447</v>
      </c>
      <c r="P427" s="2" t="s">
        <v>267</v>
      </c>
      <c r="Q427" s="2" t="s">
        <v>161</v>
      </c>
      <c r="R427" s="2" t="s">
        <v>448</v>
      </c>
      <c r="S427" s="2" t="s">
        <v>154</v>
      </c>
      <c r="T427" s="2"/>
    </row>
    <row r="428" spans="1:20" ht="120" x14ac:dyDescent="0.25">
      <c r="A428" s="2" t="s">
        <v>222</v>
      </c>
      <c r="B428" s="2" t="s">
        <v>223</v>
      </c>
      <c r="C428" s="2" t="s">
        <v>559</v>
      </c>
      <c r="D428" s="2">
        <v>9054</v>
      </c>
      <c r="E428" s="2">
        <v>191</v>
      </c>
      <c r="F428" s="2" t="s">
        <v>224</v>
      </c>
      <c r="G428" s="2" t="s">
        <v>562</v>
      </c>
      <c r="H428" s="2" t="s">
        <v>150</v>
      </c>
      <c r="I428" s="2" t="s">
        <v>123</v>
      </c>
      <c r="J428" s="2">
        <v>4</v>
      </c>
      <c r="K428" s="2" t="s">
        <v>151</v>
      </c>
      <c r="L428" s="2" t="s">
        <v>152</v>
      </c>
      <c r="M428" s="2" t="s">
        <v>153</v>
      </c>
      <c r="N428" s="2" t="str">
        <f>HYPERLINK("https://klocwork.dal.design.ti.com:443/review/insight-review.html#issuedetails_goto:problemid=9054,project=MCUSW_J7_KW_FULL,searchquery=taxonomy:'' build:RS-2022-10-06_06-07-58 grouping:off module:CddIpc","KW Issue Link")</f>
        <v>KW Issue Link</v>
      </c>
      <c r="O428" s="2"/>
      <c r="P428" s="2"/>
      <c r="Q428" s="2"/>
      <c r="R428" s="2"/>
      <c r="S428" s="2" t="s">
        <v>154</v>
      </c>
      <c r="T428" s="2"/>
    </row>
    <row r="429" spans="1:20" ht="120" x14ac:dyDescent="0.25">
      <c r="A429" s="2" t="s">
        <v>222</v>
      </c>
      <c r="B429" s="2" t="s">
        <v>223</v>
      </c>
      <c r="C429" s="2" t="s">
        <v>559</v>
      </c>
      <c r="D429" s="2">
        <v>9055</v>
      </c>
      <c r="E429" s="2">
        <v>192</v>
      </c>
      <c r="F429" s="2" t="s">
        <v>224</v>
      </c>
      <c r="G429" s="2" t="s">
        <v>562</v>
      </c>
      <c r="H429" s="2" t="s">
        <v>150</v>
      </c>
      <c r="I429" s="2" t="s">
        <v>123</v>
      </c>
      <c r="J429" s="2">
        <v>4</v>
      </c>
      <c r="K429" s="2" t="s">
        <v>151</v>
      </c>
      <c r="L429" s="2" t="s">
        <v>152</v>
      </c>
      <c r="M429" s="2" t="s">
        <v>153</v>
      </c>
      <c r="N429" s="2" t="str">
        <f>HYPERLINK("https://klocwork.dal.design.ti.com:443/review/insight-review.html#issuedetails_goto:problemid=9055,project=MCUSW_J7_KW_FULL,searchquery=taxonomy:'' build:RS-2022-10-06_06-07-58 grouping:off module:CddIpc","KW Issue Link")</f>
        <v>KW Issue Link</v>
      </c>
      <c r="O429" s="2"/>
      <c r="P429" s="2"/>
      <c r="Q429" s="2"/>
      <c r="R429" s="2"/>
      <c r="S429" s="2" t="s">
        <v>154</v>
      </c>
      <c r="T429" s="2"/>
    </row>
    <row r="430" spans="1:20" ht="120" x14ac:dyDescent="0.25">
      <c r="A430" s="2" t="s">
        <v>222</v>
      </c>
      <c r="B430" s="2" t="s">
        <v>223</v>
      </c>
      <c r="C430" s="2" t="s">
        <v>559</v>
      </c>
      <c r="D430" s="2">
        <v>9056</v>
      </c>
      <c r="E430" s="2">
        <v>193</v>
      </c>
      <c r="F430" s="2" t="s">
        <v>224</v>
      </c>
      <c r="G430" s="2" t="s">
        <v>562</v>
      </c>
      <c r="H430" s="2" t="s">
        <v>150</v>
      </c>
      <c r="I430" s="2" t="s">
        <v>123</v>
      </c>
      <c r="J430" s="2">
        <v>4</v>
      </c>
      <c r="K430" s="2" t="s">
        <v>151</v>
      </c>
      <c r="L430" s="2" t="s">
        <v>152</v>
      </c>
      <c r="M430" s="2" t="s">
        <v>153</v>
      </c>
      <c r="N430" s="2" t="str">
        <f>HYPERLINK("https://klocwork.dal.design.ti.com:443/review/insight-review.html#issuedetails_goto:problemid=9056,project=MCUSW_J7_KW_FULL,searchquery=taxonomy:'' build:RS-2022-10-06_06-07-58 grouping:off module:CddIpc","KW Issue Link")</f>
        <v>KW Issue Link</v>
      </c>
      <c r="O430" s="2"/>
      <c r="P430" s="2"/>
      <c r="Q430" s="2"/>
      <c r="R430" s="2"/>
      <c r="S430" s="2" t="s">
        <v>154</v>
      </c>
      <c r="T430" s="2"/>
    </row>
    <row r="431" spans="1:20" ht="120" x14ac:dyDescent="0.25">
      <c r="A431" s="2" t="s">
        <v>222</v>
      </c>
      <c r="B431" s="2" t="s">
        <v>223</v>
      </c>
      <c r="C431" s="2" t="s">
        <v>559</v>
      </c>
      <c r="D431" s="2">
        <v>9057</v>
      </c>
      <c r="E431" s="2">
        <v>193</v>
      </c>
      <c r="F431" s="2" t="s">
        <v>224</v>
      </c>
      <c r="G431" s="2" t="s">
        <v>562</v>
      </c>
      <c r="H431" s="2" t="s">
        <v>150</v>
      </c>
      <c r="I431" s="2" t="s">
        <v>123</v>
      </c>
      <c r="J431" s="2">
        <v>4</v>
      </c>
      <c r="K431" s="2" t="s">
        <v>151</v>
      </c>
      <c r="L431" s="2" t="s">
        <v>152</v>
      </c>
      <c r="M431" s="2" t="s">
        <v>153</v>
      </c>
      <c r="N431" s="2" t="str">
        <f>HYPERLINK("https://klocwork.dal.design.ti.com:443/review/insight-review.html#issuedetails_goto:problemid=9057,project=MCUSW_J7_KW_FULL,searchquery=taxonomy:'' build:RS-2022-10-06_06-07-58 grouping:off module:CddIpc","KW Issue Link")</f>
        <v>KW Issue Link</v>
      </c>
      <c r="O431" s="2"/>
      <c r="P431" s="2"/>
      <c r="Q431" s="2"/>
      <c r="R431" s="2"/>
      <c r="S431" s="2" t="s">
        <v>154</v>
      </c>
      <c r="T431" s="2"/>
    </row>
    <row r="432" spans="1:20" ht="120" x14ac:dyDescent="0.25">
      <c r="A432" s="2" t="s">
        <v>263</v>
      </c>
      <c r="B432" s="2" t="s">
        <v>264</v>
      </c>
      <c r="C432" s="2" t="s">
        <v>559</v>
      </c>
      <c r="D432" s="2">
        <v>9058</v>
      </c>
      <c r="E432" s="2">
        <v>192</v>
      </c>
      <c r="F432" s="2" t="s">
        <v>265</v>
      </c>
      <c r="G432" s="2" t="s">
        <v>562</v>
      </c>
      <c r="H432" s="2" t="s">
        <v>150</v>
      </c>
      <c r="I432" s="2" t="s">
        <v>88</v>
      </c>
      <c r="J432" s="2">
        <v>6</v>
      </c>
      <c r="K432" s="2" t="s">
        <v>151</v>
      </c>
      <c r="L432" s="2" t="s">
        <v>152</v>
      </c>
      <c r="M432" s="2" t="s">
        <v>158</v>
      </c>
      <c r="N432" s="2" t="str">
        <f>HYPERLINK("https://klocwork.dal.design.ti.com:443/review/insight-review.html#issuedetails_goto:problemid=9058,project=MCUSW_J7_KW_FULL,searchquery=taxonomy:'' build:RS-2022-10-06_06-07-58 grouping:off module:CddIpc","KW Issue Link")</f>
        <v>KW Issue Link</v>
      </c>
      <c r="O432" s="2" t="s">
        <v>266</v>
      </c>
      <c r="P432" s="2" t="s">
        <v>267</v>
      </c>
      <c r="Q432" s="2" t="s">
        <v>161</v>
      </c>
      <c r="R432" s="2" t="s">
        <v>268</v>
      </c>
      <c r="S432" s="2" t="s">
        <v>154</v>
      </c>
      <c r="T432" s="2"/>
    </row>
    <row r="433" spans="1:20" ht="120" x14ac:dyDescent="0.25">
      <c r="A433" s="2" t="s">
        <v>436</v>
      </c>
      <c r="B433" s="2" t="s">
        <v>437</v>
      </c>
      <c r="C433" s="2" t="s">
        <v>559</v>
      </c>
      <c r="D433" s="2">
        <v>9059</v>
      </c>
      <c r="E433" s="2">
        <v>192</v>
      </c>
      <c r="F433" s="2" t="s">
        <v>566</v>
      </c>
      <c r="G433" s="2" t="s">
        <v>562</v>
      </c>
      <c r="H433" s="2" t="s">
        <v>150</v>
      </c>
      <c r="I433" s="2" t="s">
        <v>123</v>
      </c>
      <c r="J433" s="2">
        <v>4</v>
      </c>
      <c r="K433" s="2" t="s">
        <v>151</v>
      </c>
      <c r="L433" s="2" t="s">
        <v>152</v>
      </c>
      <c r="M433" s="2" t="s">
        <v>153</v>
      </c>
      <c r="N433" s="2" t="str">
        <f>HYPERLINK("https://klocwork.dal.design.ti.com:443/review/insight-review.html#issuedetails_goto:problemid=9059,project=MCUSW_J7_KW_FULL,searchquery=taxonomy:'' build:RS-2022-10-06_06-07-58 grouping:off module:CddIpc","KW Issue Link")</f>
        <v>KW Issue Link</v>
      </c>
      <c r="O433" s="2"/>
      <c r="P433" s="2"/>
      <c r="Q433" s="2"/>
      <c r="R433" s="2"/>
      <c r="S433" s="2" t="s">
        <v>154</v>
      </c>
      <c r="T433" s="2"/>
    </row>
    <row r="434" spans="1:20" ht="120" x14ac:dyDescent="0.25">
      <c r="A434" s="2" t="s">
        <v>436</v>
      </c>
      <c r="B434" s="2" t="s">
        <v>437</v>
      </c>
      <c r="C434" s="2" t="s">
        <v>559</v>
      </c>
      <c r="D434" s="2">
        <v>9061</v>
      </c>
      <c r="E434" s="2">
        <v>201</v>
      </c>
      <c r="F434" s="2" t="s">
        <v>567</v>
      </c>
      <c r="G434" s="2" t="s">
        <v>568</v>
      </c>
      <c r="H434" s="2" t="s">
        <v>150</v>
      </c>
      <c r="I434" s="2" t="s">
        <v>123</v>
      </c>
      <c r="J434" s="2">
        <v>4</v>
      </c>
      <c r="K434" s="2" t="s">
        <v>151</v>
      </c>
      <c r="L434" s="2" t="s">
        <v>152</v>
      </c>
      <c r="M434" s="2" t="s">
        <v>153</v>
      </c>
      <c r="N434" s="2" t="str">
        <f>HYPERLINK("https://klocwork.dal.design.ti.com:443/review/insight-review.html#issuedetails_goto:problemid=9061,project=MCUSW_J7_KW_FULL,searchquery=taxonomy:'' build:RS-2022-10-06_06-07-58 grouping:off module:CddIpc","KW Issue Link")</f>
        <v>KW Issue Link</v>
      </c>
      <c r="O434" s="2"/>
      <c r="P434" s="2"/>
      <c r="Q434" s="2"/>
      <c r="R434" s="2"/>
      <c r="S434" s="2" t="s">
        <v>154</v>
      </c>
      <c r="T434" s="2"/>
    </row>
    <row r="435" spans="1:20" ht="120" x14ac:dyDescent="0.25">
      <c r="A435" s="2" t="s">
        <v>365</v>
      </c>
      <c r="B435" s="2" t="s">
        <v>366</v>
      </c>
      <c r="C435" s="2" t="s">
        <v>559</v>
      </c>
      <c r="D435" s="2">
        <v>9068</v>
      </c>
      <c r="E435" s="2">
        <v>194</v>
      </c>
      <c r="F435" s="2" t="s">
        <v>569</v>
      </c>
      <c r="G435" s="2" t="s">
        <v>562</v>
      </c>
      <c r="H435" s="2" t="s">
        <v>150</v>
      </c>
      <c r="I435" s="2" t="s">
        <v>123</v>
      </c>
      <c r="J435" s="2">
        <v>4</v>
      </c>
      <c r="K435" s="2" t="s">
        <v>151</v>
      </c>
      <c r="L435" s="2" t="s">
        <v>152</v>
      </c>
      <c r="M435" s="2" t="s">
        <v>153</v>
      </c>
      <c r="N435" s="2" t="str">
        <f>HYPERLINK("https://klocwork.dal.design.ti.com:443/review/insight-review.html#issuedetails_goto:problemid=9068,project=MCUSW_J7_KW_FULL,searchquery=taxonomy:'' build:RS-2022-10-06_06-07-58 grouping:off module:CddIpc","KW Issue Link")</f>
        <v>KW Issue Link</v>
      </c>
      <c r="O435" s="2"/>
      <c r="P435" s="2"/>
      <c r="Q435" s="2"/>
      <c r="R435" s="2"/>
      <c r="S435" s="2" t="s">
        <v>154</v>
      </c>
      <c r="T435" s="2"/>
    </row>
    <row r="436" spans="1:20" ht="120" x14ac:dyDescent="0.25">
      <c r="A436" s="2" t="s">
        <v>365</v>
      </c>
      <c r="B436" s="2" t="s">
        <v>486</v>
      </c>
      <c r="C436" s="2" t="s">
        <v>559</v>
      </c>
      <c r="D436" s="2">
        <v>9070</v>
      </c>
      <c r="E436" s="2">
        <v>200</v>
      </c>
      <c r="F436" s="2" t="s">
        <v>569</v>
      </c>
      <c r="G436" s="2" t="s">
        <v>568</v>
      </c>
      <c r="H436" s="2" t="s">
        <v>150</v>
      </c>
      <c r="I436" s="2" t="s">
        <v>123</v>
      </c>
      <c r="J436" s="2">
        <v>4</v>
      </c>
      <c r="K436" s="2" t="s">
        <v>151</v>
      </c>
      <c r="L436" s="2" t="s">
        <v>152</v>
      </c>
      <c r="M436" s="2" t="s">
        <v>153</v>
      </c>
      <c r="N436" s="2" t="str">
        <f>HYPERLINK("https://klocwork.dal.design.ti.com:443/review/insight-review.html#issuedetails_goto:problemid=9070,project=MCUSW_J7_KW_FULL,searchquery=taxonomy:'' build:RS-2022-10-06_06-07-58 grouping:off module:CddIpc","KW Issue Link")</f>
        <v>KW Issue Link</v>
      </c>
      <c r="O436" s="2"/>
      <c r="P436" s="2"/>
      <c r="Q436" s="2"/>
      <c r="R436" s="2"/>
      <c r="S436" s="2" t="s">
        <v>154</v>
      </c>
      <c r="T436" s="2"/>
    </row>
    <row r="437" spans="1:20" ht="120" x14ac:dyDescent="0.25">
      <c r="A437" s="2" t="s">
        <v>365</v>
      </c>
      <c r="B437" s="2" t="s">
        <v>486</v>
      </c>
      <c r="C437" s="2" t="s">
        <v>559</v>
      </c>
      <c r="D437" s="2">
        <v>9071</v>
      </c>
      <c r="E437" s="2">
        <v>201</v>
      </c>
      <c r="F437" s="2" t="s">
        <v>368</v>
      </c>
      <c r="G437" s="2" t="s">
        <v>568</v>
      </c>
      <c r="H437" s="2" t="s">
        <v>150</v>
      </c>
      <c r="I437" s="2" t="s">
        <v>123</v>
      </c>
      <c r="J437" s="2">
        <v>4</v>
      </c>
      <c r="K437" s="2" t="s">
        <v>151</v>
      </c>
      <c r="L437" s="2" t="s">
        <v>152</v>
      </c>
      <c r="M437" s="2" t="s">
        <v>153</v>
      </c>
      <c r="N437" s="2" t="str">
        <f>HYPERLINK("https://klocwork.dal.design.ti.com:443/review/insight-review.html#issuedetails_goto:problemid=9071,project=MCUSW_J7_KW_FULL,searchquery=taxonomy:'' build:RS-2022-10-06_06-07-58 grouping:off module:CddIpc","KW Issue Link")</f>
        <v>KW Issue Link</v>
      </c>
      <c r="O437" s="2"/>
      <c r="P437" s="2"/>
      <c r="Q437" s="2"/>
      <c r="R437" s="2"/>
      <c r="S437" s="2" t="s">
        <v>154</v>
      </c>
      <c r="T437" s="2"/>
    </row>
    <row r="438" spans="1:20" ht="120" x14ac:dyDescent="0.25">
      <c r="A438" s="2" t="s">
        <v>302</v>
      </c>
      <c r="B438" s="2" t="s">
        <v>303</v>
      </c>
      <c r="C438" s="2" t="s">
        <v>570</v>
      </c>
      <c r="D438" s="2">
        <v>9076</v>
      </c>
      <c r="E438" s="2">
        <v>1</v>
      </c>
      <c r="F438" s="2" t="s">
        <v>571</v>
      </c>
      <c r="G438" s="2" t="s">
        <v>572</v>
      </c>
      <c r="H438" s="2" t="s">
        <v>150</v>
      </c>
      <c r="I438" s="2" t="s">
        <v>123</v>
      </c>
      <c r="J438" s="2">
        <v>4</v>
      </c>
      <c r="K438" s="2" t="s">
        <v>151</v>
      </c>
      <c r="L438" s="2" t="s">
        <v>152</v>
      </c>
      <c r="M438" s="2" t="s">
        <v>153</v>
      </c>
      <c r="N438" s="2" t="str">
        <f>HYPERLINK("https://klocwork.dal.design.ti.com:443/review/insight-review.html#issuedetails_goto:problemid=9076,project=MCUSW_J7_KW_FULL,searchquery=taxonomy:'' build:RS-2022-10-06_06-07-58 grouping:off module:CddIpc","KW Issue Link")</f>
        <v>KW Issue Link</v>
      </c>
      <c r="O438" s="2"/>
      <c r="P438" s="2"/>
      <c r="Q438" s="2"/>
      <c r="R438" s="2"/>
      <c r="S438" s="2" t="s">
        <v>154</v>
      </c>
      <c r="T438" s="2"/>
    </row>
    <row r="439" spans="1:20" ht="120" x14ac:dyDescent="0.25">
      <c r="A439" s="2" t="s">
        <v>145</v>
      </c>
      <c r="B439" s="2" t="s">
        <v>146</v>
      </c>
      <c r="C439" s="2" t="s">
        <v>570</v>
      </c>
      <c r="D439" s="2">
        <v>9077</v>
      </c>
      <c r="E439" s="2">
        <v>1</v>
      </c>
      <c r="F439" s="2" t="s">
        <v>148</v>
      </c>
      <c r="G439" s="2" t="s">
        <v>572</v>
      </c>
      <c r="H439" s="2" t="s">
        <v>150</v>
      </c>
      <c r="I439" s="2" t="s">
        <v>123</v>
      </c>
      <c r="J439" s="2">
        <v>4</v>
      </c>
      <c r="K439" s="2" t="s">
        <v>151</v>
      </c>
      <c r="L439" s="2" t="s">
        <v>152</v>
      </c>
      <c r="M439" s="2" t="s">
        <v>153</v>
      </c>
      <c r="N439" s="2" t="str">
        <f>HYPERLINK("https://klocwork.dal.design.ti.com:443/review/insight-review.html#issuedetails_goto:problemid=9077,project=MCUSW_J7_KW_FULL,searchquery=taxonomy:'' build:RS-2022-10-06_06-07-58 grouping:off module:CddIpc","KW Issue Link")</f>
        <v>KW Issue Link</v>
      </c>
      <c r="O439" s="2"/>
      <c r="P439" s="2"/>
      <c r="Q439" s="2"/>
      <c r="R439" s="2"/>
      <c r="S439" s="2" t="s">
        <v>154</v>
      </c>
      <c r="T439" s="2"/>
    </row>
    <row r="440" spans="1:20" ht="120" x14ac:dyDescent="0.25">
      <c r="A440" s="2" t="s">
        <v>573</v>
      </c>
      <c r="B440" s="2" t="s">
        <v>574</v>
      </c>
      <c r="C440" s="2" t="s">
        <v>570</v>
      </c>
      <c r="D440" s="2">
        <v>9078</v>
      </c>
      <c r="E440" s="2">
        <v>75</v>
      </c>
      <c r="F440" s="2" t="s">
        <v>575</v>
      </c>
      <c r="G440" s="2" t="s">
        <v>572</v>
      </c>
      <c r="H440" s="2" t="s">
        <v>150</v>
      </c>
      <c r="I440" s="2" t="s">
        <v>88</v>
      </c>
      <c r="J440" s="2">
        <v>6</v>
      </c>
      <c r="K440" s="2" t="s">
        <v>151</v>
      </c>
      <c r="L440" s="2" t="s">
        <v>152</v>
      </c>
      <c r="M440" s="2" t="s">
        <v>158</v>
      </c>
      <c r="N440" s="2" t="str">
        <f>HYPERLINK("https://klocwork.dal.design.ti.com:443/review/insight-review.html#issuedetails_goto:problemid=9078,project=MCUSW_J7_KW_FULL,searchquery=taxonomy:'' build:RS-2022-10-06_06-07-58 grouping:off module:CddIpc","KW Issue Link")</f>
        <v>KW Issue Link</v>
      </c>
      <c r="O440" s="2" t="s">
        <v>576</v>
      </c>
      <c r="P440" s="2" t="s">
        <v>577</v>
      </c>
      <c r="Q440" s="2" t="s">
        <v>578</v>
      </c>
      <c r="R440" s="2" t="s">
        <v>579</v>
      </c>
      <c r="S440" s="2" t="s">
        <v>154</v>
      </c>
      <c r="T440" s="2"/>
    </row>
    <row r="441" spans="1:20" ht="120" x14ac:dyDescent="0.25">
      <c r="A441" s="2" t="s">
        <v>573</v>
      </c>
      <c r="B441" s="2" t="s">
        <v>574</v>
      </c>
      <c r="C441" s="2" t="s">
        <v>570</v>
      </c>
      <c r="D441" s="2">
        <v>9079</v>
      </c>
      <c r="E441" s="2">
        <v>85</v>
      </c>
      <c r="F441" s="2" t="s">
        <v>580</v>
      </c>
      <c r="G441" s="2" t="s">
        <v>572</v>
      </c>
      <c r="H441" s="2" t="s">
        <v>150</v>
      </c>
      <c r="I441" s="2" t="s">
        <v>88</v>
      </c>
      <c r="J441" s="2">
        <v>6</v>
      </c>
      <c r="K441" s="2" t="s">
        <v>151</v>
      </c>
      <c r="L441" s="2" t="s">
        <v>152</v>
      </c>
      <c r="M441" s="2" t="s">
        <v>158</v>
      </c>
      <c r="N441" s="2" t="str">
        <f>HYPERLINK("https://klocwork.dal.design.ti.com:443/review/insight-review.html#issuedetails_goto:problemid=9079,project=MCUSW_J7_KW_FULL,searchquery=taxonomy:'' build:RS-2022-10-06_06-07-58 grouping:off module:CddIpc","KW Issue Link")</f>
        <v>KW Issue Link</v>
      </c>
      <c r="O441" s="2" t="s">
        <v>576</v>
      </c>
      <c r="P441" s="2" t="s">
        <v>577</v>
      </c>
      <c r="Q441" s="2" t="s">
        <v>578</v>
      </c>
      <c r="R441" s="2" t="s">
        <v>579</v>
      </c>
      <c r="S441" s="2" t="s">
        <v>154</v>
      </c>
      <c r="T441" s="2"/>
    </row>
    <row r="442" spans="1:20" ht="180" x14ac:dyDescent="0.25">
      <c r="A442" s="2" t="s">
        <v>581</v>
      </c>
      <c r="B442" s="2" t="s">
        <v>582</v>
      </c>
      <c r="C442" s="2" t="s">
        <v>570</v>
      </c>
      <c r="D442" s="2">
        <v>9080</v>
      </c>
      <c r="E442" s="2">
        <v>80</v>
      </c>
      <c r="F442" s="2" t="s">
        <v>583</v>
      </c>
      <c r="G442" s="2" t="s">
        <v>572</v>
      </c>
      <c r="H442" s="2" t="s">
        <v>150</v>
      </c>
      <c r="I442" s="2" t="s">
        <v>88</v>
      </c>
      <c r="J442" s="2">
        <v>6</v>
      </c>
      <c r="K442" s="2" t="s">
        <v>151</v>
      </c>
      <c r="L442" s="2" t="s">
        <v>152</v>
      </c>
      <c r="M442" s="2" t="s">
        <v>158</v>
      </c>
      <c r="N442" s="2" t="str">
        <f>HYPERLINK("https://klocwork.dal.design.ti.com:443/review/insight-review.html#issuedetails_goto:problemid=9080,project=MCUSW_J7_KW_FULL,searchquery=taxonomy:'' build:RS-2022-10-06_06-07-58 grouping:off module:CddIpc","KW Issue Link")</f>
        <v>KW Issue Link</v>
      </c>
      <c r="O442" s="2" t="s">
        <v>584</v>
      </c>
      <c r="P442" s="2" t="s">
        <v>577</v>
      </c>
      <c r="Q442" s="2" t="s">
        <v>578</v>
      </c>
      <c r="R442" s="2" t="s">
        <v>585</v>
      </c>
      <c r="S442" s="2" t="s">
        <v>154</v>
      </c>
      <c r="T442" s="2"/>
    </row>
    <row r="443" spans="1:20" ht="180" x14ac:dyDescent="0.25">
      <c r="A443" s="2" t="s">
        <v>581</v>
      </c>
      <c r="B443" s="2" t="s">
        <v>582</v>
      </c>
      <c r="C443" s="2" t="s">
        <v>570</v>
      </c>
      <c r="D443" s="2">
        <v>9081</v>
      </c>
      <c r="E443" s="2">
        <v>94</v>
      </c>
      <c r="F443" s="2" t="s">
        <v>586</v>
      </c>
      <c r="G443" s="2" t="s">
        <v>572</v>
      </c>
      <c r="H443" s="2" t="s">
        <v>150</v>
      </c>
      <c r="I443" s="2" t="s">
        <v>88</v>
      </c>
      <c r="J443" s="2">
        <v>6</v>
      </c>
      <c r="K443" s="2" t="s">
        <v>151</v>
      </c>
      <c r="L443" s="2" t="s">
        <v>152</v>
      </c>
      <c r="M443" s="2" t="s">
        <v>158</v>
      </c>
      <c r="N443" s="2" t="str">
        <f>HYPERLINK("https://klocwork.dal.design.ti.com:443/review/insight-review.html#issuedetails_goto:problemid=9081,project=MCUSW_J7_KW_FULL,searchquery=taxonomy:'' build:RS-2022-10-06_06-07-58 grouping:off module:CddIpc","KW Issue Link")</f>
        <v>KW Issue Link</v>
      </c>
      <c r="O443" s="2" t="s">
        <v>584</v>
      </c>
      <c r="P443" s="2" t="s">
        <v>577</v>
      </c>
      <c r="Q443" s="2" t="s">
        <v>578</v>
      </c>
      <c r="R443" s="2" t="s">
        <v>585</v>
      </c>
      <c r="S443" s="2" t="s">
        <v>154</v>
      </c>
      <c r="T443" s="2"/>
    </row>
    <row r="444" spans="1:20" ht="120" x14ac:dyDescent="0.25">
      <c r="A444" s="2" t="s">
        <v>295</v>
      </c>
      <c r="B444" s="2" t="s">
        <v>296</v>
      </c>
      <c r="C444" s="2" t="s">
        <v>570</v>
      </c>
      <c r="D444" s="2">
        <v>9082</v>
      </c>
      <c r="E444" s="2">
        <v>85</v>
      </c>
      <c r="F444" s="2" t="s">
        <v>298</v>
      </c>
      <c r="G444" s="2" t="s">
        <v>572</v>
      </c>
      <c r="H444" s="2" t="s">
        <v>150</v>
      </c>
      <c r="I444" s="2" t="s">
        <v>123</v>
      </c>
      <c r="J444" s="2">
        <v>4</v>
      </c>
      <c r="K444" s="2" t="s">
        <v>151</v>
      </c>
      <c r="L444" s="2" t="s">
        <v>152</v>
      </c>
      <c r="M444" s="2" t="s">
        <v>153</v>
      </c>
      <c r="N444" s="2" t="str">
        <f>HYPERLINK("https://klocwork.dal.design.ti.com:443/review/insight-review.html#issuedetails_goto:problemid=9082,project=MCUSW_J7_KW_FULL,searchquery=taxonomy:'' build:RS-2022-10-06_06-07-58 grouping:off module:CddIpc","KW Issue Link")</f>
        <v>KW Issue Link</v>
      </c>
      <c r="O444" s="2"/>
      <c r="P444" s="2"/>
      <c r="Q444" s="2"/>
      <c r="R444" s="2"/>
      <c r="S444" s="2" t="s">
        <v>154</v>
      </c>
      <c r="T444" s="2"/>
    </row>
    <row r="445" spans="1:20" ht="120" x14ac:dyDescent="0.25">
      <c r="A445" s="2" t="s">
        <v>295</v>
      </c>
      <c r="B445" s="2" t="s">
        <v>296</v>
      </c>
      <c r="C445" s="2" t="s">
        <v>570</v>
      </c>
      <c r="D445" s="2">
        <v>9083</v>
      </c>
      <c r="E445" s="2">
        <v>131</v>
      </c>
      <c r="F445" s="2" t="s">
        <v>298</v>
      </c>
      <c r="G445" s="2" t="s">
        <v>572</v>
      </c>
      <c r="H445" s="2" t="s">
        <v>150</v>
      </c>
      <c r="I445" s="2" t="s">
        <v>123</v>
      </c>
      <c r="J445" s="2">
        <v>4</v>
      </c>
      <c r="K445" s="2" t="s">
        <v>151</v>
      </c>
      <c r="L445" s="2" t="s">
        <v>152</v>
      </c>
      <c r="M445" s="2" t="s">
        <v>153</v>
      </c>
      <c r="N445" s="2" t="str">
        <f>HYPERLINK("https://klocwork.dal.design.ti.com:443/review/insight-review.html#issuedetails_goto:problemid=9083,project=MCUSW_J7_KW_FULL,searchquery=taxonomy:'' build:RS-2022-10-06_06-07-58 grouping:off module:CddIpc","KW Issue Link")</f>
        <v>KW Issue Link</v>
      </c>
      <c r="O445" s="2"/>
      <c r="P445" s="2"/>
      <c r="Q445" s="2"/>
      <c r="R445" s="2"/>
      <c r="S445" s="2" t="s">
        <v>154</v>
      </c>
      <c r="T445" s="2"/>
    </row>
    <row r="446" spans="1:20" ht="120" x14ac:dyDescent="0.25">
      <c r="A446" s="2" t="s">
        <v>587</v>
      </c>
      <c r="B446" s="2" t="s">
        <v>588</v>
      </c>
      <c r="C446" s="2" t="s">
        <v>570</v>
      </c>
      <c r="D446" s="2">
        <v>9084</v>
      </c>
      <c r="E446" s="2">
        <v>111</v>
      </c>
      <c r="F446" s="2" t="s">
        <v>589</v>
      </c>
      <c r="G446" s="2" t="s">
        <v>572</v>
      </c>
      <c r="H446" s="2" t="s">
        <v>150</v>
      </c>
      <c r="I446" s="2" t="s">
        <v>89</v>
      </c>
      <c r="J446" s="2">
        <v>7</v>
      </c>
      <c r="K446" s="2" t="s">
        <v>151</v>
      </c>
      <c r="L446" s="2" t="s">
        <v>152</v>
      </c>
      <c r="M446" s="2" t="s">
        <v>158</v>
      </c>
      <c r="N446" s="2" t="str">
        <f>HYPERLINK("https://klocwork.dal.design.ti.com:443/review/insight-review.html#issuedetails_goto:problemid=9084,project=MCUSW_J7_KW_FULL,searchquery=taxonomy:'' build:RS-2022-10-06_06-07-58 grouping:off module:CddIpc","KW Issue Link")</f>
        <v>KW Issue Link</v>
      </c>
      <c r="O446" s="2" t="s">
        <v>590</v>
      </c>
      <c r="P446" s="2" t="s">
        <v>591</v>
      </c>
      <c r="Q446" s="2" t="s">
        <v>592</v>
      </c>
      <c r="R446" s="2" t="s">
        <v>593</v>
      </c>
      <c r="S446" s="2" t="s">
        <v>154</v>
      </c>
      <c r="T446" s="2" t="s">
        <v>594</v>
      </c>
    </row>
    <row r="447" spans="1:20" ht="120" x14ac:dyDescent="0.25">
      <c r="A447" s="2" t="s">
        <v>359</v>
      </c>
      <c r="B447" s="2" t="s">
        <v>360</v>
      </c>
      <c r="C447" s="2" t="s">
        <v>570</v>
      </c>
      <c r="D447" s="2">
        <v>9112</v>
      </c>
      <c r="E447" s="2">
        <v>188</v>
      </c>
      <c r="F447" s="2" t="s">
        <v>595</v>
      </c>
      <c r="G447" s="2" t="s">
        <v>572</v>
      </c>
      <c r="H447" s="2" t="s">
        <v>150</v>
      </c>
      <c r="I447" s="2" t="s">
        <v>123</v>
      </c>
      <c r="J447" s="2">
        <v>4</v>
      </c>
      <c r="K447" s="2" t="s">
        <v>151</v>
      </c>
      <c r="L447" s="2" t="s">
        <v>152</v>
      </c>
      <c r="M447" s="2" t="s">
        <v>153</v>
      </c>
      <c r="N447" s="2" t="str">
        <f>HYPERLINK("https://klocwork.dal.design.ti.com:443/review/insight-review.html#issuedetails_goto:problemid=9112,project=MCUSW_J7_KW_FULL,searchquery=taxonomy:'' build:RS-2022-10-06_06-07-58 grouping:off module:CddIpc","KW Issue Link")</f>
        <v>KW Issue Link</v>
      </c>
      <c r="O447" s="2"/>
      <c r="P447" s="2"/>
      <c r="Q447" s="2"/>
      <c r="R447" s="2"/>
      <c r="S447" s="2" t="s">
        <v>154</v>
      </c>
      <c r="T447" s="2"/>
    </row>
    <row r="448" spans="1:20" ht="120" x14ac:dyDescent="0.25">
      <c r="A448" s="2" t="s">
        <v>359</v>
      </c>
      <c r="B448" s="2" t="s">
        <v>360</v>
      </c>
      <c r="C448" s="2" t="s">
        <v>570</v>
      </c>
      <c r="D448" s="2">
        <v>9113</v>
      </c>
      <c r="E448" s="2">
        <v>190</v>
      </c>
      <c r="F448" s="2" t="s">
        <v>596</v>
      </c>
      <c r="G448" s="2" t="s">
        <v>572</v>
      </c>
      <c r="H448" s="2" t="s">
        <v>150</v>
      </c>
      <c r="I448" s="2" t="s">
        <v>123</v>
      </c>
      <c r="J448" s="2">
        <v>4</v>
      </c>
      <c r="K448" s="2" t="s">
        <v>151</v>
      </c>
      <c r="L448" s="2" t="s">
        <v>152</v>
      </c>
      <c r="M448" s="2" t="s">
        <v>153</v>
      </c>
      <c r="N448" s="2" t="str">
        <f>HYPERLINK("https://klocwork.dal.design.ti.com:443/review/insight-review.html#issuedetails_goto:problemid=9113,project=MCUSW_J7_KW_FULL,searchquery=taxonomy:'' build:RS-2022-10-06_06-07-58 grouping:off module:CddIpc","KW Issue Link")</f>
        <v>KW Issue Link</v>
      </c>
      <c r="O448" s="2"/>
      <c r="P448" s="2"/>
      <c r="Q448" s="2"/>
      <c r="R448" s="2"/>
      <c r="S448" s="2" t="s">
        <v>154</v>
      </c>
      <c r="T448" s="2"/>
    </row>
    <row r="449" spans="1:20" ht="120" x14ac:dyDescent="0.25">
      <c r="A449" s="2" t="s">
        <v>359</v>
      </c>
      <c r="B449" s="2" t="s">
        <v>360</v>
      </c>
      <c r="C449" s="2" t="s">
        <v>570</v>
      </c>
      <c r="D449" s="2">
        <v>9114</v>
      </c>
      <c r="E449" s="2">
        <v>202</v>
      </c>
      <c r="F449" s="2" t="s">
        <v>597</v>
      </c>
      <c r="G449" s="2" t="s">
        <v>598</v>
      </c>
      <c r="H449" s="2" t="s">
        <v>150</v>
      </c>
      <c r="I449" s="2" t="s">
        <v>123</v>
      </c>
      <c r="J449" s="2">
        <v>4</v>
      </c>
      <c r="K449" s="2" t="s">
        <v>151</v>
      </c>
      <c r="L449" s="2" t="s">
        <v>152</v>
      </c>
      <c r="M449" s="2" t="s">
        <v>153</v>
      </c>
      <c r="N449" s="2" t="str">
        <f>HYPERLINK("https://klocwork.dal.design.ti.com:443/review/insight-review.html#issuedetails_goto:problemid=9114,project=MCUSW_J7_KW_FULL,searchquery=taxonomy:'' build:RS-2022-10-06_06-07-58 grouping:off module:CddIpc","KW Issue Link")</f>
        <v>KW Issue Link</v>
      </c>
      <c r="O449" s="2"/>
      <c r="P449" s="2"/>
      <c r="Q449" s="2"/>
      <c r="R449" s="2"/>
      <c r="S449" s="2" t="s">
        <v>154</v>
      </c>
      <c r="T449" s="2"/>
    </row>
    <row r="450" spans="1:20" ht="120" x14ac:dyDescent="0.25">
      <c r="A450" s="2" t="s">
        <v>359</v>
      </c>
      <c r="B450" s="2" t="s">
        <v>360</v>
      </c>
      <c r="C450" s="2" t="s">
        <v>570</v>
      </c>
      <c r="D450" s="2">
        <v>9116</v>
      </c>
      <c r="E450" s="2">
        <v>325</v>
      </c>
      <c r="F450" s="2" t="s">
        <v>599</v>
      </c>
      <c r="G450" s="2" t="s">
        <v>600</v>
      </c>
      <c r="H450" s="2" t="s">
        <v>150</v>
      </c>
      <c r="I450" s="2" t="s">
        <v>123</v>
      </c>
      <c r="J450" s="2">
        <v>4</v>
      </c>
      <c r="K450" s="2" t="s">
        <v>151</v>
      </c>
      <c r="L450" s="2" t="s">
        <v>152</v>
      </c>
      <c r="M450" s="2" t="s">
        <v>153</v>
      </c>
      <c r="N450" s="2" t="str">
        <f>HYPERLINK("https://klocwork.dal.design.ti.com:443/review/insight-review.html#issuedetails_goto:problemid=9116,project=MCUSW_J7_KW_FULL,searchquery=taxonomy:'' build:RS-2022-10-06_06-07-58 grouping:off module:CddIpc","KW Issue Link")</f>
        <v>KW Issue Link</v>
      </c>
      <c r="O450" s="2"/>
      <c r="P450" s="2"/>
      <c r="Q450" s="2"/>
      <c r="R450" s="2"/>
      <c r="S450" s="2" t="s">
        <v>154</v>
      </c>
      <c r="T450" s="2"/>
    </row>
    <row r="451" spans="1:20" ht="120" x14ac:dyDescent="0.25">
      <c r="A451" s="2" t="s">
        <v>359</v>
      </c>
      <c r="B451" s="2" t="s">
        <v>360</v>
      </c>
      <c r="C451" s="2" t="s">
        <v>570</v>
      </c>
      <c r="D451" s="2">
        <v>9117</v>
      </c>
      <c r="E451" s="2">
        <v>492</v>
      </c>
      <c r="F451" s="2" t="s">
        <v>601</v>
      </c>
      <c r="G451" s="2" t="s">
        <v>602</v>
      </c>
      <c r="H451" s="2" t="s">
        <v>150</v>
      </c>
      <c r="I451" s="2" t="s">
        <v>123</v>
      </c>
      <c r="J451" s="2">
        <v>4</v>
      </c>
      <c r="K451" s="2" t="s">
        <v>151</v>
      </c>
      <c r="L451" s="2" t="s">
        <v>152</v>
      </c>
      <c r="M451" s="2" t="s">
        <v>153</v>
      </c>
      <c r="N451" s="2" t="str">
        <f>HYPERLINK("https://klocwork.dal.design.ti.com:443/review/insight-review.html#issuedetails_goto:problemid=9117,project=MCUSW_J7_KW_FULL,searchquery=taxonomy:'' build:RS-2022-10-06_06-07-58 grouping:off module:CddIpc","KW Issue Link")</f>
        <v>KW Issue Link</v>
      </c>
      <c r="O451" s="2"/>
      <c r="P451" s="2"/>
      <c r="Q451" s="2"/>
      <c r="R451" s="2"/>
      <c r="S451" s="2" t="s">
        <v>154</v>
      </c>
      <c r="T451" s="2"/>
    </row>
    <row r="452" spans="1:20" ht="120" x14ac:dyDescent="0.25">
      <c r="A452" s="2" t="s">
        <v>359</v>
      </c>
      <c r="B452" s="2" t="s">
        <v>360</v>
      </c>
      <c r="C452" s="2" t="s">
        <v>570</v>
      </c>
      <c r="D452" s="2">
        <v>9118</v>
      </c>
      <c r="E452" s="2">
        <v>587</v>
      </c>
      <c r="F452" s="2" t="s">
        <v>603</v>
      </c>
      <c r="G452" s="2" t="s">
        <v>604</v>
      </c>
      <c r="H452" s="2" t="s">
        <v>150</v>
      </c>
      <c r="I452" s="2" t="s">
        <v>123</v>
      </c>
      <c r="J452" s="2">
        <v>4</v>
      </c>
      <c r="K452" s="2" t="s">
        <v>151</v>
      </c>
      <c r="L452" s="2" t="s">
        <v>152</v>
      </c>
      <c r="M452" s="2" t="s">
        <v>153</v>
      </c>
      <c r="N452" s="2" t="str">
        <f>HYPERLINK("https://klocwork.dal.design.ti.com:443/review/insight-review.html#issuedetails_goto:problemid=9118,project=MCUSW_J7_KW_FULL,searchquery=taxonomy:'' build:RS-2022-10-06_06-07-58 grouping:off module:CddIpc","KW Issue Link")</f>
        <v>KW Issue Link</v>
      </c>
      <c r="O452" s="2"/>
      <c r="P452" s="2"/>
      <c r="Q452" s="2"/>
      <c r="R452" s="2"/>
      <c r="S452" s="2" t="s">
        <v>154</v>
      </c>
      <c r="T452" s="2"/>
    </row>
    <row r="453" spans="1:20" ht="120" x14ac:dyDescent="0.25">
      <c r="A453" s="2" t="s">
        <v>359</v>
      </c>
      <c r="B453" s="2" t="s">
        <v>360</v>
      </c>
      <c r="C453" s="2" t="s">
        <v>570</v>
      </c>
      <c r="D453" s="2">
        <v>9122</v>
      </c>
      <c r="E453" s="2">
        <v>933</v>
      </c>
      <c r="F453" s="2" t="s">
        <v>599</v>
      </c>
      <c r="G453" s="2" t="s">
        <v>605</v>
      </c>
      <c r="H453" s="2" t="s">
        <v>150</v>
      </c>
      <c r="I453" s="2" t="s">
        <v>123</v>
      </c>
      <c r="J453" s="2">
        <v>4</v>
      </c>
      <c r="K453" s="2" t="s">
        <v>151</v>
      </c>
      <c r="L453" s="2" t="s">
        <v>152</v>
      </c>
      <c r="M453" s="2" t="s">
        <v>153</v>
      </c>
      <c r="N453" s="2" t="str">
        <f>HYPERLINK("https://klocwork.dal.design.ti.com:443/review/insight-review.html#issuedetails_goto:problemid=9122,project=MCUSW_J7_KW_FULL,searchquery=taxonomy:'' build:RS-2022-10-06_06-07-58 grouping:off module:CddIpc","KW Issue Link")</f>
        <v>KW Issue Link</v>
      </c>
      <c r="O453" s="2"/>
      <c r="P453" s="2"/>
      <c r="Q453" s="2"/>
      <c r="R453" s="2"/>
      <c r="S453" s="2" t="s">
        <v>154</v>
      </c>
      <c r="T453" s="2"/>
    </row>
    <row r="454" spans="1:20" ht="120" x14ac:dyDescent="0.25">
      <c r="A454" s="2" t="s">
        <v>345</v>
      </c>
      <c r="B454" s="2" t="s">
        <v>346</v>
      </c>
      <c r="C454" s="2" t="s">
        <v>570</v>
      </c>
      <c r="D454" s="2">
        <v>9136</v>
      </c>
      <c r="E454" s="2">
        <v>203</v>
      </c>
      <c r="F454" s="2" t="s">
        <v>606</v>
      </c>
      <c r="G454" s="2" t="s">
        <v>598</v>
      </c>
      <c r="H454" s="2" t="s">
        <v>150</v>
      </c>
      <c r="I454" s="2" t="s">
        <v>123</v>
      </c>
      <c r="J454" s="2">
        <v>4</v>
      </c>
      <c r="K454" s="2" t="s">
        <v>151</v>
      </c>
      <c r="L454" s="2" t="s">
        <v>152</v>
      </c>
      <c r="M454" s="2" t="s">
        <v>153</v>
      </c>
      <c r="N454" s="2" t="str">
        <f>HYPERLINK("https://klocwork.dal.design.ti.com:443/review/insight-review.html#issuedetails_goto:problemid=9136,project=MCUSW_J7_KW_FULL,searchquery=taxonomy:'' build:RS-2022-10-06_06-07-58 grouping:off module:CddIpc","KW Issue Link")</f>
        <v>KW Issue Link</v>
      </c>
      <c r="O454" s="2"/>
      <c r="P454" s="2"/>
      <c r="Q454" s="2"/>
      <c r="R454" s="2"/>
      <c r="S454" s="2" t="s">
        <v>154</v>
      </c>
      <c r="T454" s="2"/>
    </row>
    <row r="455" spans="1:20" ht="120" x14ac:dyDescent="0.25">
      <c r="A455" s="2" t="s">
        <v>345</v>
      </c>
      <c r="B455" s="2" t="s">
        <v>346</v>
      </c>
      <c r="C455" s="2" t="s">
        <v>570</v>
      </c>
      <c r="D455" s="2">
        <v>9137</v>
      </c>
      <c r="E455" s="2">
        <v>303</v>
      </c>
      <c r="F455" s="2" t="s">
        <v>607</v>
      </c>
      <c r="G455" s="2" t="s">
        <v>608</v>
      </c>
      <c r="H455" s="2" t="s">
        <v>150</v>
      </c>
      <c r="I455" s="2" t="s">
        <v>123</v>
      </c>
      <c r="J455" s="2">
        <v>4</v>
      </c>
      <c r="K455" s="2" t="s">
        <v>151</v>
      </c>
      <c r="L455" s="2" t="s">
        <v>152</v>
      </c>
      <c r="M455" s="2" t="s">
        <v>153</v>
      </c>
      <c r="N455" s="2" t="str">
        <f>HYPERLINK("https://klocwork.dal.design.ti.com:443/review/insight-review.html#issuedetails_goto:problemid=9137,project=MCUSW_J7_KW_FULL,searchquery=taxonomy:'' build:RS-2022-10-06_06-07-58 grouping:off module:CddIpc","KW Issue Link")</f>
        <v>KW Issue Link</v>
      </c>
      <c r="O455" s="2"/>
      <c r="P455" s="2"/>
      <c r="Q455" s="2"/>
      <c r="R455" s="2"/>
      <c r="S455" s="2" t="s">
        <v>154</v>
      </c>
      <c r="T455" s="2"/>
    </row>
    <row r="456" spans="1:20" ht="120" x14ac:dyDescent="0.25">
      <c r="A456" s="2" t="s">
        <v>345</v>
      </c>
      <c r="B456" s="2" t="s">
        <v>346</v>
      </c>
      <c r="C456" s="2" t="s">
        <v>570</v>
      </c>
      <c r="D456" s="2">
        <v>9138</v>
      </c>
      <c r="E456" s="2">
        <v>348</v>
      </c>
      <c r="F456" s="2" t="s">
        <v>609</v>
      </c>
      <c r="G456" s="2" t="s">
        <v>610</v>
      </c>
      <c r="H456" s="2" t="s">
        <v>150</v>
      </c>
      <c r="I456" s="2" t="s">
        <v>123</v>
      </c>
      <c r="J456" s="2">
        <v>4</v>
      </c>
      <c r="K456" s="2" t="s">
        <v>151</v>
      </c>
      <c r="L456" s="2" t="s">
        <v>152</v>
      </c>
      <c r="M456" s="2" t="s">
        <v>153</v>
      </c>
      <c r="N456" s="2" t="str">
        <f>HYPERLINK("https://klocwork.dal.design.ti.com:443/review/insight-review.html#issuedetails_goto:problemid=9138,project=MCUSW_J7_KW_FULL,searchquery=taxonomy:'' build:RS-2022-10-06_06-07-58 grouping:off module:CddIpc","KW Issue Link")</f>
        <v>KW Issue Link</v>
      </c>
      <c r="O456" s="2"/>
      <c r="P456" s="2"/>
      <c r="Q456" s="2"/>
      <c r="R456" s="2"/>
      <c r="S456" s="2" t="s">
        <v>154</v>
      </c>
      <c r="T456" s="2"/>
    </row>
    <row r="457" spans="1:20" ht="120" x14ac:dyDescent="0.25">
      <c r="A457" s="2" t="s">
        <v>345</v>
      </c>
      <c r="B457" s="2" t="s">
        <v>346</v>
      </c>
      <c r="C457" s="2" t="s">
        <v>570</v>
      </c>
      <c r="D457" s="2">
        <v>9140</v>
      </c>
      <c r="E457" s="2">
        <v>946</v>
      </c>
      <c r="F457" s="2" t="s">
        <v>611</v>
      </c>
      <c r="G457" s="2" t="s">
        <v>605</v>
      </c>
      <c r="H457" s="2" t="s">
        <v>150</v>
      </c>
      <c r="I457" s="2" t="s">
        <v>123</v>
      </c>
      <c r="J457" s="2">
        <v>4</v>
      </c>
      <c r="K457" s="2" t="s">
        <v>151</v>
      </c>
      <c r="L457" s="2" t="s">
        <v>152</v>
      </c>
      <c r="M457" s="2" t="s">
        <v>153</v>
      </c>
      <c r="N457" s="2" t="str">
        <f>HYPERLINK("https://klocwork.dal.design.ti.com:443/review/insight-review.html#issuedetails_goto:problemid=9140,project=MCUSW_J7_KW_FULL,searchquery=taxonomy:'' build:RS-2022-10-06_06-07-58 grouping:off module:CddIpc","KW Issue Link")</f>
        <v>KW Issue Link</v>
      </c>
      <c r="O457" s="2"/>
      <c r="P457" s="2"/>
      <c r="Q457" s="2"/>
      <c r="R457" s="2"/>
      <c r="S457" s="2" t="s">
        <v>154</v>
      </c>
      <c r="T457" s="2"/>
    </row>
    <row r="458" spans="1:20" ht="120" x14ac:dyDescent="0.25">
      <c r="A458" s="2" t="s">
        <v>222</v>
      </c>
      <c r="B458" s="2" t="s">
        <v>223</v>
      </c>
      <c r="C458" s="2" t="s">
        <v>570</v>
      </c>
      <c r="D458" s="2">
        <v>9141</v>
      </c>
      <c r="E458" s="2">
        <v>205</v>
      </c>
      <c r="F458" s="2" t="s">
        <v>224</v>
      </c>
      <c r="G458" s="2" t="s">
        <v>598</v>
      </c>
      <c r="H458" s="2" t="s">
        <v>150</v>
      </c>
      <c r="I458" s="2" t="s">
        <v>123</v>
      </c>
      <c r="J458" s="2">
        <v>4</v>
      </c>
      <c r="K458" s="2" t="s">
        <v>151</v>
      </c>
      <c r="L458" s="2" t="s">
        <v>152</v>
      </c>
      <c r="M458" s="2" t="s">
        <v>153</v>
      </c>
      <c r="N458" s="2" t="str">
        <f>HYPERLINK("https://klocwork.dal.design.ti.com:443/review/insight-review.html#issuedetails_goto:problemid=9141,project=MCUSW_J7_KW_FULL,searchquery=taxonomy:'' build:RS-2022-10-06_06-07-58 grouping:off module:CddIpc","KW Issue Link")</f>
        <v>KW Issue Link</v>
      </c>
      <c r="O458" s="2"/>
      <c r="P458" s="2"/>
      <c r="Q458" s="2"/>
      <c r="R458" s="2"/>
      <c r="S458" s="2" t="s">
        <v>154</v>
      </c>
      <c r="T458" s="2"/>
    </row>
    <row r="459" spans="1:20" ht="120" x14ac:dyDescent="0.25">
      <c r="A459" s="2" t="s">
        <v>222</v>
      </c>
      <c r="B459" s="2" t="s">
        <v>223</v>
      </c>
      <c r="C459" s="2" t="s">
        <v>570</v>
      </c>
      <c r="D459" s="2">
        <v>9142</v>
      </c>
      <c r="E459" s="2">
        <v>205</v>
      </c>
      <c r="F459" s="2" t="s">
        <v>224</v>
      </c>
      <c r="G459" s="2" t="s">
        <v>598</v>
      </c>
      <c r="H459" s="2" t="s">
        <v>150</v>
      </c>
      <c r="I459" s="2" t="s">
        <v>123</v>
      </c>
      <c r="J459" s="2">
        <v>4</v>
      </c>
      <c r="K459" s="2" t="s">
        <v>151</v>
      </c>
      <c r="L459" s="2" t="s">
        <v>152</v>
      </c>
      <c r="M459" s="2" t="s">
        <v>153</v>
      </c>
      <c r="N459" s="2" t="str">
        <f>HYPERLINK("https://klocwork.dal.design.ti.com:443/review/insight-review.html#issuedetails_goto:problemid=9142,project=MCUSW_J7_KW_FULL,searchquery=taxonomy:'' build:RS-2022-10-06_06-07-58 grouping:off module:CddIpc","KW Issue Link")</f>
        <v>KW Issue Link</v>
      </c>
      <c r="O459" s="2"/>
      <c r="P459" s="2"/>
      <c r="Q459" s="2"/>
      <c r="R459" s="2"/>
      <c r="S459" s="2" t="s">
        <v>154</v>
      </c>
      <c r="T459" s="2"/>
    </row>
    <row r="460" spans="1:20" ht="120" x14ac:dyDescent="0.25">
      <c r="A460" s="2" t="s">
        <v>222</v>
      </c>
      <c r="B460" s="2" t="s">
        <v>223</v>
      </c>
      <c r="C460" s="2" t="s">
        <v>570</v>
      </c>
      <c r="D460" s="2">
        <v>9143</v>
      </c>
      <c r="E460" s="2">
        <v>384</v>
      </c>
      <c r="F460" s="2" t="s">
        <v>224</v>
      </c>
      <c r="G460" s="2" t="s">
        <v>612</v>
      </c>
      <c r="H460" s="2" t="s">
        <v>150</v>
      </c>
      <c r="I460" s="2" t="s">
        <v>123</v>
      </c>
      <c r="J460" s="2">
        <v>4</v>
      </c>
      <c r="K460" s="2" t="s">
        <v>151</v>
      </c>
      <c r="L460" s="2" t="s">
        <v>152</v>
      </c>
      <c r="M460" s="2" t="s">
        <v>153</v>
      </c>
      <c r="N460" s="2" t="str">
        <f>HYPERLINK("https://klocwork.dal.design.ti.com:443/review/insight-review.html#issuedetails_goto:problemid=9143,project=MCUSW_J7_KW_FULL,searchquery=taxonomy:'' build:RS-2022-10-06_06-07-58 grouping:off module:CddIpc","KW Issue Link")</f>
        <v>KW Issue Link</v>
      </c>
      <c r="O460" s="2"/>
      <c r="P460" s="2"/>
      <c r="Q460" s="2"/>
      <c r="R460" s="2"/>
      <c r="S460" s="2" t="s">
        <v>154</v>
      </c>
      <c r="T460" s="2"/>
    </row>
    <row r="461" spans="1:20" ht="120" x14ac:dyDescent="0.25">
      <c r="A461" s="2" t="s">
        <v>222</v>
      </c>
      <c r="B461" s="2" t="s">
        <v>223</v>
      </c>
      <c r="C461" s="2" t="s">
        <v>570</v>
      </c>
      <c r="D461" s="2">
        <v>9144</v>
      </c>
      <c r="E461" s="2">
        <v>394</v>
      </c>
      <c r="F461" s="2" t="s">
        <v>224</v>
      </c>
      <c r="G461" s="2" t="s">
        <v>613</v>
      </c>
      <c r="H461" s="2" t="s">
        <v>150</v>
      </c>
      <c r="I461" s="2" t="s">
        <v>123</v>
      </c>
      <c r="J461" s="2">
        <v>4</v>
      </c>
      <c r="K461" s="2" t="s">
        <v>151</v>
      </c>
      <c r="L461" s="2" t="s">
        <v>152</v>
      </c>
      <c r="M461" s="2" t="s">
        <v>153</v>
      </c>
      <c r="N461" s="2" t="str">
        <f>HYPERLINK("https://klocwork.dal.design.ti.com:443/review/insight-review.html#issuedetails_goto:problemid=9144,project=MCUSW_J7_KW_FULL,searchquery=taxonomy:'' build:RS-2022-10-06_06-07-58 grouping:off module:CddIpc","KW Issue Link")</f>
        <v>KW Issue Link</v>
      </c>
      <c r="O461" s="2"/>
      <c r="P461" s="2"/>
      <c r="Q461" s="2"/>
      <c r="R461" s="2"/>
      <c r="S461" s="2" t="s">
        <v>154</v>
      </c>
      <c r="T461" s="2"/>
    </row>
    <row r="462" spans="1:20" ht="120" x14ac:dyDescent="0.25">
      <c r="A462" s="2" t="s">
        <v>222</v>
      </c>
      <c r="B462" s="2" t="s">
        <v>223</v>
      </c>
      <c r="C462" s="2" t="s">
        <v>570</v>
      </c>
      <c r="D462" s="2">
        <v>9145</v>
      </c>
      <c r="E462" s="2">
        <v>605</v>
      </c>
      <c r="F462" s="2" t="s">
        <v>224</v>
      </c>
      <c r="G462" s="2" t="s">
        <v>604</v>
      </c>
      <c r="H462" s="2" t="s">
        <v>150</v>
      </c>
      <c r="I462" s="2" t="s">
        <v>123</v>
      </c>
      <c r="J462" s="2">
        <v>4</v>
      </c>
      <c r="K462" s="2" t="s">
        <v>151</v>
      </c>
      <c r="L462" s="2" t="s">
        <v>152</v>
      </c>
      <c r="M462" s="2" t="s">
        <v>153</v>
      </c>
      <c r="N462" s="2" t="str">
        <f>HYPERLINK("https://klocwork.dal.design.ti.com:443/review/insight-review.html#issuedetails_goto:problemid=9145,project=MCUSW_J7_KW_FULL,searchquery=taxonomy:'' build:RS-2022-10-06_06-07-58 grouping:off module:CddIpc","KW Issue Link")</f>
        <v>KW Issue Link</v>
      </c>
      <c r="O462" s="2"/>
      <c r="P462" s="2"/>
      <c r="Q462" s="2"/>
      <c r="R462" s="2"/>
      <c r="S462" s="2" t="s">
        <v>154</v>
      </c>
      <c r="T462" s="2"/>
    </row>
    <row r="463" spans="1:20" ht="120" x14ac:dyDescent="0.25">
      <c r="A463" s="2" t="s">
        <v>222</v>
      </c>
      <c r="B463" s="2" t="s">
        <v>223</v>
      </c>
      <c r="C463" s="2" t="s">
        <v>570</v>
      </c>
      <c r="D463" s="2">
        <v>9146</v>
      </c>
      <c r="E463" s="2">
        <v>610</v>
      </c>
      <c r="F463" s="2" t="s">
        <v>224</v>
      </c>
      <c r="G463" s="2" t="s">
        <v>604</v>
      </c>
      <c r="H463" s="2" t="s">
        <v>150</v>
      </c>
      <c r="I463" s="2" t="s">
        <v>123</v>
      </c>
      <c r="J463" s="2">
        <v>4</v>
      </c>
      <c r="K463" s="2" t="s">
        <v>151</v>
      </c>
      <c r="L463" s="2" t="s">
        <v>152</v>
      </c>
      <c r="M463" s="2" t="s">
        <v>153</v>
      </c>
      <c r="N463" s="2" t="str">
        <f>HYPERLINK("https://klocwork.dal.design.ti.com:443/review/insight-review.html#issuedetails_goto:problemid=9146,project=MCUSW_J7_KW_FULL,searchquery=taxonomy:'' build:RS-2022-10-06_06-07-58 grouping:off module:CddIpc","KW Issue Link")</f>
        <v>KW Issue Link</v>
      </c>
      <c r="O463" s="2"/>
      <c r="P463" s="2"/>
      <c r="Q463" s="2"/>
      <c r="R463" s="2"/>
      <c r="S463" s="2" t="s">
        <v>154</v>
      </c>
      <c r="T463" s="2"/>
    </row>
    <row r="464" spans="1:20" ht="120" x14ac:dyDescent="0.25">
      <c r="A464" s="2" t="s">
        <v>222</v>
      </c>
      <c r="B464" s="2" t="s">
        <v>223</v>
      </c>
      <c r="C464" s="2" t="s">
        <v>570</v>
      </c>
      <c r="D464" s="2">
        <v>9147</v>
      </c>
      <c r="E464" s="2">
        <v>673</v>
      </c>
      <c r="F464" s="2" t="s">
        <v>224</v>
      </c>
      <c r="G464" s="2" t="s">
        <v>614</v>
      </c>
      <c r="H464" s="2" t="s">
        <v>150</v>
      </c>
      <c r="I464" s="2" t="s">
        <v>123</v>
      </c>
      <c r="J464" s="2">
        <v>4</v>
      </c>
      <c r="K464" s="2" t="s">
        <v>151</v>
      </c>
      <c r="L464" s="2" t="s">
        <v>152</v>
      </c>
      <c r="M464" s="2" t="s">
        <v>153</v>
      </c>
      <c r="N464" s="2" t="str">
        <f>HYPERLINK("https://klocwork.dal.design.ti.com:443/review/insight-review.html#issuedetails_goto:problemid=9147,project=MCUSW_J7_KW_FULL,searchquery=taxonomy:'' build:RS-2022-10-06_06-07-58 grouping:off module:CddIpc","KW Issue Link")</f>
        <v>KW Issue Link</v>
      </c>
      <c r="O464" s="2"/>
      <c r="P464" s="2"/>
      <c r="Q464" s="2"/>
      <c r="R464" s="2"/>
      <c r="S464" s="2" t="s">
        <v>154</v>
      </c>
      <c r="T464" s="2"/>
    </row>
    <row r="465" spans="1:20" ht="120" x14ac:dyDescent="0.25">
      <c r="A465" s="2" t="s">
        <v>222</v>
      </c>
      <c r="B465" s="2" t="s">
        <v>223</v>
      </c>
      <c r="C465" s="2" t="s">
        <v>570</v>
      </c>
      <c r="D465" s="2">
        <v>9148</v>
      </c>
      <c r="E465" s="2">
        <v>676</v>
      </c>
      <c r="F465" s="2" t="s">
        <v>224</v>
      </c>
      <c r="G465" s="2" t="s">
        <v>614</v>
      </c>
      <c r="H465" s="2" t="s">
        <v>150</v>
      </c>
      <c r="I465" s="2" t="s">
        <v>123</v>
      </c>
      <c r="J465" s="2">
        <v>4</v>
      </c>
      <c r="K465" s="2" t="s">
        <v>151</v>
      </c>
      <c r="L465" s="2" t="s">
        <v>152</v>
      </c>
      <c r="M465" s="2" t="s">
        <v>153</v>
      </c>
      <c r="N465" s="2" t="str">
        <f>HYPERLINK("https://klocwork.dal.design.ti.com:443/review/insight-review.html#issuedetails_goto:problemid=9148,project=MCUSW_J7_KW_FULL,searchquery=taxonomy:'' build:RS-2022-10-06_06-07-58 grouping:off module:CddIpc","KW Issue Link")</f>
        <v>KW Issue Link</v>
      </c>
      <c r="O465" s="2"/>
      <c r="P465" s="2"/>
      <c r="Q465" s="2"/>
      <c r="R465" s="2"/>
      <c r="S465" s="2" t="s">
        <v>154</v>
      </c>
      <c r="T465" s="2"/>
    </row>
    <row r="466" spans="1:20" ht="120" x14ac:dyDescent="0.25">
      <c r="A466" s="2" t="s">
        <v>222</v>
      </c>
      <c r="B466" s="2" t="s">
        <v>223</v>
      </c>
      <c r="C466" s="2" t="s">
        <v>570</v>
      </c>
      <c r="D466" s="2">
        <v>9149</v>
      </c>
      <c r="E466" s="2">
        <v>676</v>
      </c>
      <c r="F466" s="2" t="s">
        <v>224</v>
      </c>
      <c r="G466" s="2" t="s">
        <v>614</v>
      </c>
      <c r="H466" s="2" t="s">
        <v>150</v>
      </c>
      <c r="I466" s="2" t="s">
        <v>123</v>
      </c>
      <c r="J466" s="2">
        <v>4</v>
      </c>
      <c r="K466" s="2" t="s">
        <v>151</v>
      </c>
      <c r="L466" s="2" t="s">
        <v>152</v>
      </c>
      <c r="M466" s="2" t="s">
        <v>153</v>
      </c>
      <c r="N466" s="2" t="str">
        <f>HYPERLINK("https://klocwork.dal.design.ti.com:443/review/insight-review.html#issuedetails_goto:problemid=9149,project=MCUSW_J7_KW_FULL,searchquery=taxonomy:'' build:RS-2022-10-06_06-07-58 grouping:off module:CddIpc","KW Issue Link")</f>
        <v>KW Issue Link</v>
      </c>
      <c r="O466" s="2"/>
      <c r="P466" s="2"/>
      <c r="Q466" s="2"/>
      <c r="R466" s="2"/>
      <c r="S466" s="2" t="s">
        <v>154</v>
      </c>
      <c r="T466" s="2"/>
    </row>
    <row r="467" spans="1:20" ht="120" x14ac:dyDescent="0.25">
      <c r="A467" s="2" t="s">
        <v>222</v>
      </c>
      <c r="B467" s="2" t="s">
        <v>223</v>
      </c>
      <c r="C467" s="2" t="s">
        <v>570</v>
      </c>
      <c r="D467" s="2">
        <v>9150</v>
      </c>
      <c r="E467" s="2">
        <v>745</v>
      </c>
      <c r="F467" s="2" t="s">
        <v>224</v>
      </c>
      <c r="G467" s="2" t="s">
        <v>615</v>
      </c>
      <c r="H467" s="2" t="s">
        <v>150</v>
      </c>
      <c r="I467" s="2" t="s">
        <v>123</v>
      </c>
      <c r="J467" s="2">
        <v>4</v>
      </c>
      <c r="K467" s="2" t="s">
        <v>151</v>
      </c>
      <c r="L467" s="2" t="s">
        <v>152</v>
      </c>
      <c r="M467" s="2" t="s">
        <v>153</v>
      </c>
      <c r="N467" s="2" t="str">
        <f>HYPERLINK("https://klocwork.dal.design.ti.com:443/review/insight-review.html#issuedetails_goto:problemid=9150,project=MCUSW_J7_KW_FULL,searchquery=taxonomy:'' build:RS-2022-10-06_06-07-58 grouping:off module:CddIpc","KW Issue Link")</f>
        <v>KW Issue Link</v>
      </c>
      <c r="O467" s="2"/>
      <c r="P467" s="2"/>
      <c r="Q467" s="2"/>
      <c r="R467" s="2"/>
      <c r="S467" s="2" t="s">
        <v>154</v>
      </c>
      <c r="T467" s="2"/>
    </row>
    <row r="468" spans="1:20" ht="120" x14ac:dyDescent="0.25">
      <c r="A468" s="2" t="s">
        <v>222</v>
      </c>
      <c r="B468" s="2" t="s">
        <v>223</v>
      </c>
      <c r="C468" s="2" t="s">
        <v>570</v>
      </c>
      <c r="D468" s="2">
        <v>9151</v>
      </c>
      <c r="E468" s="2">
        <v>758</v>
      </c>
      <c r="F468" s="2" t="s">
        <v>224</v>
      </c>
      <c r="G468" s="2" t="s">
        <v>615</v>
      </c>
      <c r="H468" s="2" t="s">
        <v>150</v>
      </c>
      <c r="I468" s="2" t="s">
        <v>123</v>
      </c>
      <c r="J468" s="2">
        <v>4</v>
      </c>
      <c r="K468" s="2" t="s">
        <v>151</v>
      </c>
      <c r="L468" s="2" t="s">
        <v>152</v>
      </c>
      <c r="M468" s="2" t="s">
        <v>153</v>
      </c>
      <c r="N468" s="2" t="str">
        <f>HYPERLINK("https://klocwork.dal.design.ti.com:443/review/insight-review.html#issuedetails_goto:problemid=9151,project=MCUSW_J7_KW_FULL,searchquery=taxonomy:'' build:RS-2022-10-06_06-07-58 grouping:off module:CddIpc","KW Issue Link")</f>
        <v>KW Issue Link</v>
      </c>
      <c r="O468" s="2"/>
      <c r="P468" s="2"/>
      <c r="Q468" s="2"/>
      <c r="R468" s="2"/>
      <c r="S468" s="2" t="s">
        <v>154</v>
      </c>
      <c r="T468" s="2"/>
    </row>
    <row r="469" spans="1:20" ht="120" x14ac:dyDescent="0.25">
      <c r="A469" s="2" t="s">
        <v>222</v>
      </c>
      <c r="B469" s="2" t="s">
        <v>223</v>
      </c>
      <c r="C469" s="2" t="s">
        <v>570</v>
      </c>
      <c r="D469" s="2">
        <v>9152</v>
      </c>
      <c r="E469" s="2">
        <v>762</v>
      </c>
      <c r="F469" s="2" t="s">
        <v>224</v>
      </c>
      <c r="G469" s="2" t="s">
        <v>615</v>
      </c>
      <c r="H469" s="2" t="s">
        <v>150</v>
      </c>
      <c r="I469" s="2" t="s">
        <v>123</v>
      </c>
      <c r="J469" s="2">
        <v>4</v>
      </c>
      <c r="K469" s="2" t="s">
        <v>151</v>
      </c>
      <c r="L469" s="2" t="s">
        <v>152</v>
      </c>
      <c r="M469" s="2" t="s">
        <v>153</v>
      </c>
      <c r="N469" s="2" t="str">
        <f>HYPERLINK("https://klocwork.dal.design.ti.com:443/review/insight-review.html#issuedetails_goto:problemid=9152,project=MCUSW_J7_KW_FULL,searchquery=taxonomy:'' build:RS-2022-10-06_06-07-58 grouping:off module:CddIpc","KW Issue Link")</f>
        <v>KW Issue Link</v>
      </c>
      <c r="O469" s="2"/>
      <c r="P469" s="2"/>
      <c r="Q469" s="2"/>
      <c r="R469" s="2"/>
      <c r="S469" s="2" t="s">
        <v>154</v>
      </c>
      <c r="T469" s="2"/>
    </row>
    <row r="470" spans="1:20" ht="120" x14ac:dyDescent="0.25">
      <c r="A470" s="2" t="s">
        <v>222</v>
      </c>
      <c r="B470" s="2" t="s">
        <v>223</v>
      </c>
      <c r="C470" s="2" t="s">
        <v>570</v>
      </c>
      <c r="D470" s="2">
        <v>9153</v>
      </c>
      <c r="E470" s="2">
        <v>831</v>
      </c>
      <c r="F470" s="2" t="s">
        <v>224</v>
      </c>
      <c r="G470" s="2" t="s">
        <v>616</v>
      </c>
      <c r="H470" s="2" t="s">
        <v>150</v>
      </c>
      <c r="I470" s="2" t="s">
        <v>123</v>
      </c>
      <c r="J470" s="2">
        <v>4</v>
      </c>
      <c r="K470" s="2" t="s">
        <v>151</v>
      </c>
      <c r="L470" s="2" t="s">
        <v>152</v>
      </c>
      <c r="M470" s="2" t="s">
        <v>153</v>
      </c>
      <c r="N470" s="2" t="str">
        <f>HYPERLINK("https://klocwork.dal.design.ti.com:443/review/insight-review.html#issuedetails_goto:problemid=9153,project=MCUSW_J7_KW_FULL,searchquery=taxonomy:'' build:RS-2022-10-06_06-07-58 grouping:off module:CddIpc","KW Issue Link")</f>
        <v>KW Issue Link</v>
      </c>
      <c r="O470" s="2"/>
      <c r="P470" s="2"/>
      <c r="Q470" s="2"/>
      <c r="R470" s="2"/>
      <c r="S470" s="2" t="s">
        <v>154</v>
      </c>
      <c r="T470" s="2"/>
    </row>
    <row r="471" spans="1:20" ht="120" x14ac:dyDescent="0.25">
      <c r="A471" s="2" t="s">
        <v>222</v>
      </c>
      <c r="B471" s="2" t="s">
        <v>223</v>
      </c>
      <c r="C471" s="2" t="s">
        <v>570</v>
      </c>
      <c r="D471" s="2">
        <v>9154</v>
      </c>
      <c r="E471" s="2">
        <v>843</v>
      </c>
      <c r="F471" s="2" t="s">
        <v>224</v>
      </c>
      <c r="G471" s="2" t="s">
        <v>616</v>
      </c>
      <c r="H471" s="2" t="s">
        <v>150</v>
      </c>
      <c r="I471" s="2" t="s">
        <v>123</v>
      </c>
      <c r="J471" s="2">
        <v>4</v>
      </c>
      <c r="K471" s="2" t="s">
        <v>151</v>
      </c>
      <c r="L471" s="2" t="s">
        <v>152</v>
      </c>
      <c r="M471" s="2" t="s">
        <v>153</v>
      </c>
      <c r="N471" s="2" t="str">
        <f>HYPERLINK("https://klocwork.dal.design.ti.com:443/review/insight-review.html#issuedetails_goto:problemid=9154,project=MCUSW_J7_KW_FULL,searchquery=taxonomy:'' build:RS-2022-10-06_06-07-58 grouping:off module:CddIpc","KW Issue Link")</f>
        <v>KW Issue Link</v>
      </c>
      <c r="O471" s="2"/>
      <c r="P471" s="2"/>
      <c r="Q471" s="2"/>
      <c r="R471" s="2"/>
      <c r="S471" s="2" t="s">
        <v>154</v>
      </c>
      <c r="T471" s="2"/>
    </row>
    <row r="472" spans="1:20" ht="120" x14ac:dyDescent="0.25">
      <c r="A472" s="2" t="s">
        <v>222</v>
      </c>
      <c r="B472" s="2" t="s">
        <v>223</v>
      </c>
      <c r="C472" s="2" t="s">
        <v>570</v>
      </c>
      <c r="D472" s="2">
        <v>9155</v>
      </c>
      <c r="E472" s="2">
        <v>844</v>
      </c>
      <c r="F472" s="2" t="s">
        <v>224</v>
      </c>
      <c r="G472" s="2" t="s">
        <v>616</v>
      </c>
      <c r="H472" s="2" t="s">
        <v>150</v>
      </c>
      <c r="I472" s="2" t="s">
        <v>123</v>
      </c>
      <c r="J472" s="2">
        <v>4</v>
      </c>
      <c r="K472" s="2" t="s">
        <v>151</v>
      </c>
      <c r="L472" s="2" t="s">
        <v>152</v>
      </c>
      <c r="M472" s="2" t="s">
        <v>153</v>
      </c>
      <c r="N472" s="2" t="str">
        <f>HYPERLINK("https://klocwork.dal.design.ti.com:443/review/insight-review.html#issuedetails_goto:problemid=9155,project=MCUSW_J7_KW_FULL,searchquery=taxonomy:'' build:RS-2022-10-06_06-07-58 grouping:off module:CddIpc","KW Issue Link")</f>
        <v>KW Issue Link</v>
      </c>
      <c r="O472" s="2"/>
      <c r="P472" s="2"/>
      <c r="Q472" s="2"/>
      <c r="R472" s="2"/>
      <c r="S472" s="2" t="s">
        <v>154</v>
      </c>
      <c r="T472" s="2"/>
    </row>
    <row r="473" spans="1:20" ht="120" x14ac:dyDescent="0.25">
      <c r="A473" s="2" t="s">
        <v>222</v>
      </c>
      <c r="B473" s="2" t="s">
        <v>223</v>
      </c>
      <c r="C473" s="2" t="s">
        <v>570</v>
      </c>
      <c r="D473" s="2">
        <v>9156</v>
      </c>
      <c r="E473" s="2">
        <v>842</v>
      </c>
      <c r="F473" s="2" t="s">
        <v>224</v>
      </c>
      <c r="G473" s="2" t="s">
        <v>616</v>
      </c>
      <c r="H473" s="2" t="s">
        <v>150</v>
      </c>
      <c r="I473" s="2" t="s">
        <v>123</v>
      </c>
      <c r="J473" s="2">
        <v>4</v>
      </c>
      <c r="K473" s="2" t="s">
        <v>151</v>
      </c>
      <c r="L473" s="2" t="s">
        <v>152</v>
      </c>
      <c r="M473" s="2" t="s">
        <v>153</v>
      </c>
      <c r="N473" s="2" t="str">
        <f>HYPERLINK("https://klocwork.dal.design.ti.com:443/review/insight-review.html#issuedetails_goto:problemid=9156,project=MCUSW_J7_KW_FULL,searchquery=taxonomy:'' build:RS-2022-10-06_06-07-58 grouping:off module:CddIpc","KW Issue Link")</f>
        <v>KW Issue Link</v>
      </c>
      <c r="O473" s="2"/>
      <c r="P473" s="2"/>
      <c r="Q473" s="2"/>
      <c r="R473" s="2"/>
      <c r="S473" s="2" t="s">
        <v>154</v>
      </c>
      <c r="T473" s="2"/>
    </row>
    <row r="474" spans="1:20" ht="120" x14ac:dyDescent="0.25">
      <c r="A474" s="2" t="s">
        <v>222</v>
      </c>
      <c r="B474" s="2" t="s">
        <v>223</v>
      </c>
      <c r="C474" s="2" t="s">
        <v>570</v>
      </c>
      <c r="D474" s="2">
        <v>9158</v>
      </c>
      <c r="E474" s="2">
        <v>833</v>
      </c>
      <c r="F474" s="2" t="s">
        <v>224</v>
      </c>
      <c r="G474" s="2" t="s">
        <v>616</v>
      </c>
      <c r="H474" s="2" t="s">
        <v>150</v>
      </c>
      <c r="I474" s="2" t="s">
        <v>123</v>
      </c>
      <c r="J474" s="2">
        <v>4</v>
      </c>
      <c r="K474" s="2" t="s">
        <v>151</v>
      </c>
      <c r="L474" s="2" t="s">
        <v>152</v>
      </c>
      <c r="M474" s="2" t="s">
        <v>153</v>
      </c>
      <c r="N474" s="2" t="str">
        <f>HYPERLINK("https://klocwork.dal.design.ti.com:443/review/insight-review.html#issuedetails_goto:problemid=9158,project=MCUSW_J7_KW_FULL,searchquery=taxonomy:'' build:RS-2022-10-06_06-07-58 grouping:off module:CddIpc","KW Issue Link")</f>
        <v>KW Issue Link</v>
      </c>
      <c r="O474" s="2"/>
      <c r="P474" s="2"/>
      <c r="Q474" s="2"/>
      <c r="R474" s="2"/>
      <c r="S474" s="2" t="s">
        <v>154</v>
      </c>
      <c r="T474" s="2"/>
    </row>
    <row r="475" spans="1:20" ht="120" x14ac:dyDescent="0.25">
      <c r="A475" s="2" t="s">
        <v>263</v>
      </c>
      <c r="B475" s="2" t="s">
        <v>264</v>
      </c>
      <c r="C475" s="2" t="s">
        <v>570</v>
      </c>
      <c r="D475" s="2">
        <v>9159</v>
      </c>
      <c r="E475" s="2">
        <v>205</v>
      </c>
      <c r="F475" s="2" t="s">
        <v>265</v>
      </c>
      <c r="G475" s="2" t="s">
        <v>598</v>
      </c>
      <c r="H475" s="2" t="s">
        <v>150</v>
      </c>
      <c r="I475" s="2" t="s">
        <v>88</v>
      </c>
      <c r="J475" s="2">
        <v>6</v>
      </c>
      <c r="K475" s="2" t="s">
        <v>151</v>
      </c>
      <c r="L475" s="2" t="s">
        <v>152</v>
      </c>
      <c r="M475" s="2" t="s">
        <v>158</v>
      </c>
      <c r="N475" s="2" t="str">
        <f>HYPERLINK("https://klocwork.dal.design.ti.com:443/review/insight-review.html#issuedetails_goto:problemid=9159,project=MCUSW_J7_KW_FULL,searchquery=taxonomy:'' build:RS-2022-10-06_06-07-58 grouping:off module:CddIpc","KW Issue Link")</f>
        <v>KW Issue Link</v>
      </c>
      <c r="O475" s="2" t="s">
        <v>266</v>
      </c>
      <c r="P475" s="2" t="s">
        <v>267</v>
      </c>
      <c r="Q475" s="2" t="s">
        <v>161</v>
      </c>
      <c r="R475" s="2" t="s">
        <v>268</v>
      </c>
      <c r="S475" s="2" t="s">
        <v>154</v>
      </c>
      <c r="T475" s="2"/>
    </row>
    <row r="476" spans="1:20" ht="120" x14ac:dyDescent="0.25">
      <c r="A476" s="2" t="s">
        <v>263</v>
      </c>
      <c r="B476" s="2" t="s">
        <v>264</v>
      </c>
      <c r="C476" s="2" t="s">
        <v>570</v>
      </c>
      <c r="D476" s="2">
        <v>9160</v>
      </c>
      <c r="E476" s="2">
        <v>205</v>
      </c>
      <c r="F476" s="2" t="s">
        <v>265</v>
      </c>
      <c r="G476" s="2" t="s">
        <v>598</v>
      </c>
      <c r="H476" s="2" t="s">
        <v>150</v>
      </c>
      <c r="I476" s="2" t="s">
        <v>88</v>
      </c>
      <c r="J476" s="2">
        <v>6</v>
      </c>
      <c r="K476" s="2" t="s">
        <v>151</v>
      </c>
      <c r="L476" s="2" t="s">
        <v>152</v>
      </c>
      <c r="M476" s="2" t="s">
        <v>158</v>
      </c>
      <c r="N476" s="2" t="str">
        <f>HYPERLINK("https://klocwork.dal.design.ti.com:443/review/insight-review.html#issuedetails_goto:problemid=9160,project=MCUSW_J7_KW_FULL,searchquery=taxonomy:'' build:RS-2022-10-06_06-07-58 grouping:off module:CddIpc","KW Issue Link")</f>
        <v>KW Issue Link</v>
      </c>
      <c r="O476" s="2" t="s">
        <v>266</v>
      </c>
      <c r="P476" s="2" t="s">
        <v>267</v>
      </c>
      <c r="Q476" s="2" t="s">
        <v>161</v>
      </c>
      <c r="R476" s="2" t="s">
        <v>268</v>
      </c>
      <c r="S476" s="2" t="s">
        <v>154</v>
      </c>
      <c r="T476" s="2"/>
    </row>
    <row r="477" spans="1:20" ht="120" x14ac:dyDescent="0.25">
      <c r="A477" s="2" t="s">
        <v>263</v>
      </c>
      <c r="B477" s="2" t="s">
        <v>264</v>
      </c>
      <c r="C477" s="2" t="s">
        <v>570</v>
      </c>
      <c r="D477" s="2">
        <v>9161</v>
      </c>
      <c r="E477" s="2">
        <v>384</v>
      </c>
      <c r="F477" s="2" t="s">
        <v>265</v>
      </c>
      <c r="G477" s="2" t="s">
        <v>612</v>
      </c>
      <c r="H477" s="2" t="s">
        <v>150</v>
      </c>
      <c r="I477" s="2" t="s">
        <v>88</v>
      </c>
      <c r="J477" s="2">
        <v>6</v>
      </c>
      <c r="K477" s="2" t="s">
        <v>151</v>
      </c>
      <c r="L477" s="2" t="s">
        <v>152</v>
      </c>
      <c r="M477" s="2" t="s">
        <v>158</v>
      </c>
      <c r="N477" s="2" t="str">
        <f>HYPERLINK("https://klocwork.dal.design.ti.com:443/review/insight-review.html#issuedetails_goto:problemid=9161,project=MCUSW_J7_KW_FULL,searchquery=taxonomy:'' build:RS-2022-10-06_06-07-58 grouping:off module:CddIpc","KW Issue Link")</f>
        <v>KW Issue Link</v>
      </c>
      <c r="O477" s="2" t="s">
        <v>266</v>
      </c>
      <c r="P477" s="2" t="s">
        <v>267</v>
      </c>
      <c r="Q477" s="2" t="s">
        <v>161</v>
      </c>
      <c r="R477" s="2" t="s">
        <v>268</v>
      </c>
      <c r="S477" s="2" t="s">
        <v>154</v>
      </c>
      <c r="T477" s="2"/>
    </row>
    <row r="478" spans="1:20" ht="120" x14ac:dyDescent="0.25">
      <c r="A478" s="2" t="s">
        <v>263</v>
      </c>
      <c r="B478" s="2" t="s">
        <v>264</v>
      </c>
      <c r="C478" s="2" t="s">
        <v>570</v>
      </c>
      <c r="D478" s="2">
        <v>9162</v>
      </c>
      <c r="E478" s="2">
        <v>394</v>
      </c>
      <c r="F478" s="2" t="s">
        <v>265</v>
      </c>
      <c r="G478" s="2" t="s">
        <v>613</v>
      </c>
      <c r="H478" s="2" t="s">
        <v>150</v>
      </c>
      <c r="I478" s="2" t="s">
        <v>88</v>
      </c>
      <c r="J478" s="2">
        <v>6</v>
      </c>
      <c r="K478" s="2" t="s">
        <v>151</v>
      </c>
      <c r="L478" s="2" t="s">
        <v>152</v>
      </c>
      <c r="M478" s="2" t="s">
        <v>158</v>
      </c>
      <c r="N478" s="2" t="str">
        <f>HYPERLINK("https://klocwork.dal.design.ti.com:443/review/insight-review.html#issuedetails_goto:problemid=9162,project=MCUSW_J7_KW_FULL,searchquery=taxonomy:'' build:RS-2022-10-06_06-07-58 grouping:off module:CddIpc","KW Issue Link")</f>
        <v>KW Issue Link</v>
      </c>
      <c r="O478" s="2" t="s">
        <v>266</v>
      </c>
      <c r="P478" s="2" t="s">
        <v>267</v>
      </c>
      <c r="Q478" s="2" t="s">
        <v>161</v>
      </c>
      <c r="R478" s="2" t="s">
        <v>268</v>
      </c>
      <c r="S478" s="2" t="s">
        <v>154</v>
      </c>
      <c r="T478" s="2"/>
    </row>
    <row r="479" spans="1:20" ht="120" x14ac:dyDescent="0.25">
      <c r="A479" s="2" t="s">
        <v>263</v>
      </c>
      <c r="B479" s="2" t="s">
        <v>264</v>
      </c>
      <c r="C479" s="2" t="s">
        <v>570</v>
      </c>
      <c r="D479" s="2">
        <v>9163</v>
      </c>
      <c r="E479" s="2">
        <v>605</v>
      </c>
      <c r="F479" s="2" t="s">
        <v>265</v>
      </c>
      <c r="G479" s="2" t="s">
        <v>604</v>
      </c>
      <c r="H479" s="2" t="s">
        <v>150</v>
      </c>
      <c r="I479" s="2" t="s">
        <v>88</v>
      </c>
      <c r="J479" s="2">
        <v>6</v>
      </c>
      <c r="K479" s="2" t="s">
        <v>151</v>
      </c>
      <c r="L479" s="2" t="s">
        <v>152</v>
      </c>
      <c r="M479" s="2" t="s">
        <v>158</v>
      </c>
      <c r="N479" s="2" t="str">
        <f>HYPERLINK("https://klocwork.dal.design.ti.com:443/review/insight-review.html#issuedetails_goto:problemid=9163,project=MCUSW_J7_KW_FULL,searchquery=taxonomy:'' build:RS-2022-10-06_06-07-58 grouping:off module:CddIpc","KW Issue Link")</f>
        <v>KW Issue Link</v>
      </c>
      <c r="O479" s="2" t="s">
        <v>266</v>
      </c>
      <c r="P479" s="2" t="s">
        <v>267</v>
      </c>
      <c r="Q479" s="2" t="s">
        <v>161</v>
      </c>
      <c r="R479" s="2" t="s">
        <v>268</v>
      </c>
      <c r="S479" s="2" t="s">
        <v>154</v>
      </c>
      <c r="T479" s="2"/>
    </row>
    <row r="480" spans="1:20" ht="120" x14ac:dyDescent="0.25">
      <c r="A480" s="2" t="s">
        <v>263</v>
      </c>
      <c r="B480" s="2" t="s">
        <v>264</v>
      </c>
      <c r="C480" s="2" t="s">
        <v>570</v>
      </c>
      <c r="D480" s="2">
        <v>9164</v>
      </c>
      <c r="E480" s="2">
        <v>610</v>
      </c>
      <c r="F480" s="2" t="s">
        <v>265</v>
      </c>
      <c r="G480" s="2" t="s">
        <v>604</v>
      </c>
      <c r="H480" s="2" t="s">
        <v>150</v>
      </c>
      <c r="I480" s="2" t="s">
        <v>88</v>
      </c>
      <c r="J480" s="2">
        <v>6</v>
      </c>
      <c r="K480" s="2" t="s">
        <v>151</v>
      </c>
      <c r="L480" s="2" t="s">
        <v>152</v>
      </c>
      <c r="M480" s="2" t="s">
        <v>158</v>
      </c>
      <c r="N480" s="2" t="str">
        <f>HYPERLINK("https://klocwork.dal.design.ti.com:443/review/insight-review.html#issuedetails_goto:problemid=9164,project=MCUSW_J7_KW_FULL,searchquery=taxonomy:'' build:RS-2022-10-06_06-07-58 grouping:off module:CddIpc","KW Issue Link")</f>
        <v>KW Issue Link</v>
      </c>
      <c r="O480" s="2" t="s">
        <v>266</v>
      </c>
      <c r="P480" s="2" t="s">
        <v>267</v>
      </c>
      <c r="Q480" s="2" t="s">
        <v>161</v>
      </c>
      <c r="R480" s="2" t="s">
        <v>268</v>
      </c>
      <c r="S480" s="2" t="s">
        <v>154</v>
      </c>
      <c r="T480" s="2"/>
    </row>
    <row r="481" spans="1:20" ht="120" x14ac:dyDescent="0.25">
      <c r="A481" s="2" t="s">
        <v>263</v>
      </c>
      <c r="B481" s="2" t="s">
        <v>264</v>
      </c>
      <c r="C481" s="2" t="s">
        <v>570</v>
      </c>
      <c r="D481" s="2">
        <v>9165</v>
      </c>
      <c r="E481" s="2">
        <v>676</v>
      </c>
      <c r="F481" s="2" t="s">
        <v>265</v>
      </c>
      <c r="G481" s="2" t="s">
        <v>614</v>
      </c>
      <c r="H481" s="2" t="s">
        <v>150</v>
      </c>
      <c r="I481" s="2" t="s">
        <v>88</v>
      </c>
      <c r="J481" s="2">
        <v>6</v>
      </c>
      <c r="K481" s="2" t="s">
        <v>151</v>
      </c>
      <c r="L481" s="2" t="s">
        <v>152</v>
      </c>
      <c r="M481" s="2" t="s">
        <v>158</v>
      </c>
      <c r="N481" s="2" t="str">
        <f>HYPERLINK("https://klocwork.dal.design.ti.com:443/review/insight-review.html#issuedetails_goto:problemid=9165,project=MCUSW_J7_KW_FULL,searchquery=taxonomy:'' build:RS-2022-10-06_06-07-58 grouping:off module:CddIpc","KW Issue Link")</f>
        <v>KW Issue Link</v>
      </c>
      <c r="O481" s="2" t="s">
        <v>266</v>
      </c>
      <c r="P481" s="2" t="s">
        <v>267</v>
      </c>
      <c r="Q481" s="2" t="s">
        <v>161</v>
      </c>
      <c r="R481" s="2" t="s">
        <v>268</v>
      </c>
      <c r="S481" s="2" t="s">
        <v>154</v>
      </c>
      <c r="T481" s="2"/>
    </row>
    <row r="482" spans="1:20" ht="120" x14ac:dyDescent="0.25">
      <c r="A482" s="2" t="s">
        <v>263</v>
      </c>
      <c r="B482" s="2" t="s">
        <v>264</v>
      </c>
      <c r="C482" s="2" t="s">
        <v>570</v>
      </c>
      <c r="D482" s="2">
        <v>9166</v>
      </c>
      <c r="E482" s="2">
        <v>745</v>
      </c>
      <c r="F482" s="2" t="s">
        <v>265</v>
      </c>
      <c r="G482" s="2" t="s">
        <v>615</v>
      </c>
      <c r="H482" s="2" t="s">
        <v>150</v>
      </c>
      <c r="I482" s="2" t="s">
        <v>88</v>
      </c>
      <c r="J482" s="2">
        <v>6</v>
      </c>
      <c r="K482" s="2" t="s">
        <v>151</v>
      </c>
      <c r="L482" s="2" t="s">
        <v>152</v>
      </c>
      <c r="M482" s="2" t="s">
        <v>158</v>
      </c>
      <c r="N482" s="2" t="str">
        <f>HYPERLINK("https://klocwork.dal.design.ti.com:443/review/insight-review.html#issuedetails_goto:problemid=9166,project=MCUSW_J7_KW_FULL,searchquery=taxonomy:'' build:RS-2022-10-06_06-07-58 grouping:off module:CddIpc","KW Issue Link")</f>
        <v>KW Issue Link</v>
      </c>
      <c r="O482" s="2" t="s">
        <v>266</v>
      </c>
      <c r="P482" s="2" t="s">
        <v>267</v>
      </c>
      <c r="Q482" s="2" t="s">
        <v>161</v>
      </c>
      <c r="R482" s="2" t="s">
        <v>268</v>
      </c>
      <c r="S482" s="2" t="s">
        <v>154</v>
      </c>
      <c r="T482" s="2"/>
    </row>
    <row r="483" spans="1:20" ht="120" x14ac:dyDescent="0.25">
      <c r="A483" s="2" t="s">
        <v>263</v>
      </c>
      <c r="B483" s="2" t="s">
        <v>264</v>
      </c>
      <c r="C483" s="2" t="s">
        <v>570</v>
      </c>
      <c r="D483" s="2">
        <v>9167</v>
      </c>
      <c r="E483" s="2">
        <v>762</v>
      </c>
      <c r="F483" s="2" t="s">
        <v>265</v>
      </c>
      <c r="G483" s="2" t="s">
        <v>615</v>
      </c>
      <c r="H483" s="2" t="s">
        <v>150</v>
      </c>
      <c r="I483" s="2" t="s">
        <v>88</v>
      </c>
      <c r="J483" s="2">
        <v>6</v>
      </c>
      <c r="K483" s="2" t="s">
        <v>151</v>
      </c>
      <c r="L483" s="2" t="s">
        <v>152</v>
      </c>
      <c r="M483" s="2" t="s">
        <v>158</v>
      </c>
      <c r="N483" s="2" t="str">
        <f>HYPERLINK("https://klocwork.dal.design.ti.com:443/review/insight-review.html#issuedetails_goto:problemid=9167,project=MCUSW_J7_KW_FULL,searchquery=taxonomy:'' build:RS-2022-10-06_06-07-58 grouping:off module:CddIpc","KW Issue Link")</f>
        <v>KW Issue Link</v>
      </c>
      <c r="O483" s="2" t="s">
        <v>266</v>
      </c>
      <c r="P483" s="2" t="s">
        <v>267</v>
      </c>
      <c r="Q483" s="2" t="s">
        <v>161</v>
      </c>
      <c r="R483" s="2" t="s">
        <v>268</v>
      </c>
      <c r="S483" s="2" t="s">
        <v>154</v>
      </c>
      <c r="T483" s="2"/>
    </row>
    <row r="484" spans="1:20" ht="120" x14ac:dyDescent="0.25">
      <c r="A484" s="2" t="s">
        <v>263</v>
      </c>
      <c r="B484" s="2" t="s">
        <v>264</v>
      </c>
      <c r="C484" s="2" t="s">
        <v>570</v>
      </c>
      <c r="D484" s="2">
        <v>9168</v>
      </c>
      <c r="E484" s="2">
        <v>831</v>
      </c>
      <c r="F484" s="2" t="s">
        <v>265</v>
      </c>
      <c r="G484" s="2" t="s">
        <v>616</v>
      </c>
      <c r="H484" s="2" t="s">
        <v>150</v>
      </c>
      <c r="I484" s="2" t="s">
        <v>88</v>
      </c>
      <c r="J484" s="2">
        <v>6</v>
      </c>
      <c r="K484" s="2" t="s">
        <v>151</v>
      </c>
      <c r="L484" s="2" t="s">
        <v>152</v>
      </c>
      <c r="M484" s="2" t="s">
        <v>158</v>
      </c>
      <c r="N484" s="2" t="str">
        <f>HYPERLINK("https://klocwork.dal.design.ti.com:443/review/insight-review.html#issuedetails_goto:problemid=9168,project=MCUSW_J7_KW_FULL,searchquery=taxonomy:'' build:RS-2022-10-06_06-07-58 grouping:off module:CddIpc","KW Issue Link")</f>
        <v>KW Issue Link</v>
      </c>
      <c r="O484" s="2" t="s">
        <v>266</v>
      </c>
      <c r="P484" s="2" t="s">
        <v>267</v>
      </c>
      <c r="Q484" s="2" t="s">
        <v>161</v>
      </c>
      <c r="R484" s="2" t="s">
        <v>268</v>
      </c>
      <c r="S484" s="2" t="s">
        <v>154</v>
      </c>
      <c r="T484" s="2"/>
    </row>
    <row r="485" spans="1:20" ht="120" x14ac:dyDescent="0.25">
      <c r="A485" s="2" t="s">
        <v>263</v>
      </c>
      <c r="B485" s="2" t="s">
        <v>264</v>
      </c>
      <c r="C485" s="2" t="s">
        <v>570</v>
      </c>
      <c r="D485" s="2">
        <v>9169</v>
      </c>
      <c r="E485" s="2">
        <v>843</v>
      </c>
      <c r="F485" s="2" t="s">
        <v>265</v>
      </c>
      <c r="G485" s="2" t="s">
        <v>616</v>
      </c>
      <c r="H485" s="2" t="s">
        <v>150</v>
      </c>
      <c r="I485" s="2" t="s">
        <v>88</v>
      </c>
      <c r="J485" s="2">
        <v>6</v>
      </c>
      <c r="K485" s="2" t="s">
        <v>151</v>
      </c>
      <c r="L485" s="2" t="s">
        <v>152</v>
      </c>
      <c r="M485" s="2" t="s">
        <v>158</v>
      </c>
      <c r="N485" s="2" t="str">
        <f>HYPERLINK("https://klocwork.dal.design.ti.com:443/review/insight-review.html#issuedetails_goto:problemid=9169,project=MCUSW_J7_KW_FULL,searchquery=taxonomy:'' build:RS-2022-10-06_06-07-58 grouping:off module:CddIpc","KW Issue Link")</f>
        <v>KW Issue Link</v>
      </c>
      <c r="O485" s="2" t="s">
        <v>266</v>
      </c>
      <c r="P485" s="2" t="s">
        <v>267</v>
      </c>
      <c r="Q485" s="2" t="s">
        <v>161</v>
      </c>
      <c r="R485" s="2" t="s">
        <v>268</v>
      </c>
      <c r="S485" s="2" t="s">
        <v>154</v>
      </c>
      <c r="T485" s="2"/>
    </row>
    <row r="486" spans="1:20" ht="120" x14ac:dyDescent="0.25">
      <c r="A486" s="2" t="s">
        <v>263</v>
      </c>
      <c r="B486" s="2" t="s">
        <v>264</v>
      </c>
      <c r="C486" s="2" t="s">
        <v>570</v>
      </c>
      <c r="D486" s="2">
        <v>9170</v>
      </c>
      <c r="E486" s="2">
        <v>844</v>
      </c>
      <c r="F486" s="2" t="s">
        <v>265</v>
      </c>
      <c r="G486" s="2" t="s">
        <v>616</v>
      </c>
      <c r="H486" s="2" t="s">
        <v>150</v>
      </c>
      <c r="I486" s="2" t="s">
        <v>88</v>
      </c>
      <c r="J486" s="2">
        <v>6</v>
      </c>
      <c r="K486" s="2" t="s">
        <v>151</v>
      </c>
      <c r="L486" s="2" t="s">
        <v>152</v>
      </c>
      <c r="M486" s="2" t="s">
        <v>158</v>
      </c>
      <c r="N486" s="2" t="str">
        <f>HYPERLINK("https://klocwork.dal.design.ti.com:443/review/insight-review.html#issuedetails_goto:problemid=9170,project=MCUSW_J7_KW_FULL,searchquery=taxonomy:'' build:RS-2022-10-06_06-07-58 grouping:off module:CddIpc","KW Issue Link")</f>
        <v>KW Issue Link</v>
      </c>
      <c r="O486" s="2" t="s">
        <v>266</v>
      </c>
      <c r="P486" s="2" t="s">
        <v>267</v>
      </c>
      <c r="Q486" s="2" t="s">
        <v>161</v>
      </c>
      <c r="R486" s="2" t="s">
        <v>268</v>
      </c>
      <c r="S486" s="2" t="s">
        <v>154</v>
      </c>
      <c r="T486" s="2"/>
    </row>
    <row r="487" spans="1:20" ht="120" x14ac:dyDescent="0.25">
      <c r="A487" s="2" t="s">
        <v>263</v>
      </c>
      <c r="B487" s="2" t="s">
        <v>264</v>
      </c>
      <c r="C487" s="2" t="s">
        <v>570</v>
      </c>
      <c r="D487" s="2">
        <v>9171</v>
      </c>
      <c r="E487" s="2">
        <v>842</v>
      </c>
      <c r="F487" s="2" t="s">
        <v>265</v>
      </c>
      <c r="G487" s="2" t="s">
        <v>616</v>
      </c>
      <c r="H487" s="2" t="s">
        <v>150</v>
      </c>
      <c r="I487" s="2" t="s">
        <v>88</v>
      </c>
      <c r="J487" s="2">
        <v>6</v>
      </c>
      <c r="K487" s="2" t="s">
        <v>151</v>
      </c>
      <c r="L487" s="2" t="s">
        <v>152</v>
      </c>
      <c r="M487" s="2" t="s">
        <v>158</v>
      </c>
      <c r="N487" s="2" t="str">
        <f>HYPERLINK("https://klocwork.dal.design.ti.com:443/review/insight-review.html#issuedetails_goto:problemid=9171,project=MCUSW_J7_KW_FULL,searchquery=taxonomy:'' build:RS-2022-10-06_06-07-58 grouping:off module:CddIpc","KW Issue Link")</f>
        <v>KW Issue Link</v>
      </c>
      <c r="O487" s="2" t="s">
        <v>266</v>
      </c>
      <c r="P487" s="2" t="s">
        <v>267</v>
      </c>
      <c r="Q487" s="2" t="s">
        <v>161</v>
      </c>
      <c r="R487" s="2" t="s">
        <v>268</v>
      </c>
      <c r="S487" s="2" t="s">
        <v>154</v>
      </c>
      <c r="T487" s="2"/>
    </row>
    <row r="488" spans="1:20" ht="120" x14ac:dyDescent="0.25">
      <c r="A488" s="2" t="s">
        <v>263</v>
      </c>
      <c r="B488" s="2" t="s">
        <v>264</v>
      </c>
      <c r="C488" s="2" t="s">
        <v>570</v>
      </c>
      <c r="D488" s="2">
        <v>9173</v>
      </c>
      <c r="E488" s="2">
        <v>833</v>
      </c>
      <c r="F488" s="2" t="s">
        <v>265</v>
      </c>
      <c r="G488" s="2" t="s">
        <v>616</v>
      </c>
      <c r="H488" s="2" t="s">
        <v>150</v>
      </c>
      <c r="I488" s="2" t="s">
        <v>88</v>
      </c>
      <c r="J488" s="2">
        <v>6</v>
      </c>
      <c r="K488" s="2" t="s">
        <v>151</v>
      </c>
      <c r="L488" s="2" t="s">
        <v>152</v>
      </c>
      <c r="M488" s="2" t="s">
        <v>158</v>
      </c>
      <c r="N488" s="2" t="str">
        <f>HYPERLINK("https://klocwork.dal.design.ti.com:443/review/insight-review.html#issuedetails_goto:problemid=9173,project=MCUSW_J7_KW_FULL,searchquery=taxonomy:'' build:RS-2022-10-06_06-07-58 grouping:off module:CddIpc","KW Issue Link")</f>
        <v>KW Issue Link</v>
      </c>
      <c r="O488" s="2" t="s">
        <v>266</v>
      </c>
      <c r="P488" s="2" t="s">
        <v>267</v>
      </c>
      <c r="Q488" s="2" t="s">
        <v>161</v>
      </c>
      <c r="R488" s="2" t="s">
        <v>268</v>
      </c>
      <c r="S488" s="2" t="s">
        <v>154</v>
      </c>
      <c r="T488" s="2"/>
    </row>
    <row r="489" spans="1:20" ht="120" x14ac:dyDescent="0.25">
      <c r="A489" s="2" t="s">
        <v>436</v>
      </c>
      <c r="B489" s="2" t="s">
        <v>437</v>
      </c>
      <c r="C489" s="2" t="s">
        <v>570</v>
      </c>
      <c r="D489" s="2">
        <v>9174</v>
      </c>
      <c r="E489" s="2">
        <v>205</v>
      </c>
      <c r="F489" s="2" t="s">
        <v>566</v>
      </c>
      <c r="G489" s="2" t="s">
        <v>598</v>
      </c>
      <c r="H489" s="2" t="s">
        <v>150</v>
      </c>
      <c r="I489" s="2" t="s">
        <v>123</v>
      </c>
      <c r="J489" s="2">
        <v>4</v>
      </c>
      <c r="K489" s="2" t="s">
        <v>151</v>
      </c>
      <c r="L489" s="2" t="s">
        <v>152</v>
      </c>
      <c r="M489" s="2" t="s">
        <v>153</v>
      </c>
      <c r="N489" s="2" t="str">
        <f>HYPERLINK("https://klocwork.dal.design.ti.com:443/review/insight-review.html#issuedetails_goto:problemid=9174,project=MCUSW_J7_KW_FULL,searchquery=taxonomy:'' build:RS-2022-10-06_06-07-58 grouping:off module:CddIpc","KW Issue Link")</f>
        <v>KW Issue Link</v>
      </c>
      <c r="O489" s="2"/>
      <c r="P489" s="2"/>
      <c r="Q489" s="2"/>
      <c r="R489" s="2"/>
      <c r="S489" s="2" t="s">
        <v>154</v>
      </c>
      <c r="T489" s="2"/>
    </row>
    <row r="490" spans="1:20" ht="120" x14ac:dyDescent="0.25">
      <c r="A490" s="2" t="s">
        <v>436</v>
      </c>
      <c r="B490" s="2" t="s">
        <v>437</v>
      </c>
      <c r="C490" s="2" t="s">
        <v>570</v>
      </c>
      <c r="D490" s="2">
        <v>9175</v>
      </c>
      <c r="E490" s="2">
        <v>207</v>
      </c>
      <c r="F490" s="2" t="s">
        <v>566</v>
      </c>
      <c r="G490" s="2" t="s">
        <v>598</v>
      </c>
      <c r="H490" s="2" t="s">
        <v>150</v>
      </c>
      <c r="I490" s="2" t="s">
        <v>123</v>
      </c>
      <c r="J490" s="2">
        <v>4</v>
      </c>
      <c r="K490" s="2" t="s">
        <v>151</v>
      </c>
      <c r="L490" s="2" t="s">
        <v>152</v>
      </c>
      <c r="M490" s="2" t="s">
        <v>153</v>
      </c>
      <c r="N490" s="2" t="str">
        <f>HYPERLINK("https://klocwork.dal.design.ti.com:443/review/insight-review.html#issuedetails_goto:problemid=9175,project=MCUSW_J7_KW_FULL,searchquery=taxonomy:'' build:RS-2022-10-06_06-07-58 grouping:off module:CddIpc","KW Issue Link")</f>
        <v>KW Issue Link</v>
      </c>
      <c r="O490" s="2"/>
      <c r="P490" s="2"/>
      <c r="Q490" s="2"/>
      <c r="R490" s="2"/>
      <c r="S490" s="2" t="s">
        <v>154</v>
      </c>
      <c r="T490" s="2"/>
    </row>
    <row r="491" spans="1:20" ht="120" x14ac:dyDescent="0.25">
      <c r="A491" s="2" t="s">
        <v>436</v>
      </c>
      <c r="B491" s="2" t="s">
        <v>437</v>
      </c>
      <c r="C491" s="2" t="s">
        <v>570</v>
      </c>
      <c r="D491" s="2">
        <v>9176</v>
      </c>
      <c r="E491" s="2">
        <v>239</v>
      </c>
      <c r="F491" s="2" t="s">
        <v>439</v>
      </c>
      <c r="G491" s="2" t="s">
        <v>617</v>
      </c>
      <c r="H491" s="2" t="s">
        <v>150</v>
      </c>
      <c r="I491" s="2" t="s">
        <v>123</v>
      </c>
      <c r="J491" s="2">
        <v>4</v>
      </c>
      <c r="K491" s="2" t="s">
        <v>151</v>
      </c>
      <c r="L491" s="2" t="s">
        <v>152</v>
      </c>
      <c r="M491" s="2" t="s">
        <v>153</v>
      </c>
      <c r="N491" s="2" t="str">
        <f>HYPERLINK("https://klocwork.dal.design.ti.com:443/review/insight-review.html#issuedetails_goto:problemid=9176,project=MCUSW_J7_KW_FULL,searchquery=taxonomy:'' build:RS-2022-10-06_06-07-58 grouping:off module:CddIpc","KW Issue Link")</f>
        <v>KW Issue Link</v>
      </c>
      <c r="O491" s="2"/>
      <c r="P491" s="2"/>
      <c r="Q491" s="2"/>
      <c r="R491" s="2"/>
      <c r="S491" s="2" t="s">
        <v>154</v>
      </c>
      <c r="T491" s="2"/>
    </row>
    <row r="492" spans="1:20" ht="120" x14ac:dyDescent="0.25">
      <c r="A492" s="2" t="s">
        <v>436</v>
      </c>
      <c r="B492" s="2" t="s">
        <v>437</v>
      </c>
      <c r="C492" s="2" t="s">
        <v>570</v>
      </c>
      <c r="D492" s="2">
        <v>9177</v>
      </c>
      <c r="E492" s="2">
        <v>266</v>
      </c>
      <c r="F492" s="2" t="s">
        <v>439</v>
      </c>
      <c r="G492" s="2" t="s">
        <v>618</v>
      </c>
      <c r="H492" s="2" t="s">
        <v>150</v>
      </c>
      <c r="I492" s="2" t="s">
        <v>123</v>
      </c>
      <c r="J492" s="2">
        <v>4</v>
      </c>
      <c r="K492" s="2" t="s">
        <v>151</v>
      </c>
      <c r="L492" s="2" t="s">
        <v>152</v>
      </c>
      <c r="M492" s="2" t="s">
        <v>153</v>
      </c>
      <c r="N492" s="2" t="str">
        <f>HYPERLINK("https://klocwork.dal.design.ti.com:443/review/insight-review.html#issuedetails_goto:problemid=9177,project=MCUSW_J7_KW_FULL,searchquery=taxonomy:'' build:RS-2022-10-06_06-07-58 grouping:off module:CddIpc","KW Issue Link")</f>
        <v>KW Issue Link</v>
      </c>
      <c r="O492" s="2"/>
      <c r="P492" s="2"/>
      <c r="Q492" s="2"/>
      <c r="R492" s="2"/>
      <c r="S492" s="2" t="s">
        <v>154</v>
      </c>
      <c r="T492" s="2"/>
    </row>
    <row r="493" spans="1:20" ht="120" x14ac:dyDescent="0.25">
      <c r="A493" s="2" t="s">
        <v>436</v>
      </c>
      <c r="B493" s="2" t="s">
        <v>437</v>
      </c>
      <c r="C493" s="2" t="s">
        <v>570</v>
      </c>
      <c r="D493" s="2">
        <v>9178</v>
      </c>
      <c r="E493" s="2">
        <v>448</v>
      </c>
      <c r="F493" s="2" t="s">
        <v>619</v>
      </c>
      <c r="G493" s="2" t="s">
        <v>620</v>
      </c>
      <c r="H493" s="2" t="s">
        <v>150</v>
      </c>
      <c r="I493" s="2" t="s">
        <v>123</v>
      </c>
      <c r="J493" s="2">
        <v>4</v>
      </c>
      <c r="K493" s="2" t="s">
        <v>151</v>
      </c>
      <c r="L493" s="2" t="s">
        <v>152</v>
      </c>
      <c r="M493" s="2" t="s">
        <v>153</v>
      </c>
      <c r="N493" s="2" t="str">
        <f>HYPERLINK("https://klocwork.dal.design.ti.com:443/review/insight-review.html#issuedetails_goto:problemid=9178,project=MCUSW_J7_KW_FULL,searchquery=taxonomy:'' build:RS-2022-10-06_06-07-58 grouping:off module:CddIpc","KW Issue Link")</f>
        <v>KW Issue Link</v>
      </c>
      <c r="O493" s="2"/>
      <c r="P493" s="2"/>
      <c r="Q493" s="2"/>
      <c r="R493" s="2"/>
      <c r="S493" s="2" t="s">
        <v>154</v>
      </c>
      <c r="T493" s="2"/>
    </row>
    <row r="494" spans="1:20" ht="120" x14ac:dyDescent="0.25">
      <c r="A494" s="2" t="s">
        <v>436</v>
      </c>
      <c r="B494" s="2" t="s">
        <v>437</v>
      </c>
      <c r="C494" s="2" t="s">
        <v>570</v>
      </c>
      <c r="D494" s="2">
        <v>9179</v>
      </c>
      <c r="E494" s="2">
        <v>468</v>
      </c>
      <c r="F494" s="2" t="s">
        <v>619</v>
      </c>
      <c r="G494" s="2" t="s">
        <v>621</v>
      </c>
      <c r="H494" s="2" t="s">
        <v>150</v>
      </c>
      <c r="I494" s="2" t="s">
        <v>123</v>
      </c>
      <c r="J494" s="2">
        <v>4</v>
      </c>
      <c r="K494" s="2" t="s">
        <v>151</v>
      </c>
      <c r="L494" s="2" t="s">
        <v>152</v>
      </c>
      <c r="M494" s="2" t="s">
        <v>153</v>
      </c>
      <c r="N494" s="2" t="str">
        <f>HYPERLINK("https://klocwork.dal.design.ti.com:443/review/insight-review.html#issuedetails_goto:problemid=9179,project=MCUSW_J7_KW_FULL,searchquery=taxonomy:'' build:RS-2022-10-06_06-07-58 grouping:off module:CddIpc","KW Issue Link")</f>
        <v>KW Issue Link</v>
      </c>
      <c r="O494" s="2"/>
      <c r="P494" s="2"/>
      <c r="Q494" s="2"/>
      <c r="R494" s="2"/>
      <c r="S494" s="2" t="s">
        <v>154</v>
      </c>
      <c r="T494" s="2"/>
    </row>
    <row r="495" spans="1:20" ht="120" x14ac:dyDescent="0.25">
      <c r="A495" s="2" t="s">
        <v>436</v>
      </c>
      <c r="B495" s="2" t="s">
        <v>437</v>
      </c>
      <c r="C495" s="2" t="s">
        <v>570</v>
      </c>
      <c r="D495" s="2">
        <v>9180</v>
      </c>
      <c r="E495" s="2">
        <v>501</v>
      </c>
      <c r="F495" s="2" t="s">
        <v>619</v>
      </c>
      <c r="G495" s="2" t="s">
        <v>602</v>
      </c>
      <c r="H495" s="2" t="s">
        <v>150</v>
      </c>
      <c r="I495" s="2" t="s">
        <v>123</v>
      </c>
      <c r="J495" s="2">
        <v>4</v>
      </c>
      <c r="K495" s="2" t="s">
        <v>151</v>
      </c>
      <c r="L495" s="2" t="s">
        <v>152</v>
      </c>
      <c r="M495" s="2" t="s">
        <v>153</v>
      </c>
      <c r="N495" s="2" t="str">
        <f>HYPERLINK("https://klocwork.dal.design.ti.com:443/review/insight-review.html#issuedetails_goto:problemid=9180,project=MCUSW_J7_KW_FULL,searchquery=taxonomy:'' build:RS-2022-10-06_06-07-58 grouping:off module:CddIpc","KW Issue Link")</f>
        <v>KW Issue Link</v>
      </c>
      <c r="O495" s="2"/>
      <c r="P495" s="2"/>
      <c r="Q495" s="2"/>
      <c r="R495" s="2"/>
      <c r="S495" s="2" t="s">
        <v>154</v>
      </c>
      <c r="T495" s="2"/>
    </row>
    <row r="496" spans="1:20" ht="120" x14ac:dyDescent="0.25">
      <c r="A496" s="2" t="s">
        <v>436</v>
      </c>
      <c r="B496" s="2" t="s">
        <v>437</v>
      </c>
      <c r="C496" s="2" t="s">
        <v>570</v>
      </c>
      <c r="D496" s="2">
        <v>9181</v>
      </c>
      <c r="E496" s="2">
        <v>538</v>
      </c>
      <c r="F496" s="2" t="s">
        <v>619</v>
      </c>
      <c r="G496" s="2" t="s">
        <v>622</v>
      </c>
      <c r="H496" s="2" t="s">
        <v>150</v>
      </c>
      <c r="I496" s="2" t="s">
        <v>123</v>
      </c>
      <c r="J496" s="2">
        <v>4</v>
      </c>
      <c r="K496" s="2" t="s">
        <v>151</v>
      </c>
      <c r="L496" s="2" t="s">
        <v>152</v>
      </c>
      <c r="M496" s="2" t="s">
        <v>153</v>
      </c>
      <c r="N496" s="2" t="str">
        <f>HYPERLINK("https://klocwork.dal.design.ti.com:443/review/insight-review.html#issuedetails_goto:problemid=9181,project=MCUSW_J7_KW_FULL,searchquery=taxonomy:'' build:RS-2022-10-06_06-07-58 grouping:off module:CddIpc","KW Issue Link")</f>
        <v>KW Issue Link</v>
      </c>
      <c r="O496" s="2"/>
      <c r="P496" s="2"/>
      <c r="Q496" s="2"/>
      <c r="R496" s="2"/>
      <c r="S496" s="2" t="s">
        <v>154</v>
      </c>
      <c r="T496" s="2"/>
    </row>
    <row r="497" spans="1:20" ht="120" x14ac:dyDescent="0.25">
      <c r="A497" s="2" t="s">
        <v>269</v>
      </c>
      <c r="B497" s="2" t="s">
        <v>270</v>
      </c>
      <c r="C497" s="2" t="s">
        <v>570</v>
      </c>
      <c r="D497" s="2">
        <v>9182</v>
      </c>
      <c r="E497" s="2">
        <v>207</v>
      </c>
      <c r="F497" s="2" t="s">
        <v>623</v>
      </c>
      <c r="G497" s="2" t="s">
        <v>598</v>
      </c>
      <c r="H497" s="2" t="s">
        <v>150</v>
      </c>
      <c r="I497" s="2" t="s">
        <v>123</v>
      </c>
      <c r="J497" s="2">
        <v>4</v>
      </c>
      <c r="K497" s="2" t="s">
        <v>151</v>
      </c>
      <c r="L497" s="2" t="s">
        <v>152</v>
      </c>
      <c r="M497" s="2" t="s">
        <v>153</v>
      </c>
      <c r="N497" s="2" t="str">
        <f>HYPERLINK("https://klocwork.dal.design.ti.com:443/review/insight-review.html#issuedetails_goto:problemid=9182,project=MCUSW_J7_KW_FULL,searchquery=taxonomy:'' build:RS-2022-10-06_06-07-58 grouping:off module:CddIpc","KW Issue Link")</f>
        <v>KW Issue Link</v>
      </c>
      <c r="O497" s="2"/>
      <c r="P497" s="2"/>
      <c r="Q497" s="2"/>
      <c r="R497" s="2"/>
      <c r="S497" s="2" t="s">
        <v>154</v>
      </c>
      <c r="T497" s="2"/>
    </row>
    <row r="498" spans="1:20" ht="120" x14ac:dyDescent="0.25">
      <c r="A498" s="2" t="s">
        <v>269</v>
      </c>
      <c r="B498" s="2" t="s">
        <v>270</v>
      </c>
      <c r="C498" s="2" t="s">
        <v>570</v>
      </c>
      <c r="D498" s="2">
        <v>9183</v>
      </c>
      <c r="E498" s="2">
        <v>230</v>
      </c>
      <c r="F498" s="2" t="s">
        <v>624</v>
      </c>
      <c r="G498" s="2" t="s">
        <v>617</v>
      </c>
      <c r="H498" s="2" t="s">
        <v>150</v>
      </c>
      <c r="I498" s="2" t="s">
        <v>123</v>
      </c>
      <c r="J498" s="2">
        <v>4</v>
      </c>
      <c r="K498" s="2" t="s">
        <v>151</v>
      </c>
      <c r="L498" s="2" t="s">
        <v>152</v>
      </c>
      <c r="M498" s="2" t="s">
        <v>153</v>
      </c>
      <c r="N498" s="2" t="str">
        <f>HYPERLINK("https://klocwork.dal.design.ti.com:443/review/insight-review.html#issuedetails_goto:problemid=9183,project=MCUSW_J7_KW_FULL,searchquery=taxonomy:'' build:RS-2022-10-06_06-07-58 grouping:off module:CddIpc","KW Issue Link")</f>
        <v>KW Issue Link</v>
      </c>
      <c r="O498" s="2"/>
      <c r="P498" s="2"/>
      <c r="Q498" s="2"/>
      <c r="R498" s="2"/>
      <c r="S498" s="2" t="s">
        <v>154</v>
      </c>
      <c r="T498" s="2"/>
    </row>
    <row r="499" spans="1:20" ht="120" x14ac:dyDescent="0.25">
      <c r="A499" s="2" t="s">
        <v>269</v>
      </c>
      <c r="B499" s="2" t="s">
        <v>270</v>
      </c>
      <c r="C499" s="2" t="s">
        <v>570</v>
      </c>
      <c r="D499" s="2">
        <v>9184</v>
      </c>
      <c r="E499" s="2">
        <v>260</v>
      </c>
      <c r="F499" s="2" t="s">
        <v>625</v>
      </c>
      <c r="G499" s="2" t="s">
        <v>618</v>
      </c>
      <c r="H499" s="2" t="s">
        <v>150</v>
      </c>
      <c r="I499" s="2" t="s">
        <v>123</v>
      </c>
      <c r="J499" s="2">
        <v>4</v>
      </c>
      <c r="K499" s="2" t="s">
        <v>151</v>
      </c>
      <c r="L499" s="2" t="s">
        <v>152</v>
      </c>
      <c r="M499" s="2" t="s">
        <v>153</v>
      </c>
      <c r="N499" s="2" t="str">
        <f>HYPERLINK("https://klocwork.dal.design.ti.com:443/review/insight-review.html#issuedetails_goto:problemid=9184,project=MCUSW_J7_KW_FULL,searchquery=taxonomy:'' build:RS-2022-10-06_06-07-58 grouping:off module:CddIpc","KW Issue Link")</f>
        <v>KW Issue Link</v>
      </c>
      <c r="O499" s="2"/>
      <c r="P499" s="2"/>
      <c r="Q499" s="2"/>
      <c r="R499" s="2"/>
      <c r="S499" s="2" t="s">
        <v>154</v>
      </c>
      <c r="T499" s="2"/>
    </row>
    <row r="500" spans="1:20" ht="120" x14ac:dyDescent="0.25">
      <c r="A500" s="2" t="s">
        <v>269</v>
      </c>
      <c r="B500" s="2" t="s">
        <v>270</v>
      </c>
      <c r="C500" s="2" t="s">
        <v>570</v>
      </c>
      <c r="D500" s="2">
        <v>9186</v>
      </c>
      <c r="E500" s="2">
        <v>449</v>
      </c>
      <c r="F500" s="2" t="s">
        <v>626</v>
      </c>
      <c r="G500" s="2" t="s">
        <v>620</v>
      </c>
      <c r="H500" s="2" t="s">
        <v>150</v>
      </c>
      <c r="I500" s="2" t="s">
        <v>123</v>
      </c>
      <c r="J500" s="2">
        <v>4</v>
      </c>
      <c r="K500" s="2" t="s">
        <v>151</v>
      </c>
      <c r="L500" s="2" t="s">
        <v>152</v>
      </c>
      <c r="M500" s="2" t="s">
        <v>153</v>
      </c>
      <c r="N500" s="2" t="str">
        <f>HYPERLINK("https://klocwork.dal.design.ti.com:443/review/insight-review.html#issuedetails_goto:problemid=9186,project=MCUSW_J7_KW_FULL,searchquery=taxonomy:'' build:RS-2022-10-06_06-07-58 grouping:off module:CddIpc","KW Issue Link")</f>
        <v>KW Issue Link</v>
      </c>
      <c r="O500" s="2"/>
      <c r="P500" s="2"/>
      <c r="Q500" s="2"/>
      <c r="R500" s="2"/>
      <c r="S500" s="2" t="s">
        <v>154</v>
      </c>
      <c r="T500" s="2"/>
    </row>
    <row r="501" spans="1:20" ht="120" x14ac:dyDescent="0.25">
      <c r="A501" s="2" t="s">
        <v>269</v>
      </c>
      <c r="B501" s="2" t="s">
        <v>270</v>
      </c>
      <c r="C501" s="2" t="s">
        <v>570</v>
      </c>
      <c r="D501" s="2">
        <v>9187</v>
      </c>
      <c r="E501" s="2">
        <v>450</v>
      </c>
      <c r="F501" s="2" t="s">
        <v>627</v>
      </c>
      <c r="G501" s="2" t="s">
        <v>620</v>
      </c>
      <c r="H501" s="2" t="s">
        <v>150</v>
      </c>
      <c r="I501" s="2" t="s">
        <v>123</v>
      </c>
      <c r="J501" s="2">
        <v>4</v>
      </c>
      <c r="K501" s="2" t="s">
        <v>151</v>
      </c>
      <c r="L501" s="2" t="s">
        <v>152</v>
      </c>
      <c r="M501" s="2" t="s">
        <v>153</v>
      </c>
      <c r="N501" s="2" t="str">
        <f>HYPERLINK("https://klocwork.dal.design.ti.com:443/review/insight-review.html#issuedetails_goto:problemid=9187,project=MCUSW_J7_KW_FULL,searchquery=taxonomy:'' build:RS-2022-10-06_06-07-58 grouping:off module:CddIpc","KW Issue Link")</f>
        <v>KW Issue Link</v>
      </c>
      <c r="O501" s="2"/>
      <c r="P501" s="2"/>
      <c r="Q501" s="2"/>
      <c r="R501" s="2"/>
      <c r="S501" s="2" t="s">
        <v>154</v>
      </c>
      <c r="T501" s="2"/>
    </row>
    <row r="502" spans="1:20" ht="120" x14ac:dyDescent="0.25">
      <c r="A502" s="2" t="s">
        <v>269</v>
      </c>
      <c r="B502" s="2" t="s">
        <v>270</v>
      </c>
      <c r="C502" s="2" t="s">
        <v>570</v>
      </c>
      <c r="D502" s="2">
        <v>9190</v>
      </c>
      <c r="E502" s="2">
        <v>942</v>
      </c>
      <c r="F502" s="2" t="s">
        <v>628</v>
      </c>
      <c r="G502" s="2" t="s">
        <v>605</v>
      </c>
      <c r="H502" s="2" t="s">
        <v>150</v>
      </c>
      <c r="I502" s="2" t="s">
        <v>123</v>
      </c>
      <c r="J502" s="2">
        <v>4</v>
      </c>
      <c r="K502" s="2" t="s">
        <v>151</v>
      </c>
      <c r="L502" s="2" t="s">
        <v>152</v>
      </c>
      <c r="M502" s="2" t="s">
        <v>153</v>
      </c>
      <c r="N502" s="2" t="str">
        <f>HYPERLINK("https://klocwork.dal.design.ti.com:443/review/insight-review.html#issuedetails_goto:problemid=9190,project=MCUSW_J7_KW_FULL,searchquery=taxonomy:'' build:RS-2022-10-06_06-07-58 grouping:off module:CddIpc","KW Issue Link")</f>
        <v>KW Issue Link</v>
      </c>
      <c r="O502" s="2"/>
      <c r="P502" s="2"/>
      <c r="Q502" s="2"/>
      <c r="R502" s="2"/>
      <c r="S502" s="2" t="s">
        <v>154</v>
      </c>
      <c r="T502" s="2"/>
    </row>
    <row r="503" spans="1:20" ht="120" x14ac:dyDescent="0.25">
      <c r="A503" s="2" t="s">
        <v>246</v>
      </c>
      <c r="B503" s="2" t="s">
        <v>247</v>
      </c>
      <c r="C503" s="2" t="s">
        <v>570</v>
      </c>
      <c r="D503" s="2">
        <v>9191</v>
      </c>
      <c r="E503" s="2">
        <v>226</v>
      </c>
      <c r="F503" s="2" t="s">
        <v>629</v>
      </c>
      <c r="G503" s="2" t="s">
        <v>617</v>
      </c>
      <c r="H503" s="2" t="s">
        <v>150</v>
      </c>
      <c r="I503" s="2" t="s">
        <v>123</v>
      </c>
      <c r="J503" s="2">
        <v>4</v>
      </c>
      <c r="K503" s="2" t="s">
        <v>151</v>
      </c>
      <c r="L503" s="2" t="s">
        <v>152</v>
      </c>
      <c r="M503" s="2" t="s">
        <v>153</v>
      </c>
      <c r="N503" s="2" t="str">
        <f>HYPERLINK("https://klocwork.dal.design.ti.com:443/review/insight-review.html#issuedetails_goto:problemid=9191,project=MCUSW_J7_KW_FULL,searchquery=taxonomy:'' build:RS-2022-10-06_06-07-58 grouping:off module:CddIpc","KW Issue Link")</f>
        <v>KW Issue Link</v>
      </c>
      <c r="O503" s="2"/>
      <c r="P503" s="2"/>
      <c r="Q503" s="2"/>
      <c r="R503" s="2"/>
      <c r="S503" s="2" t="s">
        <v>154</v>
      </c>
      <c r="T503" s="2"/>
    </row>
    <row r="504" spans="1:20" ht="120" x14ac:dyDescent="0.25">
      <c r="A504" s="2" t="s">
        <v>246</v>
      </c>
      <c r="B504" s="2" t="s">
        <v>247</v>
      </c>
      <c r="C504" s="2" t="s">
        <v>570</v>
      </c>
      <c r="D504" s="2">
        <v>9192</v>
      </c>
      <c r="E504" s="2">
        <v>233</v>
      </c>
      <c r="F504" s="2" t="s">
        <v>498</v>
      </c>
      <c r="G504" s="2" t="s">
        <v>617</v>
      </c>
      <c r="H504" s="2" t="s">
        <v>150</v>
      </c>
      <c r="I504" s="2" t="s">
        <v>123</v>
      </c>
      <c r="J504" s="2">
        <v>4</v>
      </c>
      <c r="K504" s="2" t="s">
        <v>151</v>
      </c>
      <c r="L504" s="2" t="s">
        <v>152</v>
      </c>
      <c r="M504" s="2" t="s">
        <v>153</v>
      </c>
      <c r="N504" s="2" t="str">
        <f>HYPERLINK("https://klocwork.dal.design.ti.com:443/review/insight-review.html#issuedetails_goto:problemid=9192,project=MCUSW_J7_KW_FULL,searchquery=taxonomy:'' build:RS-2022-10-06_06-07-58 grouping:off module:CddIpc","KW Issue Link")</f>
        <v>KW Issue Link</v>
      </c>
      <c r="O504" s="2"/>
      <c r="P504" s="2"/>
      <c r="Q504" s="2"/>
      <c r="R504" s="2"/>
      <c r="S504" s="2" t="s">
        <v>154</v>
      </c>
      <c r="T504" s="2"/>
    </row>
    <row r="505" spans="1:20" ht="120" x14ac:dyDescent="0.25">
      <c r="A505" s="2" t="s">
        <v>246</v>
      </c>
      <c r="B505" s="2" t="s">
        <v>247</v>
      </c>
      <c r="C505" s="2" t="s">
        <v>570</v>
      </c>
      <c r="D505" s="2">
        <v>9193</v>
      </c>
      <c r="E505" s="2">
        <v>256</v>
      </c>
      <c r="F505" s="2" t="s">
        <v>630</v>
      </c>
      <c r="G505" s="2" t="s">
        <v>618</v>
      </c>
      <c r="H505" s="2" t="s">
        <v>150</v>
      </c>
      <c r="I505" s="2" t="s">
        <v>123</v>
      </c>
      <c r="J505" s="2">
        <v>4</v>
      </c>
      <c r="K505" s="2" t="s">
        <v>151</v>
      </c>
      <c r="L505" s="2" t="s">
        <v>152</v>
      </c>
      <c r="M505" s="2" t="s">
        <v>153</v>
      </c>
      <c r="N505" s="2" t="str">
        <f>HYPERLINK("https://klocwork.dal.design.ti.com:443/review/insight-review.html#issuedetails_goto:problemid=9193,project=MCUSW_J7_KW_FULL,searchquery=taxonomy:'' build:RS-2022-10-06_06-07-58 grouping:off module:CddIpc","KW Issue Link")</f>
        <v>KW Issue Link</v>
      </c>
      <c r="O505" s="2"/>
      <c r="P505" s="2"/>
      <c r="Q505" s="2"/>
      <c r="R505" s="2"/>
      <c r="S505" s="2" t="s">
        <v>154</v>
      </c>
      <c r="T505" s="2"/>
    </row>
    <row r="506" spans="1:20" ht="120" x14ac:dyDescent="0.25">
      <c r="A506" s="2" t="s">
        <v>246</v>
      </c>
      <c r="B506" s="2" t="s">
        <v>247</v>
      </c>
      <c r="C506" s="2" t="s">
        <v>570</v>
      </c>
      <c r="D506" s="2">
        <v>9194</v>
      </c>
      <c r="E506" s="2">
        <v>263</v>
      </c>
      <c r="F506" s="2" t="s">
        <v>498</v>
      </c>
      <c r="G506" s="2" t="s">
        <v>618</v>
      </c>
      <c r="H506" s="2" t="s">
        <v>150</v>
      </c>
      <c r="I506" s="2" t="s">
        <v>123</v>
      </c>
      <c r="J506" s="2">
        <v>4</v>
      </c>
      <c r="K506" s="2" t="s">
        <v>151</v>
      </c>
      <c r="L506" s="2" t="s">
        <v>152</v>
      </c>
      <c r="M506" s="2" t="s">
        <v>153</v>
      </c>
      <c r="N506" s="2" t="str">
        <f>HYPERLINK("https://klocwork.dal.design.ti.com:443/review/insight-review.html#issuedetails_goto:problemid=9194,project=MCUSW_J7_KW_FULL,searchquery=taxonomy:'' build:RS-2022-10-06_06-07-58 grouping:off module:CddIpc","KW Issue Link")</f>
        <v>KW Issue Link</v>
      </c>
      <c r="O506" s="2"/>
      <c r="P506" s="2"/>
      <c r="Q506" s="2"/>
      <c r="R506" s="2"/>
      <c r="S506" s="2" t="s">
        <v>154</v>
      </c>
      <c r="T506" s="2"/>
    </row>
    <row r="507" spans="1:20" ht="120" x14ac:dyDescent="0.25">
      <c r="A507" s="2" t="s">
        <v>246</v>
      </c>
      <c r="B507" s="2" t="s">
        <v>247</v>
      </c>
      <c r="C507" s="2" t="s">
        <v>570</v>
      </c>
      <c r="D507" s="2">
        <v>9195</v>
      </c>
      <c r="E507" s="2">
        <v>309</v>
      </c>
      <c r="F507" s="2" t="s">
        <v>631</v>
      </c>
      <c r="G507" s="2" t="s">
        <v>608</v>
      </c>
      <c r="H507" s="2" t="s">
        <v>150</v>
      </c>
      <c r="I507" s="2" t="s">
        <v>123</v>
      </c>
      <c r="J507" s="2">
        <v>4</v>
      </c>
      <c r="K507" s="2" t="s">
        <v>151</v>
      </c>
      <c r="L507" s="2" t="s">
        <v>152</v>
      </c>
      <c r="M507" s="2" t="s">
        <v>153</v>
      </c>
      <c r="N507" s="2" t="str">
        <f>HYPERLINK("https://klocwork.dal.design.ti.com:443/review/insight-review.html#issuedetails_goto:problemid=9195,project=MCUSW_J7_KW_FULL,searchquery=taxonomy:'' build:RS-2022-10-06_06-07-58 grouping:off module:CddIpc","KW Issue Link")</f>
        <v>KW Issue Link</v>
      </c>
      <c r="O507" s="2"/>
      <c r="P507" s="2"/>
      <c r="Q507" s="2"/>
      <c r="R507" s="2"/>
      <c r="S507" s="2" t="s">
        <v>154</v>
      </c>
      <c r="T507" s="2"/>
    </row>
    <row r="508" spans="1:20" ht="120" x14ac:dyDescent="0.25">
      <c r="A508" s="2" t="s">
        <v>246</v>
      </c>
      <c r="B508" s="2" t="s">
        <v>247</v>
      </c>
      <c r="C508" s="2" t="s">
        <v>570</v>
      </c>
      <c r="D508" s="2">
        <v>9196</v>
      </c>
      <c r="E508" s="2">
        <v>600</v>
      </c>
      <c r="F508" s="2" t="s">
        <v>632</v>
      </c>
      <c r="G508" s="2" t="s">
        <v>604</v>
      </c>
      <c r="H508" s="2" t="s">
        <v>150</v>
      </c>
      <c r="I508" s="2" t="s">
        <v>123</v>
      </c>
      <c r="J508" s="2">
        <v>4</v>
      </c>
      <c r="K508" s="2" t="s">
        <v>151</v>
      </c>
      <c r="L508" s="2" t="s">
        <v>152</v>
      </c>
      <c r="M508" s="2" t="s">
        <v>153</v>
      </c>
      <c r="N508" s="2" t="str">
        <f>HYPERLINK("https://klocwork.dal.design.ti.com:443/review/insight-review.html#issuedetails_goto:problemid=9196,project=MCUSW_J7_KW_FULL,searchquery=taxonomy:'' build:RS-2022-10-06_06-07-58 grouping:off module:CddIpc","KW Issue Link")</f>
        <v>KW Issue Link</v>
      </c>
      <c r="O508" s="2"/>
      <c r="P508" s="2"/>
      <c r="Q508" s="2"/>
      <c r="R508" s="2"/>
      <c r="S508" s="2" t="s">
        <v>154</v>
      </c>
      <c r="T508" s="2"/>
    </row>
    <row r="509" spans="1:20" ht="120" x14ac:dyDescent="0.25">
      <c r="A509" s="2" t="s">
        <v>246</v>
      </c>
      <c r="B509" s="2" t="s">
        <v>247</v>
      </c>
      <c r="C509" s="2" t="s">
        <v>570</v>
      </c>
      <c r="D509" s="2">
        <v>9197</v>
      </c>
      <c r="E509" s="2">
        <v>601</v>
      </c>
      <c r="F509" s="2" t="s">
        <v>633</v>
      </c>
      <c r="G509" s="2" t="s">
        <v>604</v>
      </c>
      <c r="H509" s="2" t="s">
        <v>150</v>
      </c>
      <c r="I509" s="2" t="s">
        <v>123</v>
      </c>
      <c r="J509" s="2">
        <v>4</v>
      </c>
      <c r="K509" s="2" t="s">
        <v>151</v>
      </c>
      <c r="L509" s="2" t="s">
        <v>152</v>
      </c>
      <c r="M509" s="2" t="s">
        <v>153</v>
      </c>
      <c r="N509" s="2" t="str">
        <f>HYPERLINK("https://klocwork.dal.design.ti.com:443/review/insight-review.html#issuedetails_goto:problemid=9197,project=MCUSW_J7_KW_FULL,searchquery=taxonomy:'' build:RS-2022-10-06_06-07-58 grouping:off module:CddIpc","KW Issue Link")</f>
        <v>KW Issue Link</v>
      </c>
      <c r="O509" s="2"/>
      <c r="P509" s="2"/>
      <c r="Q509" s="2"/>
      <c r="R509" s="2"/>
      <c r="S509" s="2" t="s">
        <v>154</v>
      </c>
      <c r="T509" s="2"/>
    </row>
    <row r="510" spans="1:20" ht="120" x14ac:dyDescent="0.25">
      <c r="A510" s="2" t="s">
        <v>246</v>
      </c>
      <c r="B510" s="2" t="s">
        <v>247</v>
      </c>
      <c r="C510" s="2" t="s">
        <v>570</v>
      </c>
      <c r="D510" s="2">
        <v>9198</v>
      </c>
      <c r="E510" s="2">
        <v>655</v>
      </c>
      <c r="F510" s="2" t="s">
        <v>634</v>
      </c>
      <c r="G510" s="2" t="s">
        <v>635</v>
      </c>
      <c r="H510" s="2" t="s">
        <v>150</v>
      </c>
      <c r="I510" s="2" t="s">
        <v>123</v>
      </c>
      <c r="J510" s="2">
        <v>4</v>
      </c>
      <c r="K510" s="2" t="s">
        <v>151</v>
      </c>
      <c r="L510" s="2" t="s">
        <v>152</v>
      </c>
      <c r="M510" s="2" t="s">
        <v>153</v>
      </c>
      <c r="N510" s="2" t="str">
        <f>HYPERLINK("https://klocwork.dal.design.ti.com:443/review/insight-review.html#issuedetails_goto:problemid=9198,project=MCUSW_J7_KW_FULL,searchquery=taxonomy:'' build:RS-2022-10-06_06-07-58 grouping:off module:CddIpc","KW Issue Link")</f>
        <v>KW Issue Link</v>
      </c>
      <c r="O510" s="2"/>
      <c r="P510" s="2"/>
      <c r="Q510" s="2"/>
      <c r="R510" s="2"/>
      <c r="S510" s="2" t="s">
        <v>154</v>
      </c>
      <c r="T510" s="2"/>
    </row>
    <row r="511" spans="1:20" ht="120" x14ac:dyDescent="0.25">
      <c r="A511" s="2" t="s">
        <v>246</v>
      </c>
      <c r="B511" s="2" t="s">
        <v>247</v>
      </c>
      <c r="C511" s="2" t="s">
        <v>570</v>
      </c>
      <c r="D511" s="2">
        <v>9201</v>
      </c>
      <c r="E511" s="2">
        <v>777</v>
      </c>
      <c r="F511" s="2" t="s">
        <v>636</v>
      </c>
      <c r="G511" s="2" t="s">
        <v>615</v>
      </c>
      <c r="H511" s="2" t="s">
        <v>150</v>
      </c>
      <c r="I511" s="2" t="s">
        <v>123</v>
      </c>
      <c r="J511" s="2">
        <v>4</v>
      </c>
      <c r="K511" s="2" t="s">
        <v>151</v>
      </c>
      <c r="L511" s="2" t="s">
        <v>152</v>
      </c>
      <c r="M511" s="2" t="s">
        <v>153</v>
      </c>
      <c r="N511" s="2" t="str">
        <f>HYPERLINK("https://klocwork.dal.design.ti.com:443/review/insight-review.html#issuedetails_goto:problemid=9201,project=MCUSW_J7_KW_FULL,searchquery=taxonomy:'' build:RS-2022-10-06_06-07-58 grouping:off module:CddIpc","KW Issue Link")</f>
        <v>KW Issue Link</v>
      </c>
      <c r="O511" s="2"/>
      <c r="P511" s="2"/>
      <c r="Q511" s="2"/>
      <c r="R511" s="2"/>
      <c r="S511" s="2" t="s">
        <v>154</v>
      </c>
      <c r="T511" s="2"/>
    </row>
    <row r="512" spans="1:20" ht="120" x14ac:dyDescent="0.25">
      <c r="A512" s="2" t="s">
        <v>246</v>
      </c>
      <c r="B512" s="2" t="s">
        <v>192</v>
      </c>
      <c r="C512" s="2" t="s">
        <v>570</v>
      </c>
      <c r="D512" s="2">
        <v>9203</v>
      </c>
      <c r="E512" s="2">
        <v>822</v>
      </c>
      <c r="F512" s="2" t="s">
        <v>511</v>
      </c>
      <c r="G512" s="2" t="s">
        <v>616</v>
      </c>
      <c r="H512" s="2" t="s">
        <v>150</v>
      </c>
      <c r="I512" s="2" t="s">
        <v>123</v>
      </c>
      <c r="J512" s="2">
        <v>4</v>
      </c>
      <c r="K512" s="2" t="s">
        <v>151</v>
      </c>
      <c r="L512" s="2" t="s">
        <v>152</v>
      </c>
      <c r="M512" s="2" t="s">
        <v>153</v>
      </c>
      <c r="N512" s="2" t="str">
        <f>HYPERLINK("https://klocwork.dal.design.ti.com:443/review/insight-review.html#issuedetails_goto:problemid=9203,project=MCUSW_J7_KW_FULL,searchquery=taxonomy:'' build:RS-2022-10-06_06-07-58 grouping:off module:CddIpc","KW Issue Link")</f>
        <v>KW Issue Link</v>
      </c>
      <c r="O512" s="2"/>
      <c r="P512" s="2"/>
      <c r="Q512" s="2"/>
      <c r="R512" s="2"/>
      <c r="S512" s="2" t="s">
        <v>154</v>
      </c>
      <c r="T512" s="2"/>
    </row>
    <row r="513" spans="1:20" ht="120" x14ac:dyDescent="0.25">
      <c r="A513" s="2" t="s">
        <v>246</v>
      </c>
      <c r="B513" s="2" t="s">
        <v>192</v>
      </c>
      <c r="C513" s="2" t="s">
        <v>570</v>
      </c>
      <c r="D513" s="2">
        <v>9205</v>
      </c>
      <c r="E513" s="2">
        <v>848</v>
      </c>
      <c r="F513" s="2" t="s">
        <v>637</v>
      </c>
      <c r="G513" s="2" t="s">
        <v>616</v>
      </c>
      <c r="H513" s="2" t="s">
        <v>150</v>
      </c>
      <c r="I513" s="2" t="s">
        <v>123</v>
      </c>
      <c r="J513" s="2">
        <v>4</v>
      </c>
      <c r="K513" s="2" t="s">
        <v>151</v>
      </c>
      <c r="L513" s="2" t="s">
        <v>152</v>
      </c>
      <c r="M513" s="2" t="s">
        <v>153</v>
      </c>
      <c r="N513" s="2" t="str">
        <f>HYPERLINK("https://klocwork.dal.design.ti.com:443/review/insight-review.html#issuedetails_goto:problemid=9205,project=MCUSW_J7_KW_FULL,searchquery=taxonomy:'' build:RS-2022-10-06_06-07-58 grouping:off module:CddIpc","KW Issue Link")</f>
        <v>KW Issue Link</v>
      </c>
      <c r="O513" s="2"/>
      <c r="P513" s="2"/>
      <c r="Q513" s="2"/>
      <c r="R513" s="2"/>
      <c r="S513" s="2" t="s">
        <v>154</v>
      </c>
      <c r="T513" s="2"/>
    </row>
    <row r="514" spans="1:20" ht="120" x14ac:dyDescent="0.25">
      <c r="A514" s="2" t="s">
        <v>246</v>
      </c>
      <c r="B514" s="2" t="s">
        <v>247</v>
      </c>
      <c r="C514" s="2" t="s">
        <v>570</v>
      </c>
      <c r="D514" s="2">
        <v>9206</v>
      </c>
      <c r="E514" s="2">
        <v>892</v>
      </c>
      <c r="F514" s="2" t="s">
        <v>638</v>
      </c>
      <c r="G514" s="2" t="s">
        <v>639</v>
      </c>
      <c r="H514" s="2" t="s">
        <v>150</v>
      </c>
      <c r="I514" s="2" t="s">
        <v>123</v>
      </c>
      <c r="J514" s="2">
        <v>4</v>
      </c>
      <c r="K514" s="2" t="s">
        <v>151</v>
      </c>
      <c r="L514" s="2" t="s">
        <v>152</v>
      </c>
      <c r="M514" s="2" t="s">
        <v>153</v>
      </c>
      <c r="N514" s="2" t="str">
        <f>HYPERLINK("https://klocwork.dal.design.ti.com:443/review/insight-review.html#issuedetails_goto:problemid=9206,project=MCUSW_J7_KW_FULL,searchquery=taxonomy:'' build:RS-2022-10-06_06-07-58 grouping:off module:CddIpc","KW Issue Link")</f>
        <v>KW Issue Link</v>
      </c>
      <c r="O514" s="2"/>
      <c r="P514" s="2"/>
      <c r="Q514" s="2"/>
      <c r="R514" s="2"/>
      <c r="S514" s="2" t="s">
        <v>154</v>
      </c>
      <c r="T514" s="2"/>
    </row>
    <row r="515" spans="1:20" ht="120" x14ac:dyDescent="0.25">
      <c r="A515" s="2" t="s">
        <v>191</v>
      </c>
      <c r="B515" s="2" t="s">
        <v>192</v>
      </c>
      <c r="C515" s="2" t="s">
        <v>570</v>
      </c>
      <c r="D515" s="2">
        <v>9207</v>
      </c>
      <c r="E515" s="2">
        <v>228</v>
      </c>
      <c r="F515" s="2" t="s">
        <v>193</v>
      </c>
      <c r="G515" s="2" t="s">
        <v>617</v>
      </c>
      <c r="H515" s="2" t="s">
        <v>150</v>
      </c>
      <c r="I515" s="2" t="s">
        <v>123</v>
      </c>
      <c r="J515" s="2">
        <v>4</v>
      </c>
      <c r="K515" s="2" t="s">
        <v>151</v>
      </c>
      <c r="L515" s="2" t="s">
        <v>152</v>
      </c>
      <c r="M515" s="2" t="s">
        <v>153</v>
      </c>
      <c r="N515" s="2" t="str">
        <f>HYPERLINK("https://klocwork.dal.design.ti.com:443/review/insight-review.html#issuedetails_goto:problemid=9207,project=MCUSW_J7_KW_FULL,searchquery=taxonomy:'' build:RS-2022-10-06_06-07-58 grouping:off module:CddIpc","KW Issue Link")</f>
        <v>KW Issue Link</v>
      </c>
      <c r="O515" s="2"/>
      <c r="P515" s="2"/>
      <c r="Q515" s="2"/>
      <c r="R515" s="2"/>
      <c r="S515" s="2" t="s">
        <v>154</v>
      </c>
      <c r="T515" s="2"/>
    </row>
    <row r="516" spans="1:20" ht="120" x14ac:dyDescent="0.25">
      <c r="A516" s="2" t="s">
        <v>191</v>
      </c>
      <c r="B516" s="2" t="s">
        <v>192</v>
      </c>
      <c r="C516" s="2" t="s">
        <v>570</v>
      </c>
      <c r="D516" s="2">
        <v>9208</v>
      </c>
      <c r="E516" s="2">
        <v>258</v>
      </c>
      <c r="F516" s="2" t="s">
        <v>193</v>
      </c>
      <c r="G516" s="2" t="s">
        <v>618</v>
      </c>
      <c r="H516" s="2" t="s">
        <v>150</v>
      </c>
      <c r="I516" s="2" t="s">
        <v>123</v>
      </c>
      <c r="J516" s="2">
        <v>4</v>
      </c>
      <c r="K516" s="2" t="s">
        <v>151</v>
      </c>
      <c r="L516" s="2" t="s">
        <v>152</v>
      </c>
      <c r="M516" s="2" t="s">
        <v>153</v>
      </c>
      <c r="N516" s="2" t="str">
        <f>HYPERLINK("https://klocwork.dal.design.ti.com:443/review/insight-review.html#issuedetails_goto:problemid=9208,project=MCUSW_J7_KW_FULL,searchquery=taxonomy:'' build:RS-2022-10-06_06-07-58 grouping:off module:CddIpc","KW Issue Link")</f>
        <v>KW Issue Link</v>
      </c>
      <c r="O516" s="2"/>
      <c r="P516" s="2"/>
      <c r="Q516" s="2"/>
      <c r="R516" s="2"/>
      <c r="S516" s="2" t="s">
        <v>154</v>
      </c>
      <c r="T516" s="2"/>
    </row>
    <row r="517" spans="1:20" ht="120" x14ac:dyDescent="0.25">
      <c r="A517" s="2" t="s">
        <v>191</v>
      </c>
      <c r="B517" s="2" t="s">
        <v>192</v>
      </c>
      <c r="C517" s="2" t="s">
        <v>570</v>
      </c>
      <c r="D517" s="2">
        <v>9209</v>
      </c>
      <c r="E517" s="2">
        <v>350</v>
      </c>
      <c r="F517" s="2" t="s">
        <v>193</v>
      </c>
      <c r="G517" s="2" t="s">
        <v>610</v>
      </c>
      <c r="H517" s="2" t="s">
        <v>150</v>
      </c>
      <c r="I517" s="2" t="s">
        <v>123</v>
      </c>
      <c r="J517" s="2">
        <v>4</v>
      </c>
      <c r="K517" s="2" t="s">
        <v>151</v>
      </c>
      <c r="L517" s="2" t="s">
        <v>152</v>
      </c>
      <c r="M517" s="2" t="s">
        <v>153</v>
      </c>
      <c r="N517" s="2" t="str">
        <f>HYPERLINK("https://klocwork.dal.design.ti.com:443/review/insight-review.html#issuedetails_goto:problemid=9209,project=MCUSW_J7_KW_FULL,searchquery=taxonomy:'' build:RS-2022-10-06_06-07-58 grouping:off module:CddIpc","KW Issue Link")</f>
        <v>KW Issue Link</v>
      </c>
      <c r="O517" s="2"/>
      <c r="P517" s="2"/>
      <c r="Q517" s="2"/>
      <c r="R517" s="2"/>
      <c r="S517" s="2" t="s">
        <v>154</v>
      </c>
      <c r="T517" s="2"/>
    </row>
    <row r="518" spans="1:20" ht="120" x14ac:dyDescent="0.25">
      <c r="A518" s="2" t="s">
        <v>365</v>
      </c>
      <c r="B518" s="2" t="s">
        <v>366</v>
      </c>
      <c r="C518" s="2" t="s">
        <v>570</v>
      </c>
      <c r="D518" s="2">
        <v>9226</v>
      </c>
      <c r="E518" s="2">
        <v>287</v>
      </c>
      <c r="F518" s="2" t="s">
        <v>368</v>
      </c>
      <c r="G518" s="2" t="s">
        <v>640</v>
      </c>
      <c r="H518" s="2" t="s">
        <v>150</v>
      </c>
      <c r="I518" s="2" t="s">
        <v>123</v>
      </c>
      <c r="J518" s="2">
        <v>4</v>
      </c>
      <c r="K518" s="2" t="s">
        <v>151</v>
      </c>
      <c r="L518" s="2" t="s">
        <v>152</v>
      </c>
      <c r="M518" s="2" t="s">
        <v>153</v>
      </c>
      <c r="N518" s="2" t="str">
        <f>HYPERLINK("https://klocwork.dal.design.ti.com:443/review/insight-review.html#issuedetails_goto:problemid=9226,project=MCUSW_J7_KW_FULL,searchquery=taxonomy:'' build:RS-2022-10-06_06-07-58 grouping:off module:CddIpc","KW Issue Link")</f>
        <v>KW Issue Link</v>
      </c>
      <c r="O518" s="2"/>
      <c r="P518" s="2"/>
      <c r="Q518" s="2"/>
      <c r="R518" s="2"/>
      <c r="S518" s="2" t="s">
        <v>154</v>
      </c>
      <c r="T518" s="2"/>
    </row>
    <row r="519" spans="1:20" ht="120" x14ac:dyDescent="0.25">
      <c r="A519" s="2" t="s">
        <v>365</v>
      </c>
      <c r="B519" s="2" t="s">
        <v>366</v>
      </c>
      <c r="C519" s="2" t="s">
        <v>570</v>
      </c>
      <c r="D519" s="2">
        <v>9227</v>
      </c>
      <c r="E519" s="2">
        <v>332</v>
      </c>
      <c r="F519" s="2" t="s">
        <v>370</v>
      </c>
      <c r="G519" s="2" t="s">
        <v>600</v>
      </c>
      <c r="H519" s="2" t="s">
        <v>150</v>
      </c>
      <c r="I519" s="2" t="s">
        <v>123</v>
      </c>
      <c r="J519" s="2">
        <v>4</v>
      </c>
      <c r="K519" s="2" t="s">
        <v>151</v>
      </c>
      <c r="L519" s="2" t="s">
        <v>152</v>
      </c>
      <c r="M519" s="2" t="s">
        <v>153</v>
      </c>
      <c r="N519" s="2" t="str">
        <f>HYPERLINK("https://klocwork.dal.design.ti.com:443/review/insight-review.html#issuedetails_goto:problemid=9227,project=MCUSW_J7_KW_FULL,searchquery=taxonomy:'' build:RS-2022-10-06_06-07-58 grouping:off module:CddIpc","KW Issue Link")</f>
        <v>KW Issue Link</v>
      </c>
      <c r="O519" s="2"/>
      <c r="P519" s="2"/>
      <c r="Q519" s="2"/>
      <c r="R519" s="2"/>
      <c r="S519" s="2" t="s">
        <v>154</v>
      </c>
      <c r="T519" s="2"/>
    </row>
    <row r="520" spans="1:20" ht="120" x14ac:dyDescent="0.25">
      <c r="A520" s="2" t="s">
        <v>365</v>
      </c>
      <c r="B520" s="2" t="s">
        <v>366</v>
      </c>
      <c r="C520" s="2" t="s">
        <v>570</v>
      </c>
      <c r="D520" s="2">
        <v>9228</v>
      </c>
      <c r="E520" s="2">
        <v>428</v>
      </c>
      <c r="F520" s="2" t="s">
        <v>641</v>
      </c>
      <c r="G520" s="2" t="s">
        <v>642</v>
      </c>
      <c r="H520" s="2" t="s">
        <v>150</v>
      </c>
      <c r="I520" s="2" t="s">
        <v>123</v>
      </c>
      <c r="J520" s="2">
        <v>4</v>
      </c>
      <c r="K520" s="2" t="s">
        <v>151</v>
      </c>
      <c r="L520" s="2" t="s">
        <v>152</v>
      </c>
      <c r="M520" s="2" t="s">
        <v>153</v>
      </c>
      <c r="N520" s="2" t="str">
        <f>HYPERLINK("https://klocwork.dal.design.ti.com:443/review/insight-review.html#issuedetails_goto:problemid=9228,project=MCUSW_J7_KW_FULL,searchquery=taxonomy:'' build:RS-2022-10-06_06-07-58 grouping:off module:CddIpc","KW Issue Link")</f>
        <v>KW Issue Link</v>
      </c>
      <c r="O520" s="2"/>
      <c r="P520" s="2"/>
      <c r="Q520" s="2"/>
      <c r="R520" s="2"/>
      <c r="S520" s="2" t="s">
        <v>154</v>
      </c>
      <c r="T520" s="2"/>
    </row>
    <row r="521" spans="1:20" ht="120" x14ac:dyDescent="0.25">
      <c r="A521" s="2" t="s">
        <v>365</v>
      </c>
      <c r="B521" s="2" t="s">
        <v>486</v>
      </c>
      <c r="C521" s="2" t="s">
        <v>570</v>
      </c>
      <c r="D521" s="2">
        <v>9237</v>
      </c>
      <c r="E521" s="2">
        <v>860</v>
      </c>
      <c r="F521" s="2" t="s">
        <v>367</v>
      </c>
      <c r="G521" s="2" t="s">
        <v>616</v>
      </c>
      <c r="H521" s="2" t="s">
        <v>150</v>
      </c>
      <c r="I521" s="2" t="s">
        <v>123</v>
      </c>
      <c r="J521" s="2">
        <v>4</v>
      </c>
      <c r="K521" s="2" t="s">
        <v>151</v>
      </c>
      <c r="L521" s="2" t="s">
        <v>152</v>
      </c>
      <c r="M521" s="2" t="s">
        <v>153</v>
      </c>
      <c r="N521" s="2" t="str">
        <f>HYPERLINK("https://klocwork.dal.design.ti.com:443/review/insight-review.html#issuedetails_goto:problemid=9237,project=MCUSW_J7_KW_FULL,searchquery=taxonomy:'' build:RS-2022-10-06_06-07-58 grouping:off module:CddIpc","KW Issue Link")</f>
        <v>KW Issue Link</v>
      </c>
      <c r="O521" s="2"/>
      <c r="P521" s="2"/>
      <c r="Q521" s="2"/>
      <c r="R521" s="2"/>
      <c r="S521" s="2" t="s">
        <v>154</v>
      </c>
      <c r="T521" s="2"/>
    </row>
    <row r="522" spans="1:20" ht="120" x14ac:dyDescent="0.25">
      <c r="A522" s="2" t="s">
        <v>365</v>
      </c>
      <c r="B522" s="2" t="s">
        <v>366</v>
      </c>
      <c r="C522" s="2" t="s">
        <v>570</v>
      </c>
      <c r="D522" s="2">
        <v>9238</v>
      </c>
      <c r="E522" s="2">
        <v>952</v>
      </c>
      <c r="F522" s="2" t="s">
        <v>367</v>
      </c>
      <c r="G522" s="2" t="s">
        <v>605</v>
      </c>
      <c r="H522" s="2" t="s">
        <v>150</v>
      </c>
      <c r="I522" s="2" t="s">
        <v>123</v>
      </c>
      <c r="J522" s="2">
        <v>4</v>
      </c>
      <c r="K522" s="2" t="s">
        <v>151</v>
      </c>
      <c r="L522" s="2" t="s">
        <v>152</v>
      </c>
      <c r="M522" s="2" t="s">
        <v>153</v>
      </c>
      <c r="N522" s="2" t="str">
        <f>HYPERLINK("https://klocwork.dal.design.ti.com:443/review/insight-review.html#issuedetails_goto:problemid=9238,project=MCUSW_J7_KW_FULL,searchquery=taxonomy:'' build:RS-2022-10-06_06-07-58 grouping:off module:CddIpc","KW Issue Link")</f>
        <v>KW Issue Link</v>
      </c>
      <c r="O522" s="2"/>
      <c r="P522" s="2"/>
      <c r="Q522" s="2"/>
      <c r="R522" s="2"/>
      <c r="S522" s="2" t="s">
        <v>154</v>
      </c>
      <c r="T522" s="2"/>
    </row>
    <row r="523" spans="1:20" ht="120" x14ac:dyDescent="0.25">
      <c r="A523" s="2" t="s">
        <v>242</v>
      </c>
      <c r="B523" s="2" t="s">
        <v>243</v>
      </c>
      <c r="C523" s="2" t="s">
        <v>570</v>
      </c>
      <c r="D523" s="2">
        <v>9239</v>
      </c>
      <c r="E523" s="2">
        <v>303</v>
      </c>
      <c r="F523" s="2" t="s">
        <v>389</v>
      </c>
      <c r="G523" s="2" t="s">
        <v>608</v>
      </c>
      <c r="H523" s="2" t="s">
        <v>150</v>
      </c>
      <c r="I523" s="2" t="s">
        <v>123</v>
      </c>
      <c r="J523" s="2">
        <v>4</v>
      </c>
      <c r="K523" s="2" t="s">
        <v>151</v>
      </c>
      <c r="L523" s="2" t="s">
        <v>152</v>
      </c>
      <c r="M523" s="2" t="s">
        <v>153</v>
      </c>
      <c r="N523" s="2" t="str">
        <f>HYPERLINK("https://klocwork.dal.design.ti.com:443/review/insight-review.html#issuedetails_goto:problemid=9239,project=MCUSW_J7_KW_FULL,searchquery=taxonomy:'' build:RS-2022-10-06_06-07-58 grouping:off module:CddIpc","KW Issue Link")</f>
        <v>KW Issue Link</v>
      </c>
      <c r="O523" s="2"/>
      <c r="P523" s="2"/>
      <c r="Q523" s="2"/>
      <c r="R523" s="2"/>
      <c r="S523" s="2" t="s">
        <v>154</v>
      </c>
      <c r="T523" s="2"/>
    </row>
    <row r="524" spans="1:20" ht="120" x14ac:dyDescent="0.25">
      <c r="A524" s="2" t="s">
        <v>242</v>
      </c>
      <c r="B524" s="2" t="s">
        <v>243</v>
      </c>
      <c r="C524" s="2" t="s">
        <v>570</v>
      </c>
      <c r="D524" s="2">
        <v>9240</v>
      </c>
      <c r="E524" s="2">
        <v>327</v>
      </c>
      <c r="F524" s="2" t="s">
        <v>387</v>
      </c>
      <c r="G524" s="2" t="s">
        <v>600</v>
      </c>
      <c r="H524" s="2" t="s">
        <v>150</v>
      </c>
      <c r="I524" s="2" t="s">
        <v>123</v>
      </c>
      <c r="J524" s="2">
        <v>4</v>
      </c>
      <c r="K524" s="2" t="s">
        <v>151</v>
      </c>
      <c r="L524" s="2" t="s">
        <v>152</v>
      </c>
      <c r="M524" s="2" t="s">
        <v>153</v>
      </c>
      <c r="N524" s="2" t="str">
        <f>HYPERLINK("https://klocwork.dal.design.ti.com:443/review/insight-review.html#issuedetails_goto:problemid=9240,project=MCUSW_J7_KW_FULL,searchquery=taxonomy:'' build:RS-2022-10-06_06-07-58 grouping:off module:CddIpc","KW Issue Link")</f>
        <v>KW Issue Link</v>
      </c>
      <c r="O524" s="2"/>
      <c r="P524" s="2"/>
      <c r="Q524" s="2"/>
      <c r="R524" s="2"/>
      <c r="S524" s="2" t="s">
        <v>154</v>
      </c>
      <c r="T524" s="2"/>
    </row>
    <row r="525" spans="1:20" ht="120" x14ac:dyDescent="0.25">
      <c r="A525" s="2" t="s">
        <v>242</v>
      </c>
      <c r="B525" s="2" t="s">
        <v>243</v>
      </c>
      <c r="C525" s="2" t="s">
        <v>570</v>
      </c>
      <c r="D525" s="2">
        <v>9242</v>
      </c>
      <c r="E525" s="2">
        <v>749</v>
      </c>
      <c r="F525" s="2" t="s">
        <v>643</v>
      </c>
      <c r="G525" s="2" t="s">
        <v>615</v>
      </c>
      <c r="H525" s="2" t="s">
        <v>150</v>
      </c>
      <c r="I525" s="2" t="s">
        <v>123</v>
      </c>
      <c r="J525" s="2">
        <v>4</v>
      </c>
      <c r="K525" s="2" t="s">
        <v>151</v>
      </c>
      <c r="L525" s="2" t="s">
        <v>152</v>
      </c>
      <c r="M525" s="2" t="s">
        <v>153</v>
      </c>
      <c r="N525" s="2" t="str">
        <f>HYPERLINK("https://klocwork.dal.design.ti.com:443/review/insight-review.html#issuedetails_goto:problemid=9242,project=MCUSW_J7_KW_FULL,searchquery=taxonomy:'' build:RS-2022-10-06_06-07-58 grouping:off module:CddIpc","KW Issue Link")</f>
        <v>KW Issue Link</v>
      </c>
      <c r="O525" s="2"/>
      <c r="P525" s="2"/>
      <c r="Q525" s="2"/>
      <c r="R525" s="2"/>
      <c r="S525" s="2" t="s">
        <v>154</v>
      </c>
      <c r="T525" s="2"/>
    </row>
    <row r="526" spans="1:20" ht="120" x14ac:dyDescent="0.25">
      <c r="A526" s="2" t="s">
        <v>242</v>
      </c>
      <c r="B526" s="2" t="s">
        <v>243</v>
      </c>
      <c r="C526" s="2" t="s">
        <v>570</v>
      </c>
      <c r="D526" s="2">
        <v>9243</v>
      </c>
      <c r="E526" s="2">
        <v>766</v>
      </c>
      <c r="F526" s="2" t="s">
        <v>643</v>
      </c>
      <c r="G526" s="2" t="s">
        <v>615</v>
      </c>
      <c r="H526" s="2" t="s">
        <v>150</v>
      </c>
      <c r="I526" s="2" t="s">
        <v>123</v>
      </c>
      <c r="J526" s="2">
        <v>4</v>
      </c>
      <c r="K526" s="2" t="s">
        <v>151</v>
      </c>
      <c r="L526" s="2" t="s">
        <v>152</v>
      </c>
      <c r="M526" s="2" t="s">
        <v>153</v>
      </c>
      <c r="N526" s="2" t="str">
        <f>HYPERLINK("https://klocwork.dal.design.ti.com:443/review/insight-review.html#issuedetails_goto:problemid=9243,project=MCUSW_J7_KW_FULL,searchquery=taxonomy:'' build:RS-2022-10-06_06-07-58 grouping:off module:CddIpc","KW Issue Link")</f>
        <v>KW Issue Link</v>
      </c>
      <c r="O526" s="2"/>
      <c r="P526" s="2"/>
      <c r="Q526" s="2"/>
      <c r="R526" s="2"/>
      <c r="S526" s="2" t="s">
        <v>154</v>
      </c>
      <c r="T526" s="2"/>
    </row>
    <row r="527" spans="1:20" ht="120" x14ac:dyDescent="0.25">
      <c r="A527" s="2" t="s">
        <v>242</v>
      </c>
      <c r="B527" s="2" t="s">
        <v>243</v>
      </c>
      <c r="C527" s="2" t="s">
        <v>570</v>
      </c>
      <c r="D527" s="2">
        <v>9244</v>
      </c>
      <c r="E527" s="2">
        <v>855</v>
      </c>
      <c r="F527" s="2" t="s">
        <v>387</v>
      </c>
      <c r="G527" s="2" t="s">
        <v>616</v>
      </c>
      <c r="H527" s="2" t="s">
        <v>150</v>
      </c>
      <c r="I527" s="2" t="s">
        <v>123</v>
      </c>
      <c r="J527" s="2">
        <v>4</v>
      </c>
      <c r="K527" s="2" t="s">
        <v>151</v>
      </c>
      <c r="L527" s="2" t="s">
        <v>152</v>
      </c>
      <c r="M527" s="2" t="s">
        <v>153</v>
      </c>
      <c r="N527" s="2" t="str">
        <f>HYPERLINK("https://klocwork.dal.design.ti.com:443/review/insight-review.html#issuedetails_goto:problemid=9244,project=MCUSW_J7_KW_FULL,searchquery=taxonomy:'' build:RS-2022-10-06_06-07-58 grouping:off module:CddIpc","KW Issue Link")</f>
        <v>KW Issue Link</v>
      </c>
      <c r="O527" s="2"/>
      <c r="P527" s="2"/>
      <c r="Q527" s="2"/>
      <c r="R527" s="2"/>
      <c r="S527" s="2" t="s">
        <v>154</v>
      </c>
      <c r="T527" s="2"/>
    </row>
    <row r="528" spans="1:20" ht="120" x14ac:dyDescent="0.25">
      <c r="A528" s="2" t="s">
        <v>242</v>
      </c>
      <c r="B528" s="2" t="s">
        <v>243</v>
      </c>
      <c r="C528" s="2" t="s">
        <v>570</v>
      </c>
      <c r="D528" s="2">
        <v>9245</v>
      </c>
      <c r="E528" s="2">
        <v>897</v>
      </c>
      <c r="F528" s="2" t="s">
        <v>387</v>
      </c>
      <c r="G528" s="2" t="s">
        <v>639</v>
      </c>
      <c r="H528" s="2" t="s">
        <v>150</v>
      </c>
      <c r="I528" s="2" t="s">
        <v>123</v>
      </c>
      <c r="J528" s="2">
        <v>4</v>
      </c>
      <c r="K528" s="2" t="s">
        <v>151</v>
      </c>
      <c r="L528" s="2" t="s">
        <v>152</v>
      </c>
      <c r="M528" s="2" t="s">
        <v>153</v>
      </c>
      <c r="N528" s="2" t="str">
        <f>HYPERLINK("https://klocwork.dal.design.ti.com:443/review/insight-review.html#issuedetails_goto:problemid=9245,project=MCUSW_J7_KW_FULL,searchquery=taxonomy:'' build:RS-2022-10-06_06-07-58 grouping:off module:CddIpc","KW Issue Link")</f>
        <v>KW Issue Link</v>
      </c>
      <c r="O528" s="2"/>
      <c r="P528" s="2"/>
      <c r="Q528" s="2"/>
      <c r="R528" s="2"/>
      <c r="S528" s="2" t="s">
        <v>154</v>
      </c>
      <c r="T528" s="2"/>
    </row>
    <row r="529" spans="1:20" ht="120" x14ac:dyDescent="0.25">
      <c r="A529" s="2" t="s">
        <v>242</v>
      </c>
      <c r="B529" s="2" t="s">
        <v>243</v>
      </c>
      <c r="C529" s="2" t="s">
        <v>570</v>
      </c>
      <c r="D529" s="2">
        <v>9246</v>
      </c>
      <c r="E529" s="2">
        <v>902</v>
      </c>
      <c r="F529" s="2" t="s">
        <v>387</v>
      </c>
      <c r="G529" s="2" t="s">
        <v>639</v>
      </c>
      <c r="H529" s="2" t="s">
        <v>150</v>
      </c>
      <c r="I529" s="2" t="s">
        <v>123</v>
      </c>
      <c r="J529" s="2">
        <v>4</v>
      </c>
      <c r="K529" s="2" t="s">
        <v>151</v>
      </c>
      <c r="L529" s="2" t="s">
        <v>152</v>
      </c>
      <c r="M529" s="2" t="s">
        <v>153</v>
      </c>
      <c r="N529" s="2" t="str">
        <f>HYPERLINK("https://klocwork.dal.design.ti.com:443/review/insight-review.html#issuedetails_goto:problemid=9246,project=MCUSW_J7_KW_FULL,searchquery=taxonomy:'' build:RS-2022-10-06_06-07-58 grouping:off module:CddIpc","KW Issue Link")</f>
        <v>KW Issue Link</v>
      </c>
      <c r="O529" s="2"/>
      <c r="P529" s="2"/>
      <c r="Q529" s="2"/>
      <c r="R529" s="2"/>
      <c r="S529" s="2" t="s">
        <v>154</v>
      </c>
      <c r="T529" s="2"/>
    </row>
    <row r="530" spans="1:20" ht="120" x14ac:dyDescent="0.25">
      <c r="A530" s="2" t="s">
        <v>242</v>
      </c>
      <c r="B530" s="2" t="s">
        <v>243</v>
      </c>
      <c r="C530" s="2" t="s">
        <v>570</v>
      </c>
      <c r="D530" s="2">
        <v>9247</v>
      </c>
      <c r="E530" s="2">
        <v>937</v>
      </c>
      <c r="F530" s="2" t="s">
        <v>387</v>
      </c>
      <c r="G530" s="2" t="s">
        <v>605</v>
      </c>
      <c r="H530" s="2" t="s">
        <v>150</v>
      </c>
      <c r="I530" s="2" t="s">
        <v>123</v>
      </c>
      <c r="J530" s="2">
        <v>4</v>
      </c>
      <c r="K530" s="2" t="s">
        <v>151</v>
      </c>
      <c r="L530" s="2" t="s">
        <v>152</v>
      </c>
      <c r="M530" s="2" t="s">
        <v>153</v>
      </c>
      <c r="N530" s="2" t="str">
        <f>HYPERLINK("https://klocwork.dal.design.ti.com:443/review/insight-review.html#issuedetails_goto:problemid=9247,project=MCUSW_J7_KW_FULL,searchquery=taxonomy:'' build:RS-2022-10-06_06-07-58 grouping:off module:CddIpc","KW Issue Link")</f>
        <v>KW Issue Link</v>
      </c>
      <c r="O530" s="2"/>
      <c r="P530" s="2"/>
      <c r="Q530" s="2"/>
      <c r="R530" s="2"/>
      <c r="S530" s="2" t="s">
        <v>154</v>
      </c>
      <c r="T530" s="2"/>
    </row>
    <row r="531" spans="1:20" ht="120" x14ac:dyDescent="0.25">
      <c r="A531" s="2" t="s">
        <v>290</v>
      </c>
      <c r="B531" s="2" t="s">
        <v>291</v>
      </c>
      <c r="C531" s="2" t="s">
        <v>570</v>
      </c>
      <c r="D531" s="2">
        <v>9248</v>
      </c>
      <c r="E531" s="2">
        <v>305</v>
      </c>
      <c r="F531" s="2" t="s">
        <v>644</v>
      </c>
      <c r="G531" s="2" t="s">
        <v>608</v>
      </c>
      <c r="H531" s="2" t="s">
        <v>150</v>
      </c>
      <c r="I531" s="2" t="s">
        <v>123</v>
      </c>
      <c r="J531" s="2">
        <v>4</v>
      </c>
      <c r="K531" s="2" t="s">
        <v>151</v>
      </c>
      <c r="L531" s="2" t="s">
        <v>152</v>
      </c>
      <c r="M531" s="2" t="s">
        <v>153</v>
      </c>
      <c r="N531" s="2" t="str">
        <f>HYPERLINK("https://klocwork.dal.design.ti.com:443/review/insight-review.html#issuedetails_goto:problemid=9248,project=MCUSW_J7_KW_FULL,searchquery=taxonomy:'' build:RS-2022-10-06_06-07-58 grouping:off module:CddIpc","KW Issue Link")</f>
        <v>KW Issue Link</v>
      </c>
      <c r="O531" s="2"/>
      <c r="P531" s="2"/>
      <c r="Q531" s="2"/>
      <c r="R531" s="2"/>
      <c r="S531" s="2" t="s">
        <v>154</v>
      </c>
      <c r="T531" s="2"/>
    </row>
    <row r="532" spans="1:20" ht="120" x14ac:dyDescent="0.25">
      <c r="A532" s="2" t="s">
        <v>290</v>
      </c>
      <c r="B532" s="2" t="s">
        <v>291</v>
      </c>
      <c r="C532" s="2" t="s">
        <v>570</v>
      </c>
      <c r="D532" s="2">
        <v>9249</v>
      </c>
      <c r="E532" s="2">
        <v>472</v>
      </c>
      <c r="F532" s="2" t="s">
        <v>645</v>
      </c>
      <c r="G532" s="2" t="s">
        <v>621</v>
      </c>
      <c r="H532" s="2" t="s">
        <v>150</v>
      </c>
      <c r="I532" s="2" t="s">
        <v>123</v>
      </c>
      <c r="J532" s="2">
        <v>4</v>
      </c>
      <c r="K532" s="2" t="s">
        <v>151</v>
      </c>
      <c r="L532" s="2" t="s">
        <v>152</v>
      </c>
      <c r="M532" s="2" t="s">
        <v>153</v>
      </c>
      <c r="N532" s="2" t="str">
        <f>HYPERLINK("https://klocwork.dal.design.ti.com:443/review/insight-review.html#issuedetails_goto:problemid=9249,project=MCUSW_J7_KW_FULL,searchquery=taxonomy:'' build:RS-2022-10-06_06-07-58 grouping:off module:CddIpc","KW Issue Link")</f>
        <v>KW Issue Link</v>
      </c>
      <c r="O532" s="2"/>
      <c r="P532" s="2"/>
      <c r="Q532" s="2"/>
      <c r="R532" s="2"/>
      <c r="S532" s="2" t="s">
        <v>154</v>
      </c>
      <c r="T532" s="2"/>
    </row>
    <row r="533" spans="1:20" ht="120" x14ac:dyDescent="0.25">
      <c r="A533" s="2" t="s">
        <v>290</v>
      </c>
      <c r="B533" s="2" t="s">
        <v>291</v>
      </c>
      <c r="C533" s="2" t="s">
        <v>570</v>
      </c>
      <c r="D533" s="2">
        <v>9250</v>
      </c>
      <c r="E533" s="2">
        <v>613</v>
      </c>
      <c r="F533" s="2" t="s">
        <v>646</v>
      </c>
      <c r="G533" s="2" t="s">
        <v>604</v>
      </c>
      <c r="H533" s="2" t="s">
        <v>150</v>
      </c>
      <c r="I533" s="2" t="s">
        <v>123</v>
      </c>
      <c r="J533" s="2">
        <v>4</v>
      </c>
      <c r="K533" s="2" t="s">
        <v>151</v>
      </c>
      <c r="L533" s="2" t="s">
        <v>152</v>
      </c>
      <c r="M533" s="2" t="s">
        <v>153</v>
      </c>
      <c r="N533" s="2" t="str">
        <f>HYPERLINK("https://klocwork.dal.design.ti.com:443/review/insight-review.html#issuedetails_goto:problemid=9250,project=MCUSW_J7_KW_FULL,searchquery=taxonomy:'' build:RS-2022-10-06_06-07-58 grouping:off module:CddIpc","KW Issue Link")</f>
        <v>KW Issue Link</v>
      </c>
      <c r="O533" s="2"/>
      <c r="P533" s="2"/>
      <c r="Q533" s="2"/>
      <c r="R533" s="2"/>
      <c r="S533" s="2" t="s">
        <v>154</v>
      </c>
      <c r="T533" s="2"/>
    </row>
    <row r="534" spans="1:20" ht="120" x14ac:dyDescent="0.25">
      <c r="A534" s="2" t="s">
        <v>290</v>
      </c>
      <c r="B534" s="2" t="s">
        <v>291</v>
      </c>
      <c r="C534" s="2" t="s">
        <v>570</v>
      </c>
      <c r="D534" s="2">
        <v>9251</v>
      </c>
      <c r="E534" s="2">
        <v>776</v>
      </c>
      <c r="F534" s="2" t="s">
        <v>647</v>
      </c>
      <c r="G534" s="2" t="s">
        <v>615</v>
      </c>
      <c r="H534" s="2" t="s">
        <v>150</v>
      </c>
      <c r="I534" s="2" t="s">
        <v>123</v>
      </c>
      <c r="J534" s="2">
        <v>4</v>
      </c>
      <c r="K534" s="2" t="s">
        <v>151</v>
      </c>
      <c r="L534" s="2" t="s">
        <v>152</v>
      </c>
      <c r="M534" s="2" t="s">
        <v>153</v>
      </c>
      <c r="N534" s="2" t="str">
        <f>HYPERLINK("https://klocwork.dal.design.ti.com:443/review/insight-review.html#issuedetails_goto:problemid=9251,project=MCUSW_J7_KW_FULL,searchquery=taxonomy:'' build:RS-2022-10-06_06-07-58 grouping:off module:CddIpc","KW Issue Link")</f>
        <v>KW Issue Link</v>
      </c>
      <c r="O534" s="2"/>
      <c r="P534" s="2"/>
      <c r="Q534" s="2"/>
      <c r="R534" s="2"/>
      <c r="S534" s="2" t="s">
        <v>154</v>
      </c>
      <c r="T534" s="2"/>
    </row>
    <row r="535" spans="1:20" ht="120" x14ac:dyDescent="0.25">
      <c r="A535" s="2" t="s">
        <v>290</v>
      </c>
      <c r="B535" s="2" t="s">
        <v>291</v>
      </c>
      <c r="C535" s="2" t="s">
        <v>570</v>
      </c>
      <c r="D535" s="2">
        <v>9253</v>
      </c>
      <c r="E535" s="2">
        <v>837</v>
      </c>
      <c r="F535" s="2" t="s">
        <v>648</v>
      </c>
      <c r="G535" s="2" t="s">
        <v>616</v>
      </c>
      <c r="H535" s="2" t="s">
        <v>150</v>
      </c>
      <c r="I535" s="2" t="s">
        <v>123</v>
      </c>
      <c r="J535" s="2">
        <v>4</v>
      </c>
      <c r="K535" s="2" t="s">
        <v>151</v>
      </c>
      <c r="L535" s="2" t="s">
        <v>152</v>
      </c>
      <c r="M535" s="2" t="s">
        <v>153</v>
      </c>
      <c r="N535" s="2" t="str">
        <f>HYPERLINK("https://klocwork.dal.design.ti.com:443/review/insight-review.html#issuedetails_goto:problemid=9253,project=MCUSW_J7_KW_FULL,searchquery=taxonomy:'' build:RS-2022-10-06_06-07-58 grouping:off module:CddIpc","KW Issue Link")</f>
        <v>KW Issue Link</v>
      </c>
      <c r="O535" s="2"/>
      <c r="P535" s="2"/>
      <c r="Q535" s="2"/>
      <c r="R535" s="2"/>
      <c r="S535" s="2" t="s">
        <v>154</v>
      </c>
      <c r="T535" s="2"/>
    </row>
    <row r="536" spans="1:20" ht="120" x14ac:dyDescent="0.25">
      <c r="A536" s="2" t="s">
        <v>290</v>
      </c>
      <c r="B536" s="2" t="s">
        <v>291</v>
      </c>
      <c r="C536" s="2" t="s">
        <v>570</v>
      </c>
      <c r="D536" s="2">
        <v>9254</v>
      </c>
      <c r="E536" s="2">
        <v>849</v>
      </c>
      <c r="F536" s="2" t="s">
        <v>649</v>
      </c>
      <c r="G536" s="2" t="s">
        <v>616</v>
      </c>
      <c r="H536" s="2" t="s">
        <v>150</v>
      </c>
      <c r="I536" s="2" t="s">
        <v>123</v>
      </c>
      <c r="J536" s="2">
        <v>4</v>
      </c>
      <c r="K536" s="2" t="s">
        <v>151</v>
      </c>
      <c r="L536" s="2" t="s">
        <v>152</v>
      </c>
      <c r="M536" s="2" t="s">
        <v>153</v>
      </c>
      <c r="N536" s="2" t="str">
        <f>HYPERLINK("https://klocwork.dal.design.ti.com:443/review/insight-review.html#issuedetails_goto:problemid=9254,project=MCUSW_J7_KW_FULL,searchquery=taxonomy:'' build:RS-2022-10-06_06-07-58 grouping:off module:CddIpc","KW Issue Link")</f>
        <v>KW Issue Link</v>
      </c>
      <c r="O536" s="2"/>
      <c r="P536" s="2"/>
      <c r="Q536" s="2"/>
      <c r="R536" s="2"/>
      <c r="S536" s="2" t="s">
        <v>154</v>
      </c>
      <c r="T536" s="2"/>
    </row>
    <row r="537" spans="1:20" ht="120" x14ac:dyDescent="0.25">
      <c r="A537" s="2" t="s">
        <v>206</v>
      </c>
      <c r="B537" s="2" t="s">
        <v>207</v>
      </c>
      <c r="C537" s="2" t="s">
        <v>570</v>
      </c>
      <c r="D537" s="2">
        <v>9256</v>
      </c>
      <c r="E537" s="2">
        <v>331</v>
      </c>
      <c r="F537" s="2" t="s">
        <v>340</v>
      </c>
      <c r="G537" s="2" t="s">
        <v>600</v>
      </c>
      <c r="H537" s="2" t="s">
        <v>150</v>
      </c>
      <c r="I537" s="2" t="s">
        <v>88</v>
      </c>
      <c r="J537" s="2">
        <v>6</v>
      </c>
      <c r="K537" s="2" t="s">
        <v>151</v>
      </c>
      <c r="L537" s="2" t="s">
        <v>152</v>
      </c>
      <c r="M537" s="2" t="s">
        <v>158</v>
      </c>
      <c r="N537" s="2" t="str">
        <f>HYPERLINK("https://klocwork.dal.design.ti.com:443/review/insight-review.html#issuedetails_goto:problemid=9256,project=MCUSW_J7_KW_FULL,searchquery=taxonomy:'' build:RS-2022-10-06_06-07-58 grouping:off module:CddIpc","KW Issue Link")</f>
        <v>KW Issue Link</v>
      </c>
      <c r="O537" s="2" t="s">
        <v>209</v>
      </c>
      <c r="P537" s="2" t="s">
        <v>210</v>
      </c>
      <c r="Q537" s="2" t="s">
        <v>211</v>
      </c>
      <c r="R537" s="2" t="s">
        <v>212</v>
      </c>
      <c r="S537" s="2" t="s">
        <v>154</v>
      </c>
      <c r="T537" s="2" t="s">
        <v>213</v>
      </c>
    </row>
    <row r="538" spans="1:20" ht="120" x14ac:dyDescent="0.25">
      <c r="A538" s="2" t="s">
        <v>206</v>
      </c>
      <c r="B538" s="2" t="s">
        <v>207</v>
      </c>
      <c r="C538" s="2" t="s">
        <v>570</v>
      </c>
      <c r="D538" s="2">
        <v>9258</v>
      </c>
      <c r="E538" s="2">
        <v>449</v>
      </c>
      <c r="F538" s="2" t="s">
        <v>650</v>
      </c>
      <c r="G538" s="2" t="s">
        <v>620</v>
      </c>
      <c r="H538" s="2" t="s">
        <v>150</v>
      </c>
      <c r="I538" s="2" t="s">
        <v>88</v>
      </c>
      <c r="J538" s="2">
        <v>6</v>
      </c>
      <c r="K538" s="2" t="s">
        <v>151</v>
      </c>
      <c r="L538" s="2" t="s">
        <v>152</v>
      </c>
      <c r="M538" s="2" t="s">
        <v>158</v>
      </c>
      <c r="N538" s="2" t="str">
        <f>HYPERLINK("https://klocwork.dal.design.ti.com:443/review/insight-review.html#issuedetails_goto:problemid=9258,project=MCUSW_J7_KW_FULL,searchquery=taxonomy:'' build:RS-2022-10-06_06-07-58 grouping:off module:CddIpc","KW Issue Link")</f>
        <v>KW Issue Link</v>
      </c>
      <c r="O538" s="2" t="s">
        <v>209</v>
      </c>
      <c r="P538" s="2" t="s">
        <v>210</v>
      </c>
      <c r="Q538" s="2" t="s">
        <v>211</v>
      </c>
      <c r="R538" s="2" t="s">
        <v>212</v>
      </c>
      <c r="S538" s="2" t="s">
        <v>154</v>
      </c>
      <c r="T538" s="2" t="s">
        <v>213</v>
      </c>
    </row>
    <row r="539" spans="1:20" ht="120" x14ac:dyDescent="0.25">
      <c r="A539" s="2" t="s">
        <v>206</v>
      </c>
      <c r="B539" s="2" t="s">
        <v>207</v>
      </c>
      <c r="C539" s="2" t="s">
        <v>570</v>
      </c>
      <c r="D539" s="2">
        <v>9259</v>
      </c>
      <c r="E539" s="2">
        <v>450</v>
      </c>
      <c r="F539" s="2" t="s">
        <v>208</v>
      </c>
      <c r="G539" s="2" t="s">
        <v>620</v>
      </c>
      <c r="H539" s="2" t="s">
        <v>150</v>
      </c>
      <c r="I539" s="2" t="s">
        <v>88</v>
      </c>
      <c r="J539" s="2">
        <v>6</v>
      </c>
      <c r="K539" s="2" t="s">
        <v>151</v>
      </c>
      <c r="L539" s="2" t="s">
        <v>152</v>
      </c>
      <c r="M539" s="2" t="s">
        <v>158</v>
      </c>
      <c r="N539" s="2" t="str">
        <f>HYPERLINK("https://klocwork.dal.design.ti.com:443/review/insight-review.html#issuedetails_goto:problemid=9259,project=MCUSW_J7_KW_FULL,searchquery=taxonomy:'' build:RS-2022-10-06_06-07-58 grouping:off module:CddIpc","KW Issue Link")</f>
        <v>KW Issue Link</v>
      </c>
      <c r="O539" s="2" t="s">
        <v>209</v>
      </c>
      <c r="P539" s="2" t="s">
        <v>210</v>
      </c>
      <c r="Q539" s="2" t="s">
        <v>211</v>
      </c>
      <c r="R539" s="2" t="s">
        <v>212</v>
      </c>
      <c r="S539" s="2" t="s">
        <v>154</v>
      </c>
      <c r="T539" s="2" t="s">
        <v>213</v>
      </c>
    </row>
    <row r="540" spans="1:20" ht="120" x14ac:dyDescent="0.25">
      <c r="A540" s="2" t="s">
        <v>163</v>
      </c>
      <c r="B540" s="2" t="s">
        <v>164</v>
      </c>
      <c r="C540" s="2" t="s">
        <v>570</v>
      </c>
      <c r="D540" s="2">
        <v>9267</v>
      </c>
      <c r="E540" s="2">
        <v>468</v>
      </c>
      <c r="F540" s="2" t="s">
        <v>165</v>
      </c>
      <c r="G540" s="2" t="s">
        <v>621</v>
      </c>
      <c r="H540" s="2" t="s">
        <v>150</v>
      </c>
      <c r="I540" s="2" t="s">
        <v>123</v>
      </c>
      <c r="J540" s="2">
        <v>4</v>
      </c>
      <c r="K540" s="2" t="s">
        <v>151</v>
      </c>
      <c r="L540" s="2" t="s">
        <v>152</v>
      </c>
      <c r="M540" s="2" t="s">
        <v>153</v>
      </c>
      <c r="N540" s="2" t="str">
        <f>HYPERLINK("https://klocwork.dal.design.ti.com:443/review/insight-review.html#issuedetails_goto:problemid=9267,project=MCUSW_J7_KW_FULL,searchquery=taxonomy:'' build:RS-2022-10-06_06-07-58 grouping:off module:CddIpc","KW Issue Link")</f>
        <v>KW Issue Link</v>
      </c>
      <c r="O540" s="2"/>
      <c r="P540" s="2"/>
      <c r="Q540" s="2"/>
      <c r="R540" s="2"/>
      <c r="S540" s="2" t="s">
        <v>154</v>
      </c>
      <c r="T540" s="2"/>
    </row>
    <row r="541" spans="1:20" ht="120" x14ac:dyDescent="0.25">
      <c r="A541" s="2" t="s">
        <v>163</v>
      </c>
      <c r="B541" s="2" t="s">
        <v>164</v>
      </c>
      <c r="C541" s="2" t="s">
        <v>570</v>
      </c>
      <c r="D541" s="2">
        <v>9268</v>
      </c>
      <c r="E541" s="2">
        <v>501</v>
      </c>
      <c r="F541" s="2" t="s">
        <v>165</v>
      </c>
      <c r="G541" s="2" t="s">
        <v>602</v>
      </c>
      <c r="H541" s="2" t="s">
        <v>150</v>
      </c>
      <c r="I541" s="2" t="s">
        <v>123</v>
      </c>
      <c r="J541" s="2">
        <v>4</v>
      </c>
      <c r="K541" s="2" t="s">
        <v>151</v>
      </c>
      <c r="L541" s="2" t="s">
        <v>152</v>
      </c>
      <c r="M541" s="2" t="s">
        <v>153</v>
      </c>
      <c r="N541" s="2" t="str">
        <f>HYPERLINK("https://klocwork.dal.design.ti.com:443/review/insight-review.html#issuedetails_goto:problemid=9268,project=MCUSW_J7_KW_FULL,searchquery=taxonomy:'' build:RS-2022-10-06_06-07-58 grouping:off module:CddIpc","KW Issue Link")</f>
        <v>KW Issue Link</v>
      </c>
      <c r="O541" s="2"/>
      <c r="P541" s="2"/>
      <c r="Q541" s="2"/>
      <c r="R541" s="2"/>
      <c r="S541" s="2" t="s">
        <v>154</v>
      </c>
      <c r="T541" s="2"/>
    </row>
    <row r="542" spans="1:20" ht="120" x14ac:dyDescent="0.25">
      <c r="A542" s="2" t="s">
        <v>163</v>
      </c>
      <c r="B542" s="2" t="s">
        <v>164</v>
      </c>
      <c r="C542" s="2" t="s">
        <v>570</v>
      </c>
      <c r="D542" s="2">
        <v>9269</v>
      </c>
      <c r="E542" s="2">
        <v>523</v>
      </c>
      <c r="F542" s="2" t="s">
        <v>165</v>
      </c>
      <c r="G542" s="2" t="s">
        <v>622</v>
      </c>
      <c r="H542" s="2" t="s">
        <v>150</v>
      </c>
      <c r="I542" s="2" t="s">
        <v>123</v>
      </c>
      <c r="J542" s="2">
        <v>4</v>
      </c>
      <c r="K542" s="2" t="s">
        <v>151</v>
      </c>
      <c r="L542" s="2" t="s">
        <v>152</v>
      </c>
      <c r="M542" s="2" t="s">
        <v>153</v>
      </c>
      <c r="N542" s="2" t="str">
        <f>HYPERLINK("https://klocwork.dal.design.ti.com:443/review/insight-review.html#issuedetails_goto:problemid=9269,project=MCUSW_J7_KW_FULL,searchquery=taxonomy:'' build:RS-2022-10-06_06-07-58 grouping:off module:CddIpc","KW Issue Link")</f>
        <v>KW Issue Link</v>
      </c>
      <c r="O542" s="2"/>
      <c r="P542" s="2"/>
      <c r="Q542" s="2"/>
      <c r="R542" s="2"/>
      <c r="S542" s="2" t="s">
        <v>154</v>
      </c>
      <c r="T542" s="2"/>
    </row>
    <row r="543" spans="1:20" ht="120" x14ac:dyDescent="0.25">
      <c r="A543" s="2" t="s">
        <v>163</v>
      </c>
      <c r="B543" s="2" t="s">
        <v>164</v>
      </c>
      <c r="C543" s="2" t="s">
        <v>570</v>
      </c>
      <c r="D543" s="2">
        <v>9270</v>
      </c>
      <c r="E543" s="2">
        <v>597</v>
      </c>
      <c r="F543" s="2" t="s">
        <v>165</v>
      </c>
      <c r="G543" s="2" t="s">
        <v>604</v>
      </c>
      <c r="H543" s="2" t="s">
        <v>150</v>
      </c>
      <c r="I543" s="2" t="s">
        <v>123</v>
      </c>
      <c r="J543" s="2">
        <v>4</v>
      </c>
      <c r="K543" s="2" t="s">
        <v>151</v>
      </c>
      <c r="L543" s="2" t="s">
        <v>152</v>
      </c>
      <c r="M543" s="2" t="s">
        <v>153</v>
      </c>
      <c r="N543" s="2" t="str">
        <f>HYPERLINK("https://klocwork.dal.design.ti.com:443/review/insight-review.html#issuedetails_goto:problemid=9270,project=MCUSW_J7_KW_FULL,searchquery=taxonomy:'' build:RS-2022-10-06_06-07-58 grouping:off module:CddIpc","KW Issue Link")</f>
        <v>KW Issue Link</v>
      </c>
      <c r="O543" s="2"/>
      <c r="P543" s="2"/>
      <c r="Q543" s="2"/>
      <c r="R543" s="2"/>
      <c r="S543" s="2" t="s">
        <v>154</v>
      </c>
      <c r="T543" s="2"/>
    </row>
    <row r="544" spans="1:20" ht="120" x14ac:dyDescent="0.25">
      <c r="A544" s="2" t="s">
        <v>163</v>
      </c>
      <c r="B544" s="2" t="s">
        <v>164</v>
      </c>
      <c r="C544" s="2" t="s">
        <v>570</v>
      </c>
      <c r="D544" s="2">
        <v>9271</v>
      </c>
      <c r="E544" s="2">
        <v>598</v>
      </c>
      <c r="F544" s="2" t="s">
        <v>165</v>
      </c>
      <c r="G544" s="2" t="s">
        <v>604</v>
      </c>
      <c r="H544" s="2" t="s">
        <v>150</v>
      </c>
      <c r="I544" s="2" t="s">
        <v>123</v>
      </c>
      <c r="J544" s="2">
        <v>4</v>
      </c>
      <c r="K544" s="2" t="s">
        <v>151</v>
      </c>
      <c r="L544" s="2" t="s">
        <v>152</v>
      </c>
      <c r="M544" s="2" t="s">
        <v>153</v>
      </c>
      <c r="N544" s="2" t="str">
        <f>HYPERLINK("https://klocwork.dal.design.ti.com:443/review/insight-review.html#issuedetails_goto:problemid=9271,project=MCUSW_J7_KW_FULL,searchquery=taxonomy:'' build:RS-2022-10-06_06-07-58 grouping:off module:CddIpc","KW Issue Link")</f>
        <v>KW Issue Link</v>
      </c>
      <c r="O544" s="2"/>
      <c r="P544" s="2"/>
      <c r="Q544" s="2"/>
      <c r="R544" s="2"/>
      <c r="S544" s="2" t="s">
        <v>154</v>
      </c>
      <c r="T544" s="2"/>
    </row>
    <row r="545" spans="1:20" ht="120" x14ac:dyDescent="0.25">
      <c r="A545" s="2" t="s">
        <v>163</v>
      </c>
      <c r="B545" s="2" t="s">
        <v>164</v>
      </c>
      <c r="C545" s="2" t="s">
        <v>570</v>
      </c>
      <c r="D545" s="2">
        <v>9272</v>
      </c>
      <c r="E545" s="2">
        <v>621</v>
      </c>
      <c r="F545" s="2" t="s">
        <v>165</v>
      </c>
      <c r="G545" s="2" t="s">
        <v>604</v>
      </c>
      <c r="H545" s="2" t="s">
        <v>150</v>
      </c>
      <c r="I545" s="2" t="s">
        <v>123</v>
      </c>
      <c r="J545" s="2">
        <v>4</v>
      </c>
      <c r="K545" s="2" t="s">
        <v>151</v>
      </c>
      <c r="L545" s="2" t="s">
        <v>152</v>
      </c>
      <c r="M545" s="2" t="s">
        <v>153</v>
      </c>
      <c r="N545" s="2" t="str">
        <f>HYPERLINK("https://klocwork.dal.design.ti.com:443/review/insight-review.html#issuedetails_goto:problemid=9272,project=MCUSW_J7_KW_FULL,searchquery=taxonomy:'' build:RS-2022-10-06_06-07-58 grouping:off module:CddIpc","KW Issue Link")</f>
        <v>KW Issue Link</v>
      </c>
      <c r="O545" s="2"/>
      <c r="P545" s="2"/>
      <c r="Q545" s="2"/>
      <c r="R545" s="2"/>
      <c r="S545" s="2" t="s">
        <v>154</v>
      </c>
      <c r="T545" s="2"/>
    </row>
    <row r="546" spans="1:20" ht="120" x14ac:dyDescent="0.25">
      <c r="A546" s="2" t="s">
        <v>163</v>
      </c>
      <c r="B546" s="2" t="s">
        <v>164</v>
      </c>
      <c r="C546" s="2" t="s">
        <v>570</v>
      </c>
      <c r="D546" s="2">
        <v>9273</v>
      </c>
      <c r="E546" s="2">
        <v>621</v>
      </c>
      <c r="F546" s="2" t="s">
        <v>165</v>
      </c>
      <c r="G546" s="2" t="s">
        <v>604</v>
      </c>
      <c r="H546" s="2" t="s">
        <v>150</v>
      </c>
      <c r="I546" s="2" t="s">
        <v>123</v>
      </c>
      <c r="J546" s="2">
        <v>4</v>
      </c>
      <c r="K546" s="2" t="s">
        <v>151</v>
      </c>
      <c r="L546" s="2" t="s">
        <v>152</v>
      </c>
      <c r="M546" s="2" t="s">
        <v>153</v>
      </c>
      <c r="N546" s="2" t="str">
        <f>HYPERLINK("https://klocwork.dal.design.ti.com:443/review/insight-review.html#issuedetails_goto:problemid=9273,project=MCUSW_J7_KW_FULL,searchquery=taxonomy:'' build:RS-2022-10-06_06-07-58 grouping:off module:CddIpc","KW Issue Link")</f>
        <v>KW Issue Link</v>
      </c>
      <c r="O546" s="2"/>
      <c r="P546" s="2"/>
      <c r="Q546" s="2"/>
      <c r="R546" s="2"/>
      <c r="S546" s="2" t="s">
        <v>154</v>
      </c>
      <c r="T546" s="2"/>
    </row>
    <row r="547" spans="1:20" ht="120" x14ac:dyDescent="0.25">
      <c r="A547" s="2" t="s">
        <v>163</v>
      </c>
      <c r="B547" s="2" t="s">
        <v>164</v>
      </c>
      <c r="C547" s="2" t="s">
        <v>570</v>
      </c>
      <c r="D547" s="2">
        <v>9274</v>
      </c>
      <c r="E547" s="2">
        <v>639</v>
      </c>
      <c r="F547" s="2" t="s">
        <v>165</v>
      </c>
      <c r="G547" s="2" t="s">
        <v>651</v>
      </c>
      <c r="H547" s="2" t="s">
        <v>150</v>
      </c>
      <c r="I547" s="2" t="s">
        <v>123</v>
      </c>
      <c r="J547" s="2">
        <v>4</v>
      </c>
      <c r="K547" s="2" t="s">
        <v>151</v>
      </c>
      <c r="L547" s="2" t="s">
        <v>152</v>
      </c>
      <c r="M547" s="2" t="s">
        <v>153</v>
      </c>
      <c r="N547" s="2" t="str">
        <f>HYPERLINK("https://klocwork.dal.design.ti.com:443/review/insight-review.html#issuedetails_goto:problemid=9274,project=MCUSW_J7_KW_FULL,searchquery=taxonomy:'' build:RS-2022-10-06_06-07-58 grouping:off module:CddIpc","KW Issue Link")</f>
        <v>KW Issue Link</v>
      </c>
      <c r="O547" s="2"/>
      <c r="P547" s="2"/>
      <c r="Q547" s="2"/>
      <c r="R547" s="2"/>
      <c r="S547" s="2" t="s">
        <v>154</v>
      </c>
      <c r="T547" s="2"/>
    </row>
    <row r="548" spans="1:20" ht="120" x14ac:dyDescent="0.25">
      <c r="A548" s="2" t="s">
        <v>163</v>
      </c>
      <c r="B548" s="2" t="s">
        <v>164</v>
      </c>
      <c r="C548" s="2" t="s">
        <v>570</v>
      </c>
      <c r="D548" s="2">
        <v>9275</v>
      </c>
      <c r="E548" s="2">
        <v>676</v>
      </c>
      <c r="F548" s="2" t="s">
        <v>165</v>
      </c>
      <c r="G548" s="2" t="s">
        <v>614</v>
      </c>
      <c r="H548" s="2" t="s">
        <v>150</v>
      </c>
      <c r="I548" s="2" t="s">
        <v>123</v>
      </c>
      <c r="J548" s="2">
        <v>4</v>
      </c>
      <c r="K548" s="2" t="s">
        <v>151</v>
      </c>
      <c r="L548" s="2" t="s">
        <v>152</v>
      </c>
      <c r="M548" s="2" t="s">
        <v>153</v>
      </c>
      <c r="N548" s="2" t="str">
        <f>HYPERLINK("https://klocwork.dal.design.ti.com:443/review/insight-review.html#issuedetails_goto:problemid=9275,project=MCUSW_J7_KW_FULL,searchquery=taxonomy:'' build:RS-2022-10-06_06-07-58 grouping:off module:CddIpc","KW Issue Link")</f>
        <v>KW Issue Link</v>
      </c>
      <c r="O548" s="2"/>
      <c r="P548" s="2"/>
      <c r="Q548" s="2"/>
      <c r="R548" s="2"/>
      <c r="S548" s="2" t="s">
        <v>154</v>
      </c>
      <c r="T548" s="2"/>
    </row>
    <row r="549" spans="1:20" ht="120" x14ac:dyDescent="0.25">
      <c r="A549" s="2" t="s">
        <v>163</v>
      </c>
      <c r="B549" s="2" t="s">
        <v>164</v>
      </c>
      <c r="C549" s="2" t="s">
        <v>570</v>
      </c>
      <c r="D549" s="2">
        <v>9281</v>
      </c>
      <c r="E549" s="2">
        <v>855</v>
      </c>
      <c r="F549" s="2" t="s">
        <v>165</v>
      </c>
      <c r="G549" s="2" t="s">
        <v>616</v>
      </c>
      <c r="H549" s="2" t="s">
        <v>150</v>
      </c>
      <c r="I549" s="2" t="s">
        <v>123</v>
      </c>
      <c r="J549" s="2">
        <v>4</v>
      </c>
      <c r="K549" s="2" t="s">
        <v>151</v>
      </c>
      <c r="L549" s="2" t="s">
        <v>152</v>
      </c>
      <c r="M549" s="2" t="s">
        <v>153</v>
      </c>
      <c r="N549" s="2" t="str">
        <f>HYPERLINK("https://klocwork.dal.design.ti.com:443/review/insight-review.html#issuedetails_goto:problemid=9281,project=MCUSW_J7_KW_FULL,searchquery=taxonomy:'' build:RS-2022-10-06_06-07-58 grouping:off module:CddIpc","KW Issue Link")</f>
        <v>KW Issue Link</v>
      </c>
      <c r="O549" s="2"/>
      <c r="P549" s="2"/>
      <c r="Q549" s="2"/>
      <c r="R549" s="2"/>
      <c r="S549" s="2" t="s">
        <v>154</v>
      </c>
      <c r="T549" s="2"/>
    </row>
    <row r="550" spans="1:20" ht="120" x14ac:dyDescent="0.25">
      <c r="A550" s="2" t="s">
        <v>163</v>
      </c>
      <c r="B550" s="2" t="s">
        <v>164</v>
      </c>
      <c r="C550" s="2" t="s">
        <v>570</v>
      </c>
      <c r="D550" s="2">
        <v>9284</v>
      </c>
      <c r="E550" s="2">
        <v>902</v>
      </c>
      <c r="F550" s="2" t="s">
        <v>165</v>
      </c>
      <c r="G550" s="2" t="s">
        <v>639</v>
      </c>
      <c r="H550" s="2" t="s">
        <v>150</v>
      </c>
      <c r="I550" s="2" t="s">
        <v>123</v>
      </c>
      <c r="J550" s="2">
        <v>4</v>
      </c>
      <c r="K550" s="2" t="s">
        <v>151</v>
      </c>
      <c r="L550" s="2" t="s">
        <v>152</v>
      </c>
      <c r="M550" s="2" t="s">
        <v>153</v>
      </c>
      <c r="N550" s="2" t="str">
        <f>HYPERLINK("https://klocwork.dal.design.ti.com:443/review/insight-review.html#issuedetails_goto:problemid=9284,project=MCUSW_J7_KW_FULL,searchquery=taxonomy:'' build:RS-2022-10-06_06-07-58 grouping:off module:CddIpc","KW Issue Link")</f>
        <v>KW Issue Link</v>
      </c>
      <c r="O550" s="2"/>
      <c r="P550" s="2"/>
      <c r="Q550" s="2"/>
      <c r="R550" s="2"/>
      <c r="S550" s="2" t="s">
        <v>154</v>
      </c>
      <c r="T550" s="2"/>
    </row>
    <row r="551" spans="1:20" ht="120" x14ac:dyDescent="0.25">
      <c r="A551" s="2" t="s">
        <v>316</v>
      </c>
      <c r="B551" s="2" t="s">
        <v>317</v>
      </c>
      <c r="C551" s="2" t="s">
        <v>570</v>
      </c>
      <c r="D551" s="2">
        <v>9286</v>
      </c>
      <c r="E551" s="2">
        <v>329</v>
      </c>
      <c r="F551" s="2" t="s">
        <v>652</v>
      </c>
      <c r="G551" s="2" t="s">
        <v>600</v>
      </c>
      <c r="H551" s="2" t="s">
        <v>150</v>
      </c>
      <c r="I551" s="2" t="s">
        <v>89</v>
      </c>
      <c r="J551" s="2">
        <v>7</v>
      </c>
      <c r="K551" s="2" t="s">
        <v>151</v>
      </c>
      <c r="L551" s="2" t="s">
        <v>152</v>
      </c>
      <c r="M551" s="2" t="s">
        <v>158</v>
      </c>
      <c r="N551" s="2" t="str">
        <f>HYPERLINK("https://klocwork.dal.design.ti.com:443/review/insight-review.html#issuedetails_goto:problemid=9286,project=MCUSW_J7_KW_FULL,searchquery=taxonomy:'' build:RS-2022-10-06_06-07-58 grouping:off module:CddIpc","KW Issue Link")</f>
        <v>KW Issue Link</v>
      </c>
      <c r="O551" s="2" t="s">
        <v>320</v>
      </c>
      <c r="P551" s="2" t="s">
        <v>321</v>
      </c>
      <c r="Q551" s="2" t="s">
        <v>161</v>
      </c>
      <c r="R551" s="2" t="s">
        <v>322</v>
      </c>
      <c r="S551" s="2" t="s">
        <v>154</v>
      </c>
      <c r="T551" s="2"/>
    </row>
    <row r="552" spans="1:20" ht="120" x14ac:dyDescent="0.25">
      <c r="A552" s="2" t="s">
        <v>316</v>
      </c>
      <c r="B552" s="2" t="s">
        <v>317</v>
      </c>
      <c r="C552" s="2" t="s">
        <v>570</v>
      </c>
      <c r="D552" s="2">
        <v>9287</v>
      </c>
      <c r="E552" s="2">
        <v>591</v>
      </c>
      <c r="F552" s="2" t="s">
        <v>653</v>
      </c>
      <c r="G552" s="2" t="s">
        <v>604</v>
      </c>
      <c r="H552" s="2" t="s">
        <v>150</v>
      </c>
      <c r="I552" s="2" t="s">
        <v>89</v>
      </c>
      <c r="J552" s="2">
        <v>7</v>
      </c>
      <c r="K552" s="2" t="s">
        <v>151</v>
      </c>
      <c r="L552" s="2" t="s">
        <v>152</v>
      </c>
      <c r="M552" s="2" t="s">
        <v>158</v>
      </c>
      <c r="N552" s="2" t="str">
        <f>HYPERLINK("https://klocwork.dal.design.ti.com:443/review/insight-review.html#issuedetails_goto:problemid=9287,project=MCUSW_J7_KW_FULL,searchquery=taxonomy:'' build:RS-2022-10-06_06-07-58 grouping:off module:CddIpc","KW Issue Link")</f>
        <v>KW Issue Link</v>
      </c>
      <c r="O552" s="2" t="s">
        <v>320</v>
      </c>
      <c r="P552" s="2" t="s">
        <v>321</v>
      </c>
      <c r="Q552" s="2" t="s">
        <v>161</v>
      </c>
      <c r="R552" s="2" t="s">
        <v>322</v>
      </c>
      <c r="S552" s="2" t="s">
        <v>154</v>
      </c>
      <c r="T552" s="2"/>
    </row>
    <row r="553" spans="1:20" ht="120" x14ac:dyDescent="0.25">
      <c r="A553" s="2" t="s">
        <v>316</v>
      </c>
      <c r="B553" s="2" t="s">
        <v>317</v>
      </c>
      <c r="C553" s="2" t="s">
        <v>570</v>
      </c>
      <c r="D553" s="2">
        <v>9289</v>
      </c>
      <c r="E553" s="2">
        <v>857</v>
      </c>
      <c r="F553" s="2" t="s">
        <v>652</v>
      </c>
      <c r="G553" s="2" t="s">
        <v>616</v>
      </c>
      <c r="H553" s="2" t="s">
        <v>150</v>
      </c>
      <c r="I553" s="2" t="s">
        <v>89</v>
      </c>
      <c r="J553" s="2">
        <v>7</v>
      </c>
      <c r="K553" s="2" t="s">
        <v>151</v>
      </c>
      <c r="L553" s="2" t="s">
        <v>152</v>
      </c>
      <c r="M553" s="2" t="s">
        <v>158</v>
      </c>
      <c r="N553" s="2" t="str">
        <f>HYPERLINK("https://klocwork.dal.design.ti.com:443/review/insight-review.html#issuedetails_goto:problemid=9289,project=MCUSW_J7_KW_FULL,searchquery=taxonomy:'' build:RS-2022-10-06_06-07-58 grouping:off module:CddIpc","KW Issue Link")</f>
        <v>KW Issue Link</v>
      </c>
      <c r="O553" s="2" t="s">
        <v>320</v>
      </c>
      <c r="P553" s="2" t="s">
        <v>321</v>
      </c>
      <c r="Q553" s="2" t="s">
        <v>161</v>
      </c>
      <c r="R553" s="2" t="s">
        <v>322</v>
      </c>
      <c r="S553" s="2" t="s">
        <v>154</v>
      </c>
      <c r="T553" s="2"/>
    </row>
    <row r="554" spans="1:20" ht="120" x14ac:dyDescent="0.25">
      <c r="A554" s="2" t="s">
        <v>316</v>
      </c>
      <c r="B554" s="2" t="s">
        <v>317</v>
      </c>
      <c r="C554" s="2" t="s">
        <v>570</v>
      </c>
      <c r="D554" s="2">
        <v>9290</v>
      </c>
      <c r="E554" s="2">
        <v>945</v>
      </c>
      <c r="F554" s="2" t="s">
        <v>652</v>
      </c>
      <c r="G554" s="2" t="s">
        <v>605</v>
      </c>
      <c r="H554" s="2" t="s">
        <v>150</v>
      </c>
      <c r="I554" s="2" t="s">
        <v>89</v>
      </c>
      <c r="J554" s="2">
        <v>7</v>
      </c>
      <c r="K554" s="2" t="s">
        <v>151</v>
      </c>
      <c r="L554" s="2" t="s">
        <v>152</v>
      </c>
      <c r="M554" s="2" t="s">
        <v>158</v>
      </c>
      <c r="N554" s="2" t="str">
        <f>HYPERLINK("https://klocwork.dal.design.ti.com:443/review/insight-review.html#issuedetails_goto:problemid=9290,project=MCUSW_J7_KW_FULL,searchquery=taxonomy:'' build:RS-2022-10-06_06-07-58 grouping:off module:CddIpc","KW Issue Link")</f>
        <v>KW Issue Link</v>
      </c>
      <c r="O554" s="2" t="s">
        <v>320</v>
      </c>
      <c r="P554" s="2" t="s">
        <v>321</v>
      </c>
      <c r="Q554" s="2" t="s">
        <v>161</v>
      </c>
      <c r="R554" s="2" t="s">
        <v>322</v>
      </c>
      <c r="S554" s="2" t="s">
        <v>154</v>
      </c>
      <c r="T554" s="2"/>
    </row>
    <row r="555" spans="1:20" ht="120" x14ac:dyDescent="0.25">
      <c r="A555" s="2" t="s">
        <v>196</v>
      </c>
      <c r="B555" s="2" t="s">
        <v>197</v>
      </c>
      <c r="C555" s="2" t="s">
        <v>570</v>
      </c>
      <c r="D555" s="2">
        <v>9291</v>
      </c>
      <c r="E555" s="2">
        <v>331</v>
      </c>
      <c r="F555" s="2" t="s">
        <v>654</v>
      </c>
      <c r="G555" s="2" t="s">
        <v>600</v>
      </c>
      <c r="H555" s="2" t="s">
        <v>150</v>
      </c>
      <c r="I555" s="2" t="s">
        <v>123</v>
      </c>
      <c r="J555" s="2">
        <v>4</v>
      </c>
      <c r="K555" s="2" t="s">
        <v>151</v>
      </c>
      <c r="L555" s="2" t="s">
        <v>152</v>
      </c>
      <c r="M555" s="2" t="s">
        <v>153</v>
      </c>
      <c r="N555" s="2" t="str">
        <f>HYPERLINK("https://klocwork.dal.design.ti.com:443/review/insight-review.html#issuedetails_goto:problemid=9291,project=MCUSW_J7_KW_FULL,searchquery=taxonomy:'' build:RS-2022-10-06_06-07-58 grouping:off module:CddIpc","KW Issue Link")</f>
        <v>KW Issue Link</v>
      </c>
      <c r="O555" s="2"/>
      <c r="P555" s="2"/>
      <c r="Q555" s="2"/>
      <c r="R555" s="2"/>
      <c r="S555" s="2" t="s">
        <v>154</v>
      </c>
      <c r="T555" s="2"/>
    </row>
    <row r="556" spans="1:20" ht="120" x14ac:dyDescent="0.25">
      <c r="A556" s="2" t="s">
        <v>196</v>
      </c>
      <c r="B556" s="2" t="s">
        <v>197</v>
      </c>
      <c r="C556" s="2" t="s">
        <v>570</v>
      </c>
      <c r="D556" s="2">
        <v>9292</v>
      </c>
      <c r="E556" s="2">
        <v>430</v>
      </c>
      <c r="F556" s="2" t="s">
        <v>655</v>
      </c>
      <c r="G556" s="2" t="s">
        <v>642</v>
      </c>
      <c r="H556" s="2" t="s">
        <v>150</v>
      </c>
      <c r="I556" s="2" t="s">
        <v>123</v>
      </c>
      <c r="J556" s="2">
        <v>4</v>
      </c>
      <c r="K556" s="2" t="s">
        <v>151</v>
      </c>
      <c r="L556" s="2" t="s">
        <v>152</v>
      </c>
      <c r="M556" s="2" t="s">
        <v>153</v>
      </c>
      <c r="N556" s="2" t="str">
        <f>HYPERLINK("https://klocwork.dal.design.ti.com:443/review/insight-review.html#issuedetails_goto:problemid=9292,project=MCUSW_J7_KW_FULL,searchquery=taxonomy:'' build:RS-2022-10-06_06-07-58 grouping:off module:CddIpc","KW Issue Link")</f>
        <v>KW Issue Link</v>
      </c>
      <c r="O556" s="2"/>
      <c r="P556" s="2"/>
      <c r="Q556" s="2"/>
      <c r="R556" s="2"/>
      <c r="S556" s="2" t="s">
        <v>154</v>
      </c>
      <c r="T556" s="2"/>
    </row>
    <row r="557" spans="1:20" ht="120" x14ac:dyDescent="0.25">
      <c r="A557" s="2" t="s">
        <v>196</v>
      </c>
      <c r="B557" s="2" t="s">
        <v>197</v>
      </c>
      <c r="C557" s="2" t="s">
        <v>570</v>
      </c>
      <c r="D557" s="2">
        <v>9293</v>
      </c>
      <c r="E557" s="2">
        <v>610</v>
      </c>
      <c r="F557" s="2" t="s">
        <v>656</v>
      </c>
      <c r="G557" s="2" t="s">
        <v>604</v>
      </c>
      <c r="H557" s="2" t="s">
        <v>150</v>
      </c>
      <c r="I557" s="2" t="s">
        <v>123</v>
      </c>
      <c r="J557" s="2">
        <v>4</v>
      </c>
      <c r="K557" s="2" t="s">
        <v>151</v>
      </c>
      <c r="L557" s="2" t="s">
        <v>152</v>
      </c>
      <c r="M557" s="2" t="s">
        <v>153</v>
      </c>
      <c r="N557" s="2" t="str">
        <f>HYPERLINK("https://klocwork.dal.design.ti.com:443/review/insight-review.html#issuedetails_goto:problemid=9293,project=MCUSW_J7_KW_FULL,searchquery=taxonomy:'' build:RS-2022-10-06_06-07-58 grouping:off module:CddIpc","KW Issue Link")</f>
        <v>KW Issue Link</v>
      </c>
      <c r="O557" s="2"/>
      <c r="P557" s="2"/>
      <c r="Q557" s="2"/>
      <c r="R557" s="2"/>
      <c r="S557" s="2" t="s">
        <v>154</v>
      </c>
      <c r="T557" s="2"/>
    </row>
    <row r="558" spans="1:20" ht="120" x14ac:dyDescent="0.25">
      <c r="A558" s="2" t="s">
        <v>196</v>
      </c>
      <c r="B558" s="2" t="s">
        <v>197</v>
      </c>
      <c r="C558" s="2" t="s">
        <v>570</v>
      </c>
      <c r="D558" s="2">
        <v>9294</v>
      </c>
      <c r="E558" s="2">
        <v>747</v>
      </c>
      <c r="F558" s="2" t="s">
        <v>657</v>
      </c>
      <c r="G558" s="2" t="s">
        <v>615</v>
      </c>
      <c r="H558" s="2" t="s">
        <v>150</v>
      </c>
      <c r="I558" s="2" t="s">
        <v>123</v>
      </c>
      <c r="J558" s="2">
        <v>4</v>
      </c>
      <c r="K558" s="2" t="s">
        <v>151</v>
      </c>
      <c r="L558" s="2" t="s">
        <v>152</v>
      </c>
      <c r="M558" s="2" t="s">
        <v>153</v>
      </c>
      <c r="N558" s="2" t="str">
        <f>HYPERLINK("https://klocwork.dal.design.ti.com:443/review/insight-review.html#issuedetails_goto:problemid=9294,project=MCUSW_J7_KW_FULL,searchquery=taxonomy:'' build:RS-2022-10-06_06-07-58 grouping:off module:CddIpc","KW Issue Link")</f>
        <v>KW Issue Link</v>
      </c>
      <c r="O558" s="2"/>
      <c r="P558" s="2"/>
      <c r="Q558" s="2"/>
      <c r="R558" s="2"/>
      <c r="S558" s="2" t="s">
        <v>154</v>
      </c>
      <c r="T558" s="2"/>
    </row>
    <row r="559" spans="1:20" ht="120" x14ac:dyDescent="0.25">
      <c r="A559" s="2" t="s">
        <v>196</v>
      </c>
      <c r="B559" s="2" t="s">
        <v>197</v>
      </c>
      <c r="C559" s="2" t="s">
        <v>570</v>
      </c>
      <c r="D559" s="2">
        <v>9295</v>
      </c>
      <c r="E559" s="2">
        <v>764</v>
      </c>
      <c r="F559" s="2" t="s">
        <v>657</v>
      </c>
      <c r="G559" s="2" t="s">
        <v>615</v>
      </c>
      <c r="H559" s="2" t="s">
        <v>150</v>
      </c>
      <c r="I559" s="2" t="s">
        <v>123</v>
      </c>
      <c r="J559" s="2">
        <v>4</v>
      </c>
      <c r="K559" s="2" t="s">
        <v>151</v>
      </c>
      <c r="L559" s="2" t="s">
        <v>152</v>
      </c>
      <c r="M559" s="2" t="s">
        <v>153</v>
      </c>
      <c r="N559" s="2" t="str">
        <f>HYPERLINK("https://klocwork.dal.design.ti.com:443/review/insight-review.html#issuedetails_goto:problemid=9295,project=MCUSW_J7_KW_FULL,searchquery=taxonomy:'' build:RS-2022-10-06_06-07-58 grouping:off module:CddIpc","KW Issue Link")</f>
        <v>KW Issue Link</v>
      </c>
      <c r="O559" s="2"/>
      <c r="P559" s="2"/>
      <c r="Q559" s="2"/>
      <c r="R559" s="2"/>
      <c r="S559" s="2" t="s">
        <v>154</v>
      </c>
      <c r="T559" s="2"/>
    </row>
    <row r="560" spans="1:20" ht="120" x14ac:dyDescent="0.25">
      <c r="A560" s="2" t="s">
        <v>415</v>
      </c>
      <c r="B560" s="2" t="s">
        <v>416</v>
      </c>
      <c r="C560" s="2" t="s">
        <v>570</v>
      </c>
      <c r="D560" s="2">
        <v>9296</v>
      </c>
      <c r="E560" s="2">
        <v>359</v>
      </c>
      <c r="F560" s="2" t="s">
        <v>426</v>
      </c>
      <c r="G560" s="2" t="s">
        <v>610</v>
      </c>
      <c r="H560" s="2" t="s">
        <v>150</v>
      </c>
      <c r="I560" s="2" t="s">
        <v>88</v>
      </c>
      <c r="J560" s="2">
        <v>6</v>
      </c>
      <c r="K560" s="2" t="s">
        <v>151</v>
      </c>
      <c r="L560" s="2" t="s">
        <v>152</v>
      </c>
      <c r="M560" s="2" t="s">
        <v>158</v>
      </c>
      <c r="N560" s="2" t="str">
        <f>HYPERLINK("https://klocwork.dal.design.ti.com:443/review/insight-review.html#issuedetails_goto:problemid=9296,project=MCUSW_J7_KW_FULL,searchquery=taxonomy:'' build:RS-2022-10-06_06-07-58 grouping:off module:CddIpc","KW Issue Link")</f>
        <v>KW Issue Link</v>
      </c>
      <c r="O560" s="2" t="s">
        <v>418</v>
      </c>
      <c r="P560" s="2" t="s">
        <v>234</v>
      </c>
      <c r="Q560" s="2" t="s">
        <v>161</v>
      </c>
      <c r="R560" s="2" t="s">
        <v>419</v>
      </c>
      <c r="S560" s="2" t="s">
        <v>154</v>
      </c>
      <c r="T560" s="2"/>
    </row>
    <row r="561" spans="1:20" ht="120" x14ac:dyDescent="0.25">
      <c r="A561" s="2" t="s">
        <v>415</v>
      </c>
      <c r="B561" s="2" t="s">
        <v>416</v>
      </c>
      <c r="C561" s="2" t="s">
        <v>570</v>
      </c>
      <c r="D561" s="2">
        <v>9297</v>
      </c>
      <c r="E561" s="2">
        <v>382</v>
      </c>
      <c r="F561" s="2" t="s">
        <v>658</v>
      </c>
      <c r="G561" s="2" t="s">
        <v>612</v>
      </c>
      <c r="H561" s="2" t="s">
        <v>150</v>
      </c>
      <c r="I561" s="2" t="s">
        <v>88</v>
      </c>
      <c r="J561" s="2">
        <v>6</v>
      </c>
      <c r="K561" s="2" t="s">
        <v>151</v>
      </c>
      <c r="L561" s="2" t="s">
        <v>152</v>
      </c>
      <c r="M561" s="2" t="s">
        <v>158</v>
      </c>
      <c r="N561" s="2" t="str">
        <f>HYPERLINK("https://klocwork.dal.design.ti.com:443/review/insight-review.html#issuedetails_goto:problemid=9297,project=MCUSW_J7_KW_FULL,searchquery=taxonomy:'' build:RS-2022-10-06_06-07-58 grouping:off module:CddIpc","KW Issue Link")</f>
        <v>KW Issue Link</v>
      </c>
      <c r="O561" s="2" t="s">
        <v>418</v>
      </c>
      <c r="P561" s="2" t="s">
        <v>234</v>
      </c>
      <c r="Q561" s="2" t="s">
        <v>161</v>
      </c>
      <c r="R561" s="2" t="s">
        <v>419</v>
      </c>
      <c r="S561" s="2" t="s">
        <v>154</v>
      </c>
      <c r="T561" s="2"/>
    </row>
    <row r="562" spans="1:20" ht="120" x14ac:dyDescent="0.25">
      <c r="A562" s="2" t="s">
        <v>415</v>
      </c>
      <c r="B562" s="2" t="s">
        <v>416</v>
      </c>
      <c r="C562" s="2" t="s">
        <v>570</v>
      </c>
      <c r="D562" s="2">
        <v>9298</v>
      </c>
      <c r="E562" s="2">
        <v>394</v>
      </c>
      <c r="F562" s="2" t="s">
        <v>659</v>
      </c>
      <c r="G562" s="2" t="s">
        <v>613</v>
      </c>
      <c r="H562" s="2" t="s">
        <v>150</v>
      </c>
      <c r="I562" s="2" t="s">
        <v>88</v>
      </c>
      <c r="J562" s="2">
        <v>6</v>
      </c>
      <c r="K562" s="2" t="s">
        <v>151</v>
      </c>
      <c r="L562" s="2" t="s">
        <v>152</v>
      </c>
      <c r="M562" s="2" t="s">
        <v>158</v>
      </c>
      <c r="N562" s="2" t="str">
        <f>HYPERLINK("https://klocwork.dal.design.ti.com:443/review/insight-review.html#issuedetails_goto:problemid=9298,project=MCUSW_J7_KW_FULL,searchquery=taxonomy:'' build:RS-2022-10-06_06-07-58 grouping:off module:CddIpc","KW Issue Link")</f>
        <v>KW Issue Link</v>
      </c>
      <c r="O562" s="2" t="s">
        <v>418</v>
      </c>
      <c r="P562" s="2" t="s">
        <v>234</v>
      </c>
      <c r="Q562" s="2" t="s">
        <v>161</v>
      </c>
      <c r="R562" s="2" t="s">
        <v>419</v>
      </c>
      <c r="S562" s="2" t="s">
        <v>154</v>
      </c>
      <c r="T562" s="2"/>
    </row>
    <row r="563" spans="1:20" ht="120" x14ac:dyDescent="0.25">
      <c r="A563" s="2" t="s">
        <v>415</v>
      </c>
      <c r="B563" s="2" t="s">
        <v>416</v>
      </c>
      <c r="C563" s="2" t="s">
        <v>570</v>
      </c>
      <c r="D563" s="2">
        <v>9299</v>
      </c>
      <c r="E563" s="2">
        <v>610</v>
      </c>
      <c r="F563" s="2" t="s">
        <v>426</v>
      </c>
      <c r="G563" s="2" t="s">
        <v>604</v>
      </c>
      <c r="H563" s="2" t="s">
        <v>150</v>
      </c>
      <c r="I563" s="2" t="s">
        <v>88</v>
      </c>
      <c r="J563" s="2">
        <v>6</v>
      </c>
      <c r="K563" s="2" t="s">
        <v>151</v>
      </c>
      <c r="L563" s="2" t="s">
        <v>152</v>
      </c>
      <c r="M563" s="2" t="s">
        <v>158</v>
      </c>
      <c r="N563" s="2" t="str">
        <f>HYPERLINK("https://klocwork.dal.design.ti.com:443/review/insight-review.html#issuedetails_goto:problemid=9299,project=MCUSW_J7_KW_FULL,searchquery=taxonomy:'' build:RS-2022-10-06_06-07-58 grouping:off module:CddIpc","KW Issue Link")</f>
        <v>KW Issue Link</v>
      </c>
      <c r="O563" s="2" t="s">
        <v>418</v>
      </c>
      <c r="P563" s="2" t="s">
        <v>234</v>
      </c>
      <c r="Q563" s="2" t="s">
        <v>161</v>
      </c>
      <c r="R563" s="2" t="s">
        <v>419</v>
      </c>
      <c r="S563" s="2" t="s">
        <v>154</v>
      </c>
      <c r="T563" s="2"/>
    </row>
    <row r="564" spans="1:20" ht="120" x14ac:dyDescent="0.25">
      <c r="A564" s="2" t="s">
        <v>415</v>
      </c>
      <c r="B564" s="2" t="s">
        <v>416</v>
      </c>
      <c r="C564" s="2" t="s">
        <v>570</v>
      </c>
      <c r="D564" s="2">
        <v>9300</v>
      </c>
      <c r="E564" s="2">
        <v>940</v>
      </c>
      <c r="F564" s="2" t="s">
        <v>426</v>
      </c>
      <c r="G564" s="2" t="s">
        <v>605</v>
      </c>
      <c r="H564" s="2" t="s">
        <v>150</v>
      </c>
      <c r="I564" s="2" t="s">
        <v>88</v>
      </c>
      <c r="J564" s="2">
        <v>6</v>
      </c>
      <c r="K564" s="2" t="s">
        <v>151</v>
      </c>
      <c r="L564" s="2" t="s">
        <v>152</v>
      </c>
      <c r="M564" s="2" t="s">
        <v>158</v>
      </c>
      <c r="N564" s="2" t="str">
        <f>HYPERLINK("https://klocwork.dal.design.ti.com:443/review/insight-review.html#issuedetails_goto:problemid=9300,project=MCUSW_J7_KW_FULL,searchquery=taxonomy:'' build:RS-2022-10-06_06-07-58 grouping:off module:CddIpc","KW Issue Link")</f>
        <v>KW Issue Link</v>
      </c>
      <c r="O564" s="2" t="s">
        <v>418</v>
      </c>
      <c r="P564" s="2" t="s">
        <v>234</v>
      </c>
      <c r="Q564" s="2" t="s">
        <v>161</v>
      </c>
      <c r="R564" s="2" t="s">
        <v>419</v>
      </c>
      <c r="S564" s="2" t="s">
        <v>154</v>
      </c>
      <c r="T564" s="2"/>
    </row>
    <row r="565" spans="1:20" ht="120" x14ac:dyDescent="0.25">
      <c r="A565" s="2" t="s">
        <v>258</v>
      </c>
      <c r="B565" s="2" t="s">
        <v>259</v>
      </c>
      <c r="C565" s="2" t="s">
        <v>570</v>
      </c>
      <c r="D565" s="2">
        <v>9301</v>
      </c>
      <c r="E565" s="2">
        <v>390</v>
      </c>
      <c r="F565" s="2" t="s">
        <v>660</v>
      </c>
      <c r="G565" s="2" t="s">
        <v>572</v>
      </c>
      <c r="H565" s="2" t="s">
        <v>150</v>
      </c>
      <c r="I565" s="2" t="s">
        <v>89</v>
      </c>
      <c r="J565" s="2">
        <v>7</v>
      </c>
      <c r="K565" s="2" t="s">
        <v>151</v>
      </c>
      <c r="L565" s="2" t="s">
        <v>152</v>
      </c>
      <c r="M565" s="2" t="s">
        <v>158</v>
      </c>
      <c r="N565" s="2" t="str">
        <f>HYPERLINK("https://klocwork.dal.design.ti.com:443/review/insight-review.html#issuedetails_goto:problemid=9301,project=MCUSW_J7_KW_FULL,searchquery=taxonomy:'' build:RS-2022-10-06_06-07-58 grouping:off module:CddIpc","KW Issue Link")</f>
        <v>KW Issue Link</v>
      </c>
      <c r="O565" s="2" t="s">
        <v>261</v>
      </c>
      <c r="P565" s="2" t="s">
        <v>204</v>
      </c>
      <c r="Q565" s="2" t="s">
        <v>161</v>
      </c>
      <c r="R565" s="2" t="s">
        <v>262</v>
      </c>
      <c r="S565" s="2" t="s">
        <v>154</v>
      </c>
      <c r="T565" s="2"/>
    </row>
    <row r="566" spans="1:20" ht="120" x14ac:dyDescent="0.25">
      <c r="A566" s="2" t="s">
        <v>258</v>
      </c>
      <c r="B566" s="2" t="s">
        <v>259</v>
      </c>
      <c r="C566" s="2" t="s">
        <v>570</v>
      </c>
      <c r="D566" s="2">
        <v>9302</v>
      </c>
      <c r="E566" s="2">
        <v>803</v>
      </c>
      <c r="F566" s="2" t="s">
        <v>661</v>
      </c>
      <c r="G566" s="2" t="s">
        <v>572</v>
      </c>
      <c r="H566" s="2" t="s">
        <v>150</v>
      </c>
      <c r="I566" s="2" t="s">
        <v>89</v>
      </c>
      <c r="J566" s="2">
        <v>7</v>
      </c>
      <c r="K566" s="2" t="s">
        <v>151</v>
      </c>
      <c r="L566" s="2" t="s">
        <v>152</v>
      </c>
      <c r="M566" s="2" t="s">
        <v>158</v>
      </c>
      <c r="N566" s="2" t="str">
        <f>HYPERLINK("https://klocwork.dal.design.ti.com:443/review/insight-review.html#issuedetails_goto:problemid=9302,project=MCUSW_J7_KW_FULL,searchquery=taxonomy:'' build:RS-2022-10-06_06-07-58 grouping:off module:CddIpc","KW Issue Link")</f>
        <v>KW Issue Link</v>
      </c>
      <c r="O566" s="2" t="s">
        <v>261</v>
      </c>
      <c r="P566" s="2" t="s">
        <v>204</v>
      </c>
      <c r="Q566" s="2" t="s">
        <v>161</v>
      </c>
      <c r="R566" s="2" t="s">
        <v>262</v>
      </c>
      <c r="S566" s="2" t="s">
        <v>154</v>
      </c>
      <c r="T566" s="2"/>
    </row>
    <row r="567" spans="1:20" ht="120" x14ac:dyDescent="0.25">
      <c r="A567" s="2" t="s">
        <v>662</v>
      </c>
      <c r="B567" s="2" t="s">
        <v>663</v>
      </c>
      <c r="C567" s="2" t="s">
        <v>570</v>
      </c>
      <c r="D567" s="2">
        <v>9303</v>
      </c>
      <c r="E567" s="2">
        <v>413</v>
      </c>
      <c r="F567" s="2" t="s">
        <v>664</v>
      </c>
      <c r="G567" s="2" t="s">
        <v>665</v>
      </c>
      <c r="H567" s="2" t="s">
        <v>150</v>
      </c>
      <c r="I567" s="2" t="s">
        <v>123</v>
      </c>
      <c r="J567" s="2">
        <v>4</v>
      </c>
      <c r="K567" s="2" t="s">
        <v>151</v>
      </c>
      <c r="L567" s="2" t="s">
        <v>152</v>
      </c>
      <c r="M567" s="2" t="s">
        <v>153</v>
      </c>
      <c r="N567" s="2" t="str">
        <f>HYPERLINK("https://klocwork.dal.design.ti.com:443/review/insight-review.html#issuedetails_goto:problemid=9303,project=MCUSW_J7_KW_FULL,searchquery=taxonomy:'' build:RS-2022-10-06_06-07-58 grouping:off module:CddIpc","KW Issue Link")</f>
        <v>KW Issue Link</v>
      </c>
      <c r="O567" s="2"/>
      <c r="P567" s="2"/>
      <c r="Q567" s="2"/>
      <c r="R567" s="2"/>
      <c r="S567" s="2" t="s">
        <v>154</v>
      </c>
      <c r="T567" s="2"/>
    </row>
    <row r="568" spans="1:20" ht="120" x14ac:dyDescent="0.25">
      <c r="A568" s="2" t="s">
        <v>662</v>
      </c>
      <c r="B568" s="2" t="s">
        <v>663</v>
      </c>
      <c r="C568" s="2" t="s">
        <v>570</v>
      </c>
      <c r="D568" s="2">
        <v>9304</v>
      </c>
      <c r="E568" s="2">
        <v>640</v>
      </c>
      <c r="F568" s="2" t="s">
        <v>666</v>
      </c>
      <c r="G568" s="2" t="s">
        <v>651</v>
      </c>
      <c r="H568" s="2" t="s">
        <v>150</v>
      </c>
      <c r="I568" s="2" t="s">
        <v>123</v>
      </c>
      <c r="J568" s="2">
        <v>4</v>
      </c>
      <c r="K568" s="2" t="s">
        <v>151</v>
      </c>
      <c r="L568" s="2" t="s">
        <v>152</v>
      </c>
      <c r="M568" s="2" t="s">
        <v>153</v>
      </c>
      <c r="N568" s="2" t="str">
        <f>HYPERLINK("https://klocwork.dal.design.ti.com:443/review/insight-review.html#issuedetails_goto:problemid=9304,project=MCUSW_J7_KW_FULL,searchquery=taxonomy:'' build:RS-2022-10-06_06-07-58 grouping:off module:CddIpc","KW Issue Link")</f>
        <v>KW Issue Link</v>
      </c>
      <c r="O568" s="2"/>
      <c r="P568" s="2"/>
      <c r="Q568" s="2"/>
      <c r="R568" s="2"/>
      <c r="S568" s="2" t="s">
        <v>154</v>
      </c>
      <c r="T568" s="2"/>
    </row>
    <row r="569" spans="1:20" ht="120" x14ac:dyDescent="0.25">
      <c r="A569" s="2" t="s">
        <v>229</v>
      </c>
      <c r="B569" s="2" t="s">
        <v>230</v>
      </c>
      <c r="C569" s="2" t="s">
        <v>570</v>
      </c>
      <c r="D569" s="2">
        <v>9305</v>
      </c>
      <c r="E569" s="2">
        <v>553</v>
      </c>
      <c r="F569" s="2" t="s">
        <v>667</v>
      </c>
      <c r="G569" s="2" t="s">
        <v>668</v>
      </c>
      <c r="H569" s="2" t="s">
        <v>150</v>
      </c>
      <c r="I569" s="2" t="s">
        <v>89</v>
      </c>
      <c r="J569" s="2">
        <v>7</v>
      </c>
      <c r="K569" s="2" t="s">
        <v>151</v>
      </c>
      <c r="L569" s="2" t="s">
        <v>152</v>
      </c>
      <c r="M569" s="2" t="s">
        <v>158</v>
      </c>
      <c r="N569" s="2" t="str">
        <f>HYPERLINK("https://klocwork.dal.design.ti.com:443/review/insight-review.html#issuedetails_goto:problemid=9305,project=MCUSW_J7_KW_FULL,searchquery=taxonomy:'' build:RS-2022-10-06_06-07-58 grouping:off module:CddIpc","KW Issue Link")</f>
        <v>KW Issue Link</v>
      </c>
      <c r="O569" s="2" t="s">
        <v>233</v>
      </c>
      <c r="P569" s="2" t="s">
        <v>234</v>
      </c>
      <c r="Q569" s="2" t="s">
        <v>161</v>
      </c>
      <c r="R569" s="2" t="s">
        <v>235</v>
      </c>
      <c r="S569" s="2" t="s">
        <v>154</v>
      </c>
      <c r="T569" s="2"/>
    </row>
    <row r="570" spans="1:20" ht="120" x14ac:dyDescent="0.25">
      <c r="A570" s="2" t="s">
        <v>229</v>
      </c>
      <c r="B570" s="2" t="s">
        <v>230</v>
      </c>
      <c r="C570" s="2" t="s">
        <v>570</v>
      </c>
      <c r="D570" s="2">
        <v>9306</v>
      </c>
      <c r="E570" s="2">
        <v>565</v>
      </c>
      <c r="F570" s="2" t="s">
        <v>669</v>
      </c>
      <c r="G570" s="2" t="s">
        <v>670</v>
      </c>
      <c r="H570" s="2" t="s">
        <v>150</v>
      </c>
      <c r="I570" s="2" t="s">
        <v>89</v>
      </c>
      <c r="J570" s="2">
        <v>7</v>
      </c>
      <c r="K570" s="2" t="s">
        <v>151</v>
      </c>
      <c r="L570" s="2" t="s">
        <v>152</v>
      </c>
      <c r="M570" s="2" t="s">
        <v>158</v>
      </c>
      <c r="N570" s="2" t="str">
        <f>HYPERLINK("https://klocwork.dal.design.ti.com:443/review/insight-review.html#issuedetails_goto:problemid=9306,project=MCUSW_J7_KW_FULL,searchquery=taxonomy:'' build:RS-2022-10-06_06-07-58 grouping:off module:CddIpc","KW Issue Link")</f>
        <v>KW Issue Link</v>
      </c>
      <c r="O570" s="2" t="s">
        <v>233</v>
      </c>
      <c r="P570" s="2" t="s">
        <v>234</v>
      </c>
      <c r="Q570" s="2" t="s">
        <v>161</v>
      </c>
      <c r="R570" s="2" t="s">
        <v>235</v>
      </c>
      <c r="S570" s="2" t="s">
        <v>154</v>
      </c>
      <c r="T570" s="2"/>
    </row>
    <row r="571" spans="1:20" ht="120" x14ac:dyDescent="0.25">
      <c r="A571" s="2" t="s">
        <v>454</v>
      </c>
      <c r="B571" s="2" t="s">
        <v>180</v>
      </c>
      <c r="C571" s="2" t="s">
        <v>570</v>
      </c>
      <c r="D571" s="2">
        <v>9307</v>
      </c>
      <c r="E571" s="2">
        <v>582</v>
      </c>
      <c r="F571" s="2" t="s">
        <v>671</v>
      </c>
      <c r="G571" s="2" t="s">
        <v>604</v>
      </c>
      <c r="H571" s="2" t="s">
        <v>150</v>
      </c>
      <c r="I571" s="2" t="s">
        <v>124</v>
      </c>
      <c r="J571" s="2">
        <v>8</v>
      </c>
      <c r="K571" s="2" t="s">
        <v>151</v>
      </c>
      <c r="L571" s="2" t="s">
        <v>152</v>
      </c>
      <c r="M571" s="2" t="s">
        <v>182</v>
      </c>
      <c r="N571" s="2" t="str">
        <f>HYPERLINK("https://klocwork.dal.design.ti.com:443/review/insight-review.html#issuedetails_goto:problemid=9307,project=MCUSW_J7_KW_FULL,searchquery=taxonomy:'' build:RS-2022-10-06_06-07-58 grouping:off module:CddIpc","KW Issue Link")</f>
        <v>KW Issue Link</v>
      </c>
      <c r="O571" s="2"/>
      <c r="P571" s="2"/>
      <c r="Q571" s="2"/>
      <c r="R571" s="2"/>
      <c r="S571" s="2" t="s">
        <v>154</v>
      </c>
      <c r="T571" s="2"/>
    </row>
    <row r="572" spans="1:20" ht="120" x14ac:dyDescent="0.25">
      <c r="A572" s="2" t="s">
        <v>553</v>
      </c>
      <c r="B572" s="2" t="s">
        <v>554</v>
      </c>
      <c r="C572" s="2" t="s">
        <v>570</v>
      </c>
      <c r="D572" s="2">
        <v>9308</v>
      </c>
      <c r="E572" s="2">
        <v>649</v>
      </c>
      <c r="F572" s="2" t="s">
        <v>672</v>
      </c>
      <c r="G572" s="2" t="s">
        <v>635</v>
      </c>
      <c r="H572" s="2" t="s">
        <v>150</v>
      </c>
      <c r="I572" s="2" t="s">
        <v>123</v>
      </c>
      <c r="J572" s="2">
        <v>4</v>
      </c>
      <c r="K572" s="2" t="s">
        <v>151</v>
      </c>
      <c r="L572" s="2" t="s">
        <v>152</v>
      </c>
      <c r="M572" s="2" t="s">
        <v>153</v>
      </c>
      <c r="N572" s="2" t="str">
        <f>HYPERLINK("https://klocwork.dal.design.ti.com:443/review/insight-review.html#issuedetails_goto:problemid=9308,project=MCUSW_J7_KW_FULL,searchquery=taxonomy:'' build:RS-2022-10-06_06-07-58 grouping:off module:CddIpc","KW Issue Link")</f>
        <v>KW Issue Link</v>
      </c>
      <c r="O572" s="2"/>
      <c r="P572" s="2"/>
      <c r="Q572" s="2"/>
      <c r="R572" s="2"/>
      <c r="S572" s="2" t="s">
        <v>154</v>
      </c>
      <c r="T572" s="2"/>
    </row>
    <row r="573" spans="1:20" ht="120" x14ac:dyDescent="0.25">
      <c r="A573" s="2" t="s">
        <v>445</v>
      </c>
      <c r="B573" s="2" t="s">
        <v>223</v>
      </c>
      <c r="C573" s="2" t="s">
        <v>570</v>
      </c>
      <c r="D573" s="2">
        <v>9309</v>
      </c>
      <c r="E573" s="2">
        <v>673</v>
      </c>
      <c r="F573" s="2" t="s">
        <v>673</v>
      </c>
      <c r="G573" s="2" t="s">
        <v>614</v>
      </c>
      <c r="H573" s="2" t="s">
        <v>150</v>
      </c>
      <c r="I573" s="2" t="s">
        <v>89</v>
      </c>
      <c r="J573" s="2">
        <v>7</v>
      </c>
      <c r="K573" s="2" t="s">
        <v>151</v>
      </c>
      <c r="L573" s="2" t="s">
        <v>152</v>
      </c>
      <c r="M573" s="2" t="s">
        <v>158</v>
      </c>
      <c r="N573" s="2" t="str">
        <f>HYPERLINK("https://klocwork.dal.design.ti.com:443/review/insight-review.html#issuedetails_goto:problemid=9309,project=MCUSW_J7_KW_FULL,searchquery=taxonomy:'' build:RS-2022-10-06_06-07-58 grouping:off module:CddIpc","KW Issue Link")</f>
        <v>KW Issue Link</v>
      </c>
      <c r="O573" s="2" t="s">
        <v>447</v>
      </c>
      <c r="P573" s="2" t="s">
        <v>267</v>
      </c>
      <c r="Q573" s="2" t="s">
        <v>161</v>
      </c>
      <c r="R573" s="2" t="s">
        <v>448</v>
      </c>
      <c r="S573" s="2" t="s">
        <v>154</v>
      </c>
      <c r="T573" s="2"/>
    </row>
    <row r="574" spans="1:20" ht="120" x14ac:dyDescent="0.25">
      <c r="A574" s="2" t="s">
        <v>445</v>
      </c>
      <c r="B574" s="2" t="s">
        <v>223</v>
      </c>
      <c r="C574" s="2" t="s">
        <v>570</v>
      </c>
      <c r="D574" s="2">
        <v>9310</v>
      </c>
      <c r="E574" s="2">
        <v>676</v>
      </c>
      <c r="F574" s="2" t="s">
        <v>673</v>
      </c>
      <c r="G574" s="2" t="s">
        <v>614</v>
      </c>
      <c r="H574" s="2" t="s">
        <v>150</v>
      </c>
      <c r="I574" s="2" t="s">
        <v>89</v>
      </c>
      <c r="J574" s="2">
        <v>7</v>
      </c>
      <c r="K574" s="2" t="s">
        <v>151</v>
      </c>
      <c r="L574" s="2" t="s">
        <v>152</v>
      </c>
      <c r="M574" s="2" t="s">
        <v>158</v>
      </c>
      <c r="N574" s="2" t="str">
        <f>HYPERLINK("https://klocwork.dal.design.ti.com:443/review/insight-review.html#issuedetails_goto:problemid=9310,project=MCUSW_J7_KW_FULL,searchquery=taxonomy:'' build:RS-2022-10-06_06-07-58 grouping:off module:CddIpc","KW Issue Link")</f>
        <v>KW Issue Link</v>
      </c>
      <c r="O574" s="2" t="s">
        <v>447</v>
      </c>
      <c r="P574" s="2" t="s">
        <v>267</v>
      </c>
      <c r="Q574" s="2" t="s">
        <v>161</v>
      </c>
      <c r="R574" s="2" t="s">
        <v>448</v>
      </c>
      <c r="S574" s="2" t="s">
        <v>154</v>
      </c>
      <c r="T574" s="2"/>
    </row>
    <row r="575" spans="1:20" ht="120" x14ac:dyDescent="0.25">
      <c r="A575" s="2" t="s">
        <v>445</v>
      </c>
      <c r="B575" s="2" t="s">
        <v>223</v>
      </c>
      <c r="C575" s="2" t="s">
        <v>570</v>
      </c>
      <c r="D575" s="2">
        <v>9311</v>
      </c>
      <c r="E575" s="2">
        <v>758</v>
      </c>
      <c r="F575" s="2" t="s">
        <v>674</v>
      </c>
      <c r="G575" s="2" t="s">
        <v>615</v>
      </c>
      <c r="H575" s="2" t="s">
        <v>150</v>
      </c>
      <c r="I575" s="2" t="s">
        <v>89</v>
      </c>
      <c r="J575" s="2">
        <v>7</v>
      </c>
      <c r="K575" s="2" t="s">
        <v>151</v>
      </c>
      <c r="L575" s="2" t="s">
        <v>152</v>
      </c>
      <c r="M575" s="2" t="s">
        <v>158</v>
      </c>
      <c r="N575" s="2" t="str">
        <f>HYPERLINK("https://klocwork.dal.design.ti.com:443/review/insight-review.html#issuedetails_goto:problemid=9311,project=MCUSW_J7_KW_FULL,searchquery=taxonomy:'' build:RS-2022-10-06_06-07-58 grouping:off module:CddIpc","KW Issue Link")</f>
        <v>KW Issue Link</v>
      </c>
      <c r="O575" s="2" t="s">
        <v>447</v>
      </c>
      <c r="P575" s="2" t="s">
        <v>267</v>
      </c>
      <c r="Q575" s="2" t="s">
        <v>161</v>
      </c>
      <c r="R575" s="2" t="s">
        <v>448</v>
      </c>
      <c r="S575" s="2" t="s">
        <v>154</v>
      </c>
      <c r="T575" s="2"/>
    </row>
    <row r="576" spans="1:20" ht="120" x14ac:dyDescent="0.25">
      <c r="A576" s="2" t="s">
        <v>547</v>
      </c>
      <c r="B576" s="2" t="s">
        <v>548</v>
      </c>
      <c r="C576" s="2" t="s">
        <v>570</v>
      </c>
      <c r="D576" s="2">
        <v>9312</v>
      </c>
      <c r="E576" s="2">
        <v>677</v>
      </c>
      <c r="F576" s="2" t="s">
        <v>549</v>
      </c>
      <c r="G576" s="2" t="s">
        <v>614</v>
      </c>
      <c r="H576" s="2" t="s">
        <v>150</v>
      </c>
      <c r="I576" s="2" t="s">
        <v>89</v>
      </c>
      <c r="J576" s="2">
        <v>7</v>
      </c>
      <c r="K576" s="2" t="s">
        <v>151</v>
      </c>
      <c r="L576" s="2" t="s">
        <v>152</v>
      </c>
      <c r="M576" s="2" t="s">
        <v>158</v>
      </c>
      <c r="N576" s="2" t="str">
        <f>HYPERLINK("https://klocwork.dal.design.ti.com:443/review/insight-review.html#issuedetails_goto:problemid=9312,project=MCUSW_J7_KW_FULL,searchquery=taxonomy:'' build:RS-2022-10-06_06-07-58 grouping:off module:CddIpc","KW Issue Link")</f>
        <v>KW Issue Link</v>
      </c>
      <c r="O576" s="2" t="s">
        <v>550</v>
      </c>
      <c r="P576" s="2" t="s">
        <v>551</v>
      </c>
      <c r="Q576" s="2" t="s">
        <v>161</v>
      </c>
      <c r="R576" s="2" t="s">
        <v>552</v>
      </c>
      <c r="S576" s="2" t="s">
        <v>154</v>
      </c>
      <c r="T576" s="2"/>
    </row>
    <row r="577" spans="1:20" ht="120" x14ac:dyDescent="0.25">
      <c r="A577" s="2" t="s">
        <v>410</v>
      </c>
      <c r="B577" s="2" t="s">
        <v>411</v>
      </c>
      <c r="C577" s="2" t="s">
        <v>570</v>
      </c>
      <c r="D577" s="2">
        <v>9313</v>
      </c>
      <c r="E577" s="2">
        <v>870</v>
      </c>
      <c r="F577" s="2" t="s">
        <v>412</v>
      </c>
      <c r="G577" s="2" t="s">
        <v>572</v>
      </c>
      <c r="H577" s="2" t="s">
        <v>150</v>
      </c>
      <c r="I577" s="2" t="s">
        <v>88</v>
      </c>
      <c r="J577" s="2">
        <v>6</v>
      </c>
      <c r="K577" s="2" t="s">
        <v>151</v>
      </c>
      <c r="L577" s="2" t="s">
        <v>152</v>
      </c>
      <c r="M577" s="2" t="s">
        <v>158</v>
      </c>
      <c r="N577" s="2" t="str">
        <f>HYPERLINK("https://klocwork.dal.design.ti.com:443/review/insight-review.html#issuedetails_goto:problemid=9313,project=MCUSW_J7_KW_FULL,searchquery=taxonomy:'' build:RS-2022-10-06_06-07-58 grouping:off module:CddIpc","KW Issue Link")</f>
        <v>KW Issue Link</v>
      </c>
      <c r="O577" s="2" t="s">
        <v>413</v>
      </c>
      <c r="P577" s="2" t="s">
        <v>160</v>
      </c>
      <c r="Q577" s="2" t="s">
        <v>161</v>
      </c>
      <c r="R577" s="2" t="s">
        <v>414</v>
      </c>
      <c r="S577" s="2" t="s">
        <v>154</v>
      </c>
      <c r="T577" s="2"/>
    </row>
    <row r="578" spans="1:20" ht="105" x14ac:dyDescent="0.25">
      <c r="A578" s="2" t="s">
        <v>295</v>
      </c>
      <c r="B578" s="2" t="s">
        <v>296</v>
      </c>
      <c r="C578" s="2" t="s">
        <v>675</v>
      </c>
      <c r="D578" s="2">
        <v>9314</v>
      </c>
      <c r="E578" s="2">
        <v>342</v>
      </c>
      <c r="F578" s="2" t="s">
        <v>298</v>
      </c>
      <c r="G578" s="2" t="s">
        <v>676</v>
      </c>
      <c r="H578" s="2" t="s">
        <v>150</v>
      </c>
      <c r="I578" s="2" t="s">
        <v>123</v>
      </c>
      <c r="J578" s="2">
        <v>4</v>
      </c>
      <c r="K578" s="2" t="s">
        <v>151</v>
      </c>
      <c r="L578" s="2" t="s">
        <v>152</v>
      </c>
      <c r="M578" s="2" t="s">
        <v>153</v>
      </c>
      <c r="N578" s="2" t="str">
        <f>HYPERLINK("https://klocwork.dal.design.ti.com:443/review/insight-review.html#issuedetails_goto:problemid=9314,project=MCUSW_J7_KW_FULL,searchquery=taxonomy:'' build:RS-2022-10-06_06-07-58 grouping:off module:CddIpc","KW Issue Link")</f>
        <v>KW Issue Link</v>
      </c>
      <c r="O578" s="2"/>
      <c r="P578" s="2"/>
      <c r="Q578" s="2"/>
      <c r="R578" s="2"/>
      <c r="S578" s="2" t="s">
        <v>154</v>
      </c>
      <c r="T578" s="2"/>
    </row>
    <row r="579" spans="1:20" ht="120" x14ac:dyDescent="0.25">
      <c r="A579" s="2" t="s">
        <v>295</v>
      </c>
      <c r="B579" s="2" t="s">
        <v>296</v>
      </c>
      <c r="C579" s="2" t="s">
        <v>677</v>
      </c>
      <c r="D579" s="2">
        <v>9317</v>
      </c>
      <c r="E579" s="2">
        <v>117</v>
      </c>
      <c r="F579" s="2" t="s">
        <v>298</v>
      </c>
      <c r="G579" s="2" t="s">
        <v>678</v>
      </c>
      <c r="H579" s="2" t="s">
        <v>150</v>
      </c>
      <c r="I579" s="2" t="s">
        <v>123</v>
      </c>
      <c r="J579" s="2">
        <v>4</v>
      </c>
      <c r="K579" s="2" t="s">
        <v>151</v>
      </c>
      <c r="L579" s="2" t="s">
        <v>152</v>
      </c>
      <c r="M579" s="2" t="s">
        <v>153</v>
      </c>
      <c r="N579" s="2" t="str">
        <f>HYPERLINK("https://klocwork.dal.design.ti.com:443/review/insight-review.html#issuedetails_goto:problemid=9317,project=MCUSW_J7_KW_FULL,searchquery=taxonomy:'' build:RS-2022-10-06_06-07-58 grouping:off module:CddIpc","KW Issue Link")</f>
        <v>KW Issue Link</v>
      </c>
      <c r="O579" s="2"/>
      <c r="P579" s="2"/>
      <c r="Q579" s="2"/>
      <c r="R579" s="2"/>
      <c r="S579" s="2" t="s">
        <v>154</v>
      </c>
      <c r="T579" s="2"/>
    </row>
    <row r="580" spans="1:20" ht="105" x14ac:dyDescent="0.25">
      <c r="A580" s="2" t="s">
        <v>295</v>
      </c>
      <c r="B580" s="2" t="s">
        <v>296</v>
      </c>
      <c r="C580" s="2" t="s">
        <v>679</v>
      </c>
      <c r="D580" s="2">
        <v>9318</v>
      </c>
      <c r="E580" s="2">
        <v>113</v>
      </c>
      <c r="F580" s="2" t="s">
        <v>298</v>
      </c>
      <c r="G580" s="2" t="s">
        <v>680</v>
      </c>
      <c r="H580" s="2" t="s">
        <v>150</v>
      </c>
      <c r="I580" s="2" t="s">
        <v>123</v>
      </c>
      <c r="J580" s="2">
        <v>4</v>
      </c>
      <c r="K580" s="2" t="s">
        <v>151</v>
      </c>
      <c r="L580" s="2" t="s">
        <v>152</v>
      </c>
      <c r="M580" s="2" t="s">
        <v>153</v>
      </c>
      <c r="N580" s="2" t="str">
        <f>HYPERLINK("https://klocwork.dal.design.ti.com:443/review/insight-review.html#issuedetails_goto:problemid=9318,project=MCUSW_J7_KW_FULL,searchquery=taxonomy:'' build:RS-2022-10-06_06-07-58 grouping:off module:CddIpc","KW Issue Link")</f>
        <v>KW Issue Link</v>
      </c>
      <c r="O580" s="2"/>
      <c r="P580" s="2"/>
      <c r="Q580" s="2"/>
      <c r="R580" s="2"/>
      <c r="S580" s="2" t="s">
        <v>154</v>
      </c>
      <c r="T580" s="2"/>
    </row>
    <row r="581" spans="1:20" ht="120" x14ac:dyDescent="0.25">
      <c r="A581" s="2" t="s">
        <v>295</v>
      </c>
      <c r="B581" s="2" t="s">
        <v>296</v>
      </c>
      <c r="C581" s="2" t="s">
        <v>681</v>
      </c>
      <c r="D581" s="2">
        <v>9320</v>
      </c>
      <c r="E581" s="2">
        <v>196</v>
      </c>
      <c r="F581" s="2" t="s">
        <v>298</v>
      </c>
      <c r="G581" s="2" t="s">
        <v>682</v>
      </c>
      <c r="H581" s="2" t="s">
        <v>150</v>
      </c>
      <c r="I581" s="2" t="s">
        <v>123</v>
      </c>
      <c r="J581" s="2">
        <v>4</v>
      </c>
      <c r="K581" s="2" t="s">
        <v>151</v>
      </c>
      <c r="L581" s="2" t="s">
        <v>152</v>
      </c>
      <c r="M581" s="2" t="s">
        <v>153</v>
      </c>
      <c r="N581" s="2" t="str">
        <f>HYPERLINK("https://klocwork.dal.design.ti.com:443/review/insight-review.html#issuedetails_goto:problemid=9320,project=MCUSW_J7_KW_FULL,searchquery=taxonomy:'' build:RS-2022-10-06_06-07-58 grouping:off module:CddIpc","KW Issue Link")</f>
        <v>KW Issue Link</v>
      </c>
      <c r="O581" s="2"/>
      <c r="P581" s="2"/>
      <c r="Q581" s="2"/>
      <c r="R581" s="2"/>
      <c r="S581" s="2" t="s">
        <v>154</v>
      </c>
      <c r="T581" s="2"/>
    </row>
    <row r="582" spans="1:20" ht="135" x14ac:dyDescent="0.25">
      <c r="A582" s="2" t="s">
        <v>587</v>
      </c>
      <c r="B582" s="2" t="s">
        <v>588</v>
      </c>
      <c r="C582" s="2" t="s">
        <v>683</v>
      </c>
      <c r="D582" s="2">
        <v>9362</v>
      </c>
      <c r="E582" s="2">
        <v>55</v>
      </c>
      <c r="F582" s="2" t="s">
        <v>589</v>
      </c>
      <c r="G582" s="2" t="s">
        <v>684</v>
      </c>
      <c r="H582" s="2" t="s">
        <v>150</v>
      </c>
      <c r="I582" s="2" t="s">
        <v>89</v>
      </c>
      <c r="J582" s="2">
        <v>7</v>
      </c>
      <c r="K582" s="2" t="s">
        <v>151</v>
      </c>
      <c r="L582" s="2" t="s">
        <v>152</v>
      </c>
      <c r="M582" s="2" t="s">
        <v>158</v>
      </c>
      <c r="N582" s="2" t="str">
        <f>HYPERLINK("https://klocwork.dal.design.ti.com:443/review/insight-review.html#issuedetails_goto:problemid=9362,project=MCUSW_J7_KW_FULL,searchquery=taxonomy:'' build:RS-2022-10-06_06-07-58 grouping:off module:CddIpc","KW Issue Link")</f>
        <v>KW Issue Link</v>
      </c>
      <c r="O582" s="2" t="s">
        <v>590</v>
      </c>
      <c r="P582" s="2" t="s">
        <v>591</v>
      </c>
      <c r="Q582" s="2" t="s">
        <v>592</v>
      </c>
      <c r="R582" s="2" t="s">
        <v>593</v>
      </c>
      <c r="S582" s="2" t="s">
        <v>154</v>
      </c>
      <c r="T582" s="2" t="s">
        <v>594</v>
      </c>
    </row>
    <row r="583" spans="1:20" ht="135" x14ac:dyDescent="0.25">
      <c r="A583" s="2" t="s">
        <v>587</v>
      </c>
      <c r="B583" s="2" t="s">
        <v>588</v>
      </c>
      <c r="C583" s="2" t="s">
        <v>683</v>
      </c>
      <c r="D583" s="2">
        <v>9363</v>
      </c>
      <c r="E583" s="2">
        <v>56</v>
      </c>
      <c r="F583" s="2" t="s">
        <v>589</v>
      </c>
      <c r="G583" s="2" t="s">
        <v>684</v>
      </c>
      <c r="H583" s="2" t="s">
        <v>150</v>
      </c>
      <c r="I583" s="2" t="s">
        <v>89</v>
      </c>
      <c r="J583" s="2">
        <v>7</v>
      </c>
      <c r="K583" s="2" t="s">
        <v>151</v>
      </c>
      <c r="L583" s="2" t="s">
        <v>152</v>
      </c>
      <c r="M583" s="2" t="s">
        <v>158</v>
      </c>
      <c r="N583" s="2" t="str">
        <f>HYPERLINK("https://klocwork.dal.design.ti.com:443/review/insight-review.html#issuedetails_goto:problemid=9363,project=MCUSW_J7_KW_FULL,searchquery=taxonomy:'' build:RS-2022-10-06_06-07-58 grouping:off module:CddIpc","KW Issue Link")</f>
        <v>KW Issue Link</v>
      </c>
      <c r="O583" s="2" t="s">
        <v>590</v>
      </c>
      <c r="P583" s="2" t="s">
        <v>591</v>
      </c>
      <c r="Q583" s="2" t="s">
        <v>592</v>
      </c>
      <c r="R583" s="2" t="s">
        <v>593</v>
      </c>
      <c r="S583" s="2" t="s">
        <v>154</v>
      </c>
      <c r="T583" s="2" t="s">
        <v>594</v>
      </c>
    </row>
    <row r="584" spans="1:20" ht="135" x14ac:dyDescent="0.25">
      <c r="A584" s="2" t="s">
        <v>587</v>
      </c>
      <c r="B584" s="2" t="s">
        <v>588</v>
      </c>
      <c r="C584" s="2" t="s">
        <v>683</v>
      </c>
      <c r="D584" s="2">
        <v>9364</v>
      </c>
      <c r="E584" s="2">
        <v>57</v>
      </c>
      <c r="F584" s="2" t="s">
        <v>589</v>
      </c>
      <c r="G584" s="2" t="s">
        <v>684</v>
      </c>
      <c r="H584" s="2" t="s">
        <v>150</v>
      </c>
      <c r="I584" s="2" t="s">
        <v>89</v>
      </c>
      <c r="J584" s="2">
        <v>7</v>
      </c>
      <c r="K584" s="2" t="s">
        <v>151</v>
      </c>
      <c r="L584" s="2" t="s">
        <v>152</v>
      </c>
      <c r="M584" s="2" t="s">
        <v>158</v>
      </c>
      <c r="N584" s="2" t="str">
        <f>HYPERLINK("https://klocwork.dal.design.ti.com:443/review/insight-review.html#issuedetails_goto:problemid=9364,project=MCUSW_J7_KW_FULL,searchquery=taxonomy:'' build:RS-2022-10-06_06-07-58 grouping:off module:CddIpc","KW Issue Link")</f>
        <v>KW Issue Link</v>
      </c>
      <c r="O584" s="2" t="s">
        <v>590</v>
      </c>
      <c r="P584" s="2" t="s">
        <v>591</v>
      </c>
      <c r="Q584" s="2" t="s">
        <v>592</v>
      </c>
      <c r="R584" s="2" t="s">
        <v>593</v>
      </c>
      <c r="S584" s="2" t="s">
        <v>154</v>
      </c>
      <c r="T584" s="2" t="s">
        <v>594</v>
      </c>
    </row>
    <row r="585" spans="1:20" ht="135" x14ac:dyDescent="0.25">
      <c r="A585" s="2" t="s">
        <v>587</v>
      </c>
      <c r="B585" s="2" t="s">
        <v>588</v>
      </c>
      <c r="C585" s="2" t="s">
        <v>683</v>
      </c>
      <c r="D585" s="2">
        <v>9365</v>
      </c>
      <c r="E585" s="2">
        <v>58</v>
      </c>
      <c r="F585" s="2" t="s">
        <v>589</v>
      </c>
      <c r="G585" s="2" t="s">
        <v>684</v>
      </c>
      <c r="H585" s="2" t="s">
        <v>150</v>
      </c>
      <c r="I585" s="2" t="s">
        <v>89</v>
      </c>
      <c r="J585" s="2">
        <v>7</v>
      </c>
      <c r="K585" s="2" t="s">
        <v>151</v>
      </c>
      <c r="L585" s="2" t="s">
        <v>152</v>
      </c>
      <c r="M585" s="2" t="s">
        <v>158</v>
      </c>
      <c r="N585" s="2" t="str">
        <f>HYPERLINK("https://klocwork.dal.design.ti.com:443/review/insight-review.html#issuedetails_goto:problemid=9365,project=MCUSW_J7_KW_FULL,searchquery=taxonomy:'' build:RS-2022-10-06_06-07-58 grouping:off module:CddIpc","KW Issue Link")</f>
        <v>KW Issue Link</v>
      </c>
      <c r="O585" s="2" t="s">
        <v>590</v>
      </c>
      <c r="P585" s="2" t="s">
        <v>591</v>
      </c>
      <c r="Q585" s="2" t="s">
        <v>592</v>
      </c>
      <c r="R585" s="2" t="s">
        <v>593</v>
      </c>
      <c r="S585" s="2" t="s">
        <v>154</v>
      </c>
      <c r="T585" s="2" t="s">
        <v>594</v>
      </c>
    </row>
    <row r="586" spans="1:20" ht="135" x14ac:dyDescent="0.25">
      <c r="A586" s="2" t="s">
        <v>587</v>
      </c>
      <c r="B586" s="2" t="s">
        <v>588</v>
      </c>
      <c r="C586" s="2" t="s">
        <v>683</v>
      </c>
      <c r="D586" s="2">
        <v>9366</v>
      </c>
      <c r="E586" s="2">
        <v>59</v>
      </c>
      <c r="F586" s="2" t="s">
        <v>589</v>
      </c>
      <c r="G586" s="2" t="s">
        <v>684</v>
      </c>
      <c r="H586" s="2" t="s">
        <v>150</v>
      </c>
      <c r="I586" s="2" t="s">
        <v>89</v>
      </c>
      <c r="J586" s="2">
        <v>7</v>
      </c>
      <c r="K586" s="2" t="s">
        <v>151</v>
      </c>
      <c r="L586" s="2" t="s">
        <v>152</v>
      </c>
      <c r="M586" s="2" t="s">
        <v>158</v>
      </c>
      <c r="N586" s="2" t="str">
        <f>HYPERLINK("https://klocwork.dal.design.ti.com:443/review/insight-review.html#issuedetails_goto:problemid=9366,project=MCUSW_J7_KW_FULL,searchquery=taxonomy:'' build:RS-2022-10-06_06-07-58 grouping:off module:CddIpc","KW Issue Link")</f>
        <v>KW Issue Link</v>
      </c>
      <c r="O586" s="2" t="s">
        <v>590</v>
      </c>
      <c r="P586" s="2" t="s">
        <v>591</v>
      </c>
      <c r="Q586" s="2" t="s">
        <v>592</v>
      </c>
      <c r="R586" s="2" t="s">
        <v>593</v>
      </c>
      <c r="S586" s="2" t="s">
        <v>154</v>
      </c>
      <c r="T586" s="2" t="s">
        <v>594</v>
      </c>
    </row>
    <row r="587" spans="1:20" ht="135" x14ac:dyDescent="0.25">
      <c r="A587" s="2" t="s">
        <v>587</v>
      </c>
      <c r="B587" s="2" t="s">
        <v>588</v>
      </c>
      <c r="C587" s="2" t="s">
        <v>683</v>
      </c>
      <c r="D587" s="2">
        <v>9367</v>
      </c>
      <c r="E587" s="2">
        <v>60</v>
      </c>
      <c r="F587" s="2" t="s">
        <v>589</v>
      </c>
      <c r="G587" s="2" t="s">
        <v>684</v>
      </c>
      <c r="H587" s="2" t="s">
        <v>150</v>
      </c>
      <c r="I587" s="2" t="s">
        <v>89</v>
      </c>
      <c r="J587" s="2">
        <v>7</v>
      </c>
      <c r="K587" s="2" t="s">
        <v>151</v>
      </c>
      <c r="L587" s="2" t="s">
        <v>152</v>
      </c>
      <c r="M587" s="2" t="s">
        <v>158</v>
      </c>
      <c r="N587" s="2" t="str">
        <f>HYPERLINK("https://klocwork.dal.design.ti.com:443/review/insight-review.html#issuedetails_goto:problemid=9367,project=MCUSW_J7_KW_FULL,searchquery=taxonomy:'' build:RS-2022-10-06_06-07-58 grouping:off module:CddIpc","KW Issue Link")</f>
        <v>KW Issue Link</v>
      </c>
      <c r="O587" s="2" t="s">
        <v>590</v>
      </c>
      <c r="P587" s="2" t="s">
        <v>591</v>
      </c>
      <c r="Q587" s="2" t="s">
        <v>592</v>
      </c>
      <c r="R587" s="2" t="s">
        <v>593</v>
      </c>
      <c r="S587" s="2" t="s">
        <v>154</v>
      </c>
      <c r="T587" s="2" t="s">
        <v>594</v>
      </c>
    </row>
    <row r="588" spans="1:20" ht="135" x14ac:dyDescent="0.25">
      <c r="A588" s="2" t="s">
        <v>587</v>
      </c>
      <c r="B588" s="2" t="s">
        <v>588</v>
      </c>
      <c r="C588" s="2" t="s">
        <v>683</v>
      </c>
      <c r="D588" s="2">
        <v>9368</v>
      </c>
      <c r="E588" s="2">
        <v>61</v>
      </c>
      <c r="F588" s="2" t="s">
        <v>589</v>
      </c>
      <c r="G588" s="2" t="s">
        <v>684</v>
      </c>
      <c r="H588" s="2" t="s">
        <v>150</v>
      </c>
      <c r="I588" s="2" t="s">
        <v>89</v>
      </c>
      <c r="J588" s="2">
        <v>7</v>
      </c>
      <c r="K588" s="2" t="s">
        <v>151</v>
      </c>
      <c r="L588" s="2" t="s">
        <v>152</v>
      </c>
      <c r="M588" s="2" t="s">
        <v>158</v>
      </c>
      <c r="N588" s="2" t="str">
        <f>HYPERLINK("https://klocwork.dal.design.ti.com:443/review/insight-review.html#issuedetails_goto:problemid=9368,project=MCUSW_J7_KW_FULL,searchquery=taxonomy:'' build:RS-2022-10-06_06-07-58 grouping:off module:CddIpc","KW Issue Link")</f>
        <v>KW Issue Link</v>
      </c>
      <c r="O588" s="2" t="s">
        <v>590</v>
      </c>
      <c r="P588" s="2" t="s">
        <v>591</v>
      </c>
      <c r="Q588" s="2" t="s">
        <v>592</v>
      </c>
      <c r="R588" s="2" t="s">
        <v>593</v>
      </c>
      <c r="S588" s="2" t="s">
        <v>154</v>
      </c>
      <c r="T588" s="2" t="s">
        <v>594</v>
      </c>
    </row>
    <row r="589" spans="1:20" ht="135" x14ac:dyDescent="0.25">
      <c r="A589" s="2" t="s">
        <v>587</v>
      </c>
      <c r="B589" s="2" t="s">
        <v>588</v>
      </c>
      <c r="C589" s="2" t="s">
        <v>685</v>
      </c>
      <c r="D589" s="2">
        <v>9369</v>
      </c>
      <c r="E589" s="2">
        <v>80</v>
      </c>
      <c r="F589" s="2" t="s">
        <v>589</v>
      </c>
      <c r="G589" s="2" t="s">
        <v>686</v>
      </c>
      <c r="H589" s="2" t="s">
        <v>150</v>
      </c>
      <c r="I589" s="2" t="s">
        <v>89</v>
      </c>
      <c r="J589" s="2">
        <v>7</v>
      </c>
      <c r="K589" s="2" t="s">
        <v>151</v>
      </c>
      <c r="L589" s="2" t="s">
        <v>152</v>
      </c>
      <c r="M589" s="2" t="s">
        <v>158</v>
      </c>
      <c r="N589" s="2" t="str">
        <f>HYPERLINK("https://klocwork.dal.design.ti.com:443/review/insight-review.html#issuedetails_goto:problemid=9369,project=MCUSW_J7_KW_FULL,searchquery=taxonomy:'' build:RS-2022-10-06_06-07-58 grouping:off module:CddIpc","KW Issue Link")</f>
        <v>KW Issue Link</v>
      </c>
      <c r="O589" s="2" t="s">
        <v>590</v>
      </c>
      <c r="P589" s="2" t="s">
        <v>591</v>
      </c>
      <c r="Q589" s="2" t="s">
        <v>592</v>
      </c>
      <c r="R589" s="2" t="s">
        <v>593</v>
      </c>
      <c r="S589" s="2" t="s">
        <v>154</v>
      </c>
      <c r="T589" s="2" t="s">
        <v>594</v>
      </c>
    </row>
    <row r="590" spans="1:20" ht="135" x14ac:dyDescent="0.25">
      <c r="A590" s="2" t="s">
        <v>587</v>
      </c>
      <c r="B590" s="2" t="s">
        <v>588</v>
      </c>
      <c r="C590" s="2" t="s">
        <v>685</v>
      </c>
      <c r="D590" s="2">
        <v>9370</v>
      </c>
      <c r="E590" s="2">
        <v>81</v>
      </c>
      <c r="F590" s="2" t="s">
        <v>589</v>
      </c>
      <c r="G590" s="2" t="s">
        <v>686</v>
      </c>
      <c r="H590" s="2" t="s">
        <v>150</v>
      </c>
      <c r="I590" s="2" t="s">
        <v>89</v>
      </c>
      <c r="J590" s="2">
        <v>7</v>
      </c>
      <c r="K590" s="2" t="s">
        <v>151</v>
      </c>
      <c r="L590" s="2" t="s">
        <v>152</v>
      </c>
      <c r="M590" s="2" t="s">
        <v>158</v>
      </c>
      <c r="N590" s="2" t="str">
        <f>HYPERLINK("https://klocwork.dal.design.ti.com:443/review/insight-review.html#issuedetails_goto:problemid=9370,project=MCUSW_J7_KW_FULL,searchquery=taxonomy:'' build:RS-2022-10-06_06-07-58 grouping:off module:CddIpc","KW Issue Link")</f>
        <v>KW Issue Link</v>
      </c>
      <c r="O590" s="2" t="s">
        <v>590</v>
      </c>
      <c r="P590" s="2" t="s">
        <v>591</v>
      </c>
      <c r="Q590" s="2" t="s">
        <v>592</v>
      </c>
      <c r="R590" s="2" t="s">
        <v>593</v>
      </c>
      <c r="S590" s="2" t="s">
        <v>154</v>
      </c>
      <c r="T590" s="2" t="s">
        <v>594</v>
      </c>
    </row>
    <row r="591" spans="1:20" ht="135" x14ac:dyDescent="0.25">
      <c r="A591" s="2" t="s">
        <v>587</v>
      </c>
      <c r="B591" s="2" t="s">
        <v>588</v>
      </c>
      <c r="C591" s="2" t="s">
        <v>685</v>
      </c>
      <c r="D591" s="2">
        <v>9371</v>
      </c>
      <c r="E591" s="2">
        <v>82</v>
      </c>
      <c r="F591" s="2" t="s">
        <v>589</v>
      </c>
      <c r="G591" s="2" t="s">
        <v>686</v>
      </c>
      <c r="H591" s="2" t="s">
        <v>150</v>
      </c>
      <c r="I591" s="2" t="s">
        <v>89</v>
      </c>
      <c r="J591" s="2">
        <v>7</v>
      </c>
      <c r="K591" s="2" t="s">
        <v>151</v>
      </c>
      <c r="L591" s="2" t="s">
        <v>152</v>
      </c>
      <c r="M591" s="2" t="s">
        <v>158</v>
      </c>
      <c r="N591" s="2" t="str">
        <f>HYPERLINK("https://klocwork.dal.design.ti.com:443/review/insight-review.html#issuedetails_goto:problemid=9371,project=MCUSW_J7_KW_FULL,searchquery=taxonomy:'' build:RS-2022-10-06_06-07-58 grouping:off module:CddIpc","KW Issue Link")</f>
        <v>KW Issue Link</v>
      </c>
      <c r="O591" s="2" t="s">
        <v>590</v>
      </c>
      <c r="P591" s="2" t="s">
        <v>591</v>
      </c>
      <c r="Q591" s="2" t="s">
        <v>592</v>
      </c>
      <c r="R591" s="2" t="s">
        <v>593</v>
      </c>
      <c r="S591" s="2" t="s">
        <v>154</v>
      </c>
      <c r="T591" s="2" t="s">
        <v>594</v>
      </c>
    </row>
    <row r="592" spans="1:20" ht="135" x14ac:dyDescent="0.25">
      <c r="A592" s="2" t="s">
        <v>587</v>
      </c>
      <c r="B592" s="2" t="s">
        <v>588</v>
      </c>
      <c r="C592" s="2" t="s">
        <v>685</v>
      </c>
      <c r="D592" s="2">
        <v>9372</v>
      </c>
      <c r="E592" s="2">
        <v>83</v>
      </c>
      <c r="F592" s="2" t="s">
        <v>589</v>
      </c>
      <c r="G592" s="2" t="s">
        <v>686</v>
      </c>
      <c r="H592" s="2" t="s">
        <v>150</v>
      </c>
      <c r="I592" s="2" t="s">
        <v>89</v>
      </c>
      <c r="J592" s="2">
        <v>7</v>
      </c>
      <c r="K592" s="2" t="s">
        <v>151</v>
      </c>
      <c r="L592" s="2" t="s">
        <v>152</v>
      </c>
      <c r="M592" s="2" t="s">
        <v>158</v>
      </c>
      <c r="N592" s="2" t="str">
        <f>HYPERLINK("https://klocwork.dal.design.ti.com:443/review/insight-review.html#issuedetails_goto:problemid=9372,project=MCUSW_J7_KW_FULL,searchquery=taxonomy:'' build:RS-2022-10-06_06-07-58 grouping:off module:CddIpc","KW Issue Link")</f>
        <v>KW Issue Link</v>
      </c>
      <c r="O592" s="2" t="s">
        <v>590</v>
      </c>
      <c r="P592" s="2" t="s">
        <v>591</v>
      </c>
      <c r="Q592" s="2" t="s">
        <v>592</v>
      </c>
      <c r="R592" s="2" t="s">
        <v>593</v>
      </c>
      <c r="S592" s="2" t="s">
        <v>154</v>
      </c>
      <c r="T592" s="2" t="s">
        <v>594</v>
      </c>
    </row>
    <row r="593" spans="1:20" ht="135" x14ac:dyDescent="0.25">
      <c r="A593" s="2" t="s">
        <v>587</v>
      </c>
      <c r="B593" s="2" t="s">
        <v>588</v>
      </c>
      <c r="C593" s="2" t="s">
        <v>685</v>
      </c>
      <c r="D593" s="2">
        <v>9373</v>
      </c>
      <c r="E593" s="2">
        <v>84</v>
      </c>
      <c r="F593" s="2" t="s">
        <v>589</v>
      </c>
      <c r="G593" s="2" t="s">
        <v>686</v>
      </c>
      <c r="H593" s="2" t="s">
        <v>150</v>
      </c>
      <c r="I593" s="2" t="s">
        <v>89</v>
      </c>
      <c r="J593" s="2">
        <v>7</v>
      </c>
      <c r="K593" s="2" t="s">
        <v>151</v>
      </c>
      <c r="L593" s="2" t="s">
        <v>152</v>
      </c>
      <c r="M593" s="2" t="s">
        <v>158</v>
      </c>
      <c r="N593" s="2" t="str">
        <f>HYPERLINK("https://klocwork.dal.design.ti.com:443/review/insight-review.html#issuedetails_goto:problemid=9373,project=MCUSW_J7_KW_FULL,searchquery=taxonomy:'' build:RS-2022-10-06_06-07-58 grouping:off module:CddIpc","KW Issue Link")</f>
        <v>KW Issue Link</v>
      </c>
      <c r="O593" s="2" t="s">
        <v>590</v>
      </c>
      <c r="P593" s="2" t="s">
        <v>591</v>
      </c>
      <c r="Q593" s="2" t="s">
        <v>592</v>
      </c>
      <c r="R593" s="2" t="s">
        <v>593</v>
      </c>
      <c r="S593" s="2" t="s">
        <v>154</v>
      </c>
      <c r="T593" s="2" t="s">
        <v>594</v>
      </c>
    </row>
    <row r="594" spans="1:20" ht="135" x14ac:dyDescent="0.25">
      <c r="A594" s="2" t="s">
        <v>587</v>
      </c>
      <c r="B594" s="2" t="s">
        <v>588</v>
      </c>
      <c r="C594" s="2" t="s">
        <v>685</v>
      </c>
      <c r="D594" s="2">
        <v>9374</v>
      </c>
      <c r="E594" s="2">
        <v>85</v>
      </c>
      <c r="F594" s="2" t="s">
        <v>589</v>
      </c>
      <c r="G594" s="2" t="s">
        <v>686</v>
      </c>
      <c r="H594" s="2" t="s">
        <v>150</v>
      </c>
      <c r="I594" s="2" t="s">
        <v>89</v>
      </c>
      <c r="J594" s="2">
        <v>7</v>
      </c>
      <c r="K594" s="2" t="s">
        <v>151</v>
      </c>
      <c r="L594" s="2" t="s">
        <v>152</v>
      </c>
      <c r="M594" s="2" t="s">
        <v>158</v>
      </c>
      <c r="N594" s="2" t="str">
        <f>HYPERLINK("https://klocwork.dal.design.ti.com:443/review/insight-review.html#issuedetails_goto:problemid=9374,project=MCUSW_J7_KW_FULL,searchquery=taxonomy:'' build:RS-2022-10-06_06-07-58 grouping:off module:CddIpc","KW Issue Link")</f>
        <v>KW Issue Link</v>
      </c>
      <c r="O594" s="2" t="s">
        <v>590</v>
      </c>
      <c r="P594" s="2" t="s">
        <v>591</v>
      </c>
      <c r="Q594" s="2" t="s">
        <v>592</v>
      </c>
      <c r="R594" s="2" t="s">
        <v>593</v>
      </c>
      <c r="S594" s="2" t="s">
        <v>154</v>
      </c>
      <c r="T594" s="2" t="s">
        <v>594</v>
      </c>
    </row>
    <row r="595" spans="1:20" ht="135" x14ac:dyDescent="0.25">
      <c r="A595" s="2" t="s">
        <v>587</v>
      </c>
      <c r="B595" s="2" t="s">
        <v>588</v>
      </c>
      <c r="C595" s="2" t="s">
        <v>685</v>
      </c>
      <c r="D595" s="2">
        <v>9375</v>
      </c>
      <c r="E595" s="2">
        <v>86</v>
      </c>
      <c r="F595" s="2" t="s">
        <v>589</v>
      </c>
      <c r="G595" s="2" t="s">
        <v>686</v>
      </c>
      <c r="H595" s="2" t="s">
        <v>150</v>
      </c>
      <c r="I595" s="2" t="s">
        <v>89</v>
      </c>
      <c r="J595" s="2">
        <v>7</v>
      </c>
      <c r="K595" s="2" t="s">
        <v>151</v>
      </c>
      <c r="L595" s="2" t="s">
        <v>152</v>
      </c>
      <c r="M595" s="2" t="s">
        <v>158</v>
      </c>
      <c r="N595" s="2" t="str">
        <f>HYPERLINK("https://klocwork.dal.design.ti.com:443/review/insight-review.html#issuedetails_goto:problemid=9375,project=MCUSW_J7_KW_FULL,searchquery=taxonomy:'' build:RS-2022-10-06_06-07-58 grouping:off module:CddIpc","KW Issue Link")</f>
        <v>KW Issue Link</v>
      </c>
      <c r="O595" s="2" t="s">
        <v>590</v>
      </c>
      <c r="P595" s="2" t="s">
        <v>591</v>
      </c>
      <c r="Q595" s="2" t="s">
        <v>592</v>
      </c>
      <c r="R595" s="2" t="s">
        <v>593</v>
      </c>
      <c r="S595" s="2" t="s">
        <v>154</v>
      </c>
      <c r="T595" s="2" t="s">
        <v>594</v>
      </c>
    </row>
    <row r="596" spans="1:20" ht="120" x14ac:dyDescent="0.25">
      <c r="A596" s="2" t="s">
        <v>191</v>
      </c>
      <c r="B596" s="2" t="s">
        <v>192</v>
      </c>
      <c r="C596" s="2" t="s">
        <v>304</v>
      </c>
      <c r="D596" s="2">
        <v>10410</v>
      </c>
      <c r="E596" s="2">
        <v>424</v>
      </c>
      <c r="F596" s="2" t="s">
        <v>687</v>
      </c>
      <c r="G596" s="2" t="s">
        <v>335</v>
      </c>
      <c r="H596" s="2" t="s">
        <v>150</v>
      </c>
      <c r="I596" s="2" t="s">
        <v>123</v>
      </c>
      <c r="J596" s="2">
        <v>4</v>
      </c>
      <c r="K596" s="2" t="s">
        <v>151</v>
      </c>
      <c r="L596" s="2" t="s">
        <v>152</v>
      </c>
      <c r="M596" s="2" t="s">
        <v>153</v>
      </c>
      <c r="N596" s="2" t="str">
        <f>HYPERLINK("https://klocwork.dal.design.ti.com:443/review/insight-review.html#issuedetails_goto:problemid=10410,project=MCUSW_J7_KW_FULL,searchquery=taxonomy:'' build:RS-2022-10-06_06-07-58 grouping:off module:CddIpc","KW Issue Link")</f>
        <v>KW Issue Link</v>
      </c>
      <c r="O596" s="2"/>
      <c r="P596" s="2"/>
      <c r="Q596" s="2"/>
      <c r="R596" s="2"/>
      <c r="S596" s="2" t="s">
        <v>154</v>
      </c>
      <c r="T596" s="2"/>
    </row>
    <row r="597" spans="1:20" ht="120" x14ac:dyDescent="0.25">
      <c r="A597" s="2" t="s">
        <v>222</v>
      </c>
      <c r="B597" s="2" t="s">
        <v>223</v>
      </c>
      <c r="C597" s="2" t="s">
        <v>304</v>
      </c>
      <c r="D597" s="2">
        <v>10536</v>
      </c>
      <c r="E597" s="2">
        <v>344</v>
      </c>
      <c r="F597" s="2" t="s">
        <v>224</v>
      </c>
      <c r="G597" s="2" t="s">
        <v>325</v>
      </c>
      <c r="H597" s="2" t="s">
        <v>150</v>
      </c>
      <c r="I597" s="2" t="s">
        <v>123</v>
      </c>
      <c r="J597" s="2">
        <v>4</v>
      </c>
      <c r="K597" s="2" t="s">
        <v>151</v>
      </c>
      <c r="L597" s="2" t="s">
        <v>152</v>
      </c>
      <c r="M597" s="2" t="s">
        <v>153</v>
      </c>
      <c r="N597" s="2" t="str">
        <f>HYPERLINK("https://klocwork.dal.design.ti.com:443/review/insight-review.html#issuedetails_goto:problemid=10536,project=MCUSW_J7_KW_FULL,searchquery=taxonomy:'' build:RS-2022-10-06_06-07-58 grouping:off module:CddIpc","KW Issue Link")</f>
        <v>KW Issue Link</v>
      </c>
      <c r="O597" s="2"/>
      <c r="P597" s="2"/>
      <c r="Q597" s="2"/>
      <c r="R597" s="2"/>
      <c r="S597" s="2" t="s">
        <v>154</v>
      </c>
      <c r="T597" s="2"/>
    </row>
    <row r="598" spans="1:20" ht="120" x14ac:dyDescent="0.25">
      <c r="A598" s="2" t="s">
        <v>222</v>
      </c>
      <c r="B598" s="2" t="s">
        <v>223</v>
      </c>
      <c r="C598" s="2" t="s">
        <v>304</v>
      </c>
      <c r="D598" s="2">
        <v>10537</v>
      </c>
      <c r="E598" s="2">
        <v>1256</v>
      </c>
      <c r="F598" s="2" t="s">
        <v>224</v>
      </c>
      <c r="G598" s="2" t="s">
        <v>333</v>
      </c>
      <c r="H598" s="2" t="s">
        <v>150</v>
      </c>
      <c r="I598" s="2" t="s">
        <v>123</v>
      </c>
      <c r="J598" s="2">
        <v>4</v>
      </c>
      <c r="K598" s="2" t="s">
        <v>151</v>
      </c>
      <c r="L598" s="2" t="s">
        <v>152</v>
      </c>
      <c r="M598" s="2" t="s">
        <v>153</v>
      </c>
      <c r="N598" s="2" t="str">
        <f>HYPERLINK("https://klocwork.dal.design.ti.com:443/review/insight-review.html#issuedetails_goto:problemid=10537,project=MCUSW_J7_KW_FULL,searchquery=taxonomy:'' build:RS-2022-10-06_06-07-58 grouping:off module:CddIpc","KW Issue Link")</f>
        <v>KW Issue Link</v>
      </c>
      <c r="O598" s="2"/>
      <c r="P598" s="2"/>
      <c r="Q598" s="2"/>
      <c r="R598" s="2"/>
      <c r="S598" s="2" t="s">
        <v>154</v>
      </c>
      <c r="T598" s="2"/>
    </row>
    <row r="599" spans="1:20" ht="120" x14ac:dyDescent="0.25">
      <c r="A599" s="2" t="s">
        <v>290</v>
      </c>
      <c r="B599" s="2" t="s">
        <v>291</v>
      </c>
      <c r="C599" s="2" t="s">
        <v>570</v>
      </c>
      <c r="D599" s="2">
        <v>10554</v>
      </c>
      <c r="E599" s="2">
        <v>827</v>
      </c>
      <c r="F599" s="2" t="s">
        <v>688</v>
      </c>
      <c r="G599" s="2" t="s">
        <v>616</v>
      </c>
      <c r="H599" s="2" t="s">
        <v>150</v>
      </c>
      <c r="I599" s="2" t="s">
        <v>123</v>
      </c>
      <c r="J599" s="2">
        <v>4</v>
      </c>
      <c r="K599" s="2" t="s">
        <v>151</v>
      </c>
      <c r="L599" s="2" t="s">
        <v>152</v>
      </c>
      <c r="M599" s="2" t="s">
        <v>153</v>
      </c>
      <c r="N599" s="2" t="str">
        <f>HYPERLINK("https://klocwork.dal.design.ti.com:443/review/insight-review.html#issuedetails_goto:problemid=10554,project=MCUSW_J7_KW_FULL,searchquery=taxonomy:'' build:RS-2022-10-06_06-07-58 grouping:off module:CddIpc","KW Issue Link")</f>
        <v>KW Issue Link</v>
      </c>
      <c r="O599" s="2"/>
      <c r="P599" s="2"/>
      <c r="Q599" s="2"/>
      <c r="R599" s="2"/>
      <c r="S599" s="2" t="s">
        <v>154</v>
      </c>
      <c r="T599" s="2"/>
    </row>
    <row r="600" spans="1:20" ht="105" x14ac:dyDescent="0.25">
      <c r="A600" s="2" t="s">
        <v>163</v>
      </c>
      <c r="B600" s="2" t="s">
        <v>164</v>
      </c>
      <c r="C600" s="2" t="s">
        <v>147</v>
      </c>
      <c r="D600" s="2">
        <v>10571</v>
      </c>
      <c r="E600" s="2">
        <v>361</v>
      </c>
      <c r="F600" s="2" t="s">
        <v>165</v>
      </c>
      <c r="G600" s="2" t="s">
        <v>168</v>
      </c>
      <c r="H600" s="2" t="s">
        <v>150</v>
      </c>
      <c r="I600" s="2" t="s">
        <v>123</v>
      </c>
      <c r="J600" s="2">
        <v>4</v>
      </c>
      <c r="K600" s="2" t="s">
        <v>151</v>
      </c>
      <c r="L600" s="2" t="s">
        <v>152</v>
      </c>
      <c r="M600" s="2" t="s">
        <v>153</v>
      </c>
      <c r="N600" s="2" t="str">
        <f>HYPERLINK("https://klocwork.dal.design.ti.com:443/review/insight-review.html#issuedetails_goto:problemid=10571,project=MCUSW_J7_KW_FULL,searchquery=taxonomy:'' build:RS-2022-10-06_06-07-58 grouping:off module:CddIpc","KW Issue Link")</f>
        <v>KW Issue Link</v>
      </c>
      <c r="O600" s="2"/>
      <c r="P600" s="2"/>
      <c r="Q600" s="2"/>
      <c r="R600" s="2"/>
      <c r="S600" s="2" t="s">
        <v>154</v>
      </c>
      <c r="T600" s="2"/>
    </row>
    <row r="601" spans="1:20" ht="105" x14ac:dyDescent="0.25">
      <c r="A601" s="2" t="s">
        <v>316</v>
      </c>
      <c r="B601" s="2" t="s">
        <v>317</v>
      </c>
      <c r="C601" s="2" t="s">
        <v>147</v>
      </c>
      <c r="D601" s="2">
        <v>10573</v>
      </c>
      <c r="E601" s="2">
        <v>432</v>
      </c>
      <c r="F601" s="2" t="s">
        <v>689</v>
      </c>
      <c r="G601" s="2" t="s">
        <v>169</v>
      </c>
      <c r="H601" s="2" t="s">
        <v>150</v>
      </c>
      <c r="I601" s="2" t="s">
        <v>89</v>
      </c>
      <c r="J601" s="2">
        <v>7</v>
      </c>
      <c r="K601" s="2" t="s">
        <v>151</v>
      </c>
      <c r="L601" s="2" t="s">
        <v>152</v>
      </c>
      <c r="M601" s="2" t="s">
        <v>158</v>
      </c>
      <c r="N601" s="2" t="str">
        <f>HYPERLINK("https://klocwork.dal.design.ti.com:443/review/insight-review.html#issuedetails_goto:problemid=10573,project=MCUSW_J7_KW_FULL,searchquery=taxonomy:'' build:RS-2022-10-06_06-07-58 grouping:off module:CddIpc","KW Issue Link")</f>
        <v>KW Issue Link</v>
      </c>
      <c r="O601" s="2" t="s">
        <v>320</v>
      </c>
      <c r="P601" s="2" t="s">
        <v>321</v>
      </c>
      <c r="Q601" s="2" t="s">
        <v>161</v>
      </c>
      <c r="R601" s="2" t="s">
        <v>322</v>
      </c>
      <c r="S601" s="2" t="s">
        <v>154</v>
      </c>
      <c r="T601" s="2"/>
    </row>
    <row r="602" spans="1:20" ht="120" x14ac:dyDescent="0.25">
      <c r="A602" s="2" t="s">
        <v>222</v>
      </c>
      <c r="B602" s="2" t="s">
        <v>223</v>
      </c>
      <c r="C602" s="2" t="s">
        <v>304</v>
      </c>
      <c r="D602" s="2">
        <v>10577</v>
      </c>
      <c r="E602" s="2">
        <v>1334</v>
      </c>
      <c r="F602" s="2" t="s">
        <v>224</v>
      </c>
      <c r="G602" s="2" t="s">
        <v>341</v>
      </c>
      <c r="H602" s="2" t="s">
        <v>150</v>
      </c>
      <c r="I602" s="2" t="s">
        <v>123</v>
      </c>
      <c r="J602" s="2">
        <v>4</v>
      </c>
      <c r="K602" s="2" t="s">
        <v>151</v>
      </c>
      <c r="L602" s="2" t="s">
        <v>152</v>
      </c>
      <c r="M602" s="2" t="s">
        <v>153</v>
      </c>
      <c r="N602" s="2" t="str">
        <f>HYPERLINK("https://klocwork.dal.design.ti.com:443/review/insight-review.html#issuedetails_goto:problemid=10577,project=MCUSW_J7_KW_FULL,searchquery=taxonomy:'' build:RS-2022-10-06_06-07-58 grouping:off module:CddIpc","KW Issue Link")</f>
        <v>KW Issue Link</v>
      </c>
      <c r="O602" s="2"/>
      <c r="P602" s="2"/>
      <c r="Q602" s="2"/>
      <c r="R602" s="2"/>
      <c r="S602" s="2" t="s">
        <v>154</v>
      </c>
      <c r="T602" s="2"/>
    </row>
    <row r="603" spans="1:20" ht="120" x14ac:dyDescent="0.25">
      <c r="A603" s="2" t="s">
        <v>206</v>
      </c>
      <c r="B603" s="2" t="s">
        <v>207</v>
      </c>
      <c r="C603" s="2" t="s">
        <v>304</v>
      </c>
      <c r="D603" s="2">
        <v>10581</v>
      </c>
      <c r="E603" s="2">
        <v>521</v>
      </c>
      <c r="F603" s="2" t="s">
        <v>690</v>
      </c>
      <c r="G603" s="2" t="s">
        <v>339</v>
      </c>
      <c r="H603" s="2" t="s">
        <v>150</v>
      </c>
      <c r="I603" s="2" t="s">
        <v>88</v>
      </c>
      <c r="J603" s="2">
        <v>6</v>
      </c>
      <c r="K603" s="2" t="s">
        <v>151</v>
      </c>
      <c r="L603" s="2" t="s">
        <v>152</v>
      </c>
      <c r="M603" s="2" t="s">
        <v>158</v>
      </c>
      <c r="N603" s="2" t="str">
        <f>HYPERLINK("https://klocwork.dal.design.ti.com:443/review/insight-review.html#issuedetails_goto:problemid=10581,project=MCUSW_J7_KW_FULL,searchquery=taxonomy:'' build:RS-2022-10-06_06-07-58 grouping:off module:CddIpc","KW Issue Link")</f>
        <v>KW Issue Link</v>
      </c>
      <c r="O603" s="2" t="s">
        <v>209</v>
      </c>
      <c r="P603" s="2" t="s">
        <v>210</v>
      </c>
      <c r="Q603" s="2" t="s">
        <v>211</v>
      </c>
      <c r="R603" s="2" t="s">
        <v>212</v>
      </c>
      <c r="S603" s="2" t="s">
        <v>154</v>
      </c>
      <c r="T603" s="2" t="s">
        <v>213</v>
      </c>
    </row>
    <row r="604" spans="1:20" ht="120" x14ac:dyDescent="0.25">
      <c r="A604" s="2" t="s">
        <v>206</v>
      </c>
      <c r="B604" s="2" t="s">
        <v>207</v>
      </c>
      <c r="C604" s="2" t="s">
        <v>304</v>
      </c>
      <c r="D604" s="2">
        <v>10582</v>
      </c>
      <c r="E604" s="2">
        <v>614</v>
      </c>
      <c r="F604" s="2" t="s">
        <v>690</v>
      </c>
      <c r="G604" s="2" t="s">
        <v>388</v>
      </c>
      <c r="H604" s="2" t="s">
        <v>150</v>
      </c>
      <c r="I604" s="2" t="s">
        <v>88</v>
      </c>
      <c r="J604" s="2">
        <v>6</v>
      </c>
      <c r="K604" s="2" t="s">
        <v>151</v>
      </c>
      <c r="L604" s="2" t="s">
        <v>152</v>
      </c>
      <c r="M604" s="2" t="s">
        <v>158</v>
      </c>
      <c r="N604" s="2" t="str">
        <f>HYPERLINK("https://klocwork.dal.design.ti.com:443/review/insight-review.html#issuedetails_goto:problemid=10582,project=MCUSW_J7_KW_FULL,searchquery=taxonomy:'' build:RS-2022-10-06_06-07-58 grouping:off module:CddIpc","KW Issue Link")</f>
        <v>KW Issue Link</v>
      </c>
      <c r="O604" s="2" t="s">
        <v>209</v>
      </c>
      <c r="P604" s="2" t="s">
        <v>210</v>
      </c>
      <c r="Q604" s="2" t="s">
        <v>211</v>
      </c>
      <c r="R604" s="2" t="s">
        <v>212</v>
      </c>
      <c r="S604" s="2" t="s">
        <v>154</v>
      </c>
      <c r="T604" s="2" t="s">
        <v>213</v>
      </c>
    </row>
    <row r="605" spans="1:20" ht="120" x14ac:dyDescent="0.25">
      <c r="A605" s="2" t="s">
        <v>246</v>
      </c>
      <c r="B605" s="2" t="s">
        <v>247</v>
      </c>
      <c r="C605" s="2" t="s">
        <v>304</v>
      </c>
      <c r="D605" s="2">
        <v>10584</v>
      </c>
      <c r="E605" s="2">
        <v>521</v>
      </c>
      <c r="F605" s="2" t="s">
        <v>691</v>
      </c>
      <c r="G605" s="2" t="s">
        <v>339</v>
      </c>
      <c r="H605" s="2" t="s">
        <v>150</v>
      </c>
      <c r="I605" s="2" t="s">
        <v>123</v>
      </c>
      <c r="J605" s="2">
        <v>4</v>
      </c>
      <c r="K605" s="2" t="s">
        <v>151</v>
      </c>
      <c r="L605" s="2" t="s">
        <v>152</v>
      </c>
      <c r="M605" s="2" t="s">
        <v>153</v>
      </c>
      <c r="N605" s="2" t="str">
        <f>HYPERLINK("https://klocwork.dal.design.ti.com:443/review/insight-review.html#issuedetails_goto:problemid=10584,project=MCUSW_J7_KW_FULL,searchquery=taxonomy:'' build:RS-2022-10-06_06-07-58 grouping:off module:CddIpc","KW Issue Link")</f>
        <v>KW Issue Link</v>
      </c>
      <c r="O605" s="2"/>
      <c r="P605" s="2"/>
      <c r="Q605" s="2"/>
      <c r="R605" s="2"/>
      <c r="S605" s="2" t="s">
        <v>154</v>
      </c>
      <c r="T605" s="2"/>
    </row>
    <row r="606" spans="1:20" ht="120" x14ac:dyDescent="0.25">
      <c r="A606" s="2" t="s">
        <v>246</v>
      </c>
      <c r="B606" s="2" t="s">
        <v>247</v>
      </c>
      <c r="C606" s="2" t="s">
        <v>304</v>
      </c>
      <c r="D606" s="2">
        <v>10585</v>
      </c>
      <c r="E606" s="2">
        <v>614</v>
      </c>
      <c r="F606" s="2" t="s">
        <v>692</v>
      </c>
      <c r="G606" s="2" t="s">
        <v>388</v>
      </c>
      <c r="H606" s="2" t="s">
        <v>150</v>
      </c>
      <c r="I606" s="2" t="s">
        <v>123</v>
      </c>
      <c r="J606" s="2">
        <v>4</v>
      </c>
      <c r="K606" s="2" t="s">
        <v>151</v>
      </c>
      <c r="L606" s="2" t="s">
        <v>152</v>
      </c>
      <c r="M606" s="2" t="s">
        <v>153</v>
      </c>
      <c r="N606" s="2" t="str">
        <f>HYPERLINK("https://klocwork.dal.design.ti.com:443/review/insight-review.html#issuedetails_goto:problemid=10585,project=MCUSW_J7_KW_FULL,searchquery=taxonomy:'' build:RS-2022-10-06_06-07-58 grouping:off module:CddIpc","KW Issue Link")</f>
        <v>KW Issue Link</v>
      </c>
      <c r="O606" s="2"/>
      <c r="P606" s="2"/>
      <c r="Q606" s="2"/>
      <c r="R606" s="2"/>
      <c r="S606" s="2" t="s">
        <v>154</v>
      </c>
      <c r="T606" s="2"/>
    </row>
    <row r="607" spans="1:20" ht="120" x14ac:dyDescent="0.25">
      <c r="A607" s="2" t="s">
        <v>196</v>
      </c>
      <c r="B607" s="2" t="s">
        <v>197</v>
      </c>
      <c r="C607" s="2" t="s">
        <v>304</v>
      </c>
      <c r="D607" s="2">
        <v>10588</v>
      </c>
      <c r="E607" s="2">
        <v>329</v>
      </c>
      <c r="F607" s="2" t="s">
        <v>693</v>
      </c>
      <c r="G607" s="2" t="s">
        <v>325</v>
      </c>
      <c r="H607" s="2" t="s">
        <v>150</v>
      </c>
      <c r="I607" s="2" t="s">
        <v>123</v>
      </c>
      <c r="J607" s="2">
        <v>4</v>
      </c>
      <c r="K607" s="2" t="s">
        <v>151</v>
      </c>
      <c r="L607" s="2" t="s">
        <v>152</v>
      </c>
      <c r="M607" s="2" t="s">
        <v>153</v>
      </c>
      <c r="N607" s="2" t="str">
        <f>HYPERLINK("https://klocwork.dal.design.ti.com:443/review/insight-review.html#issuedetails_goto:problemid=10588,project=MCUSW_J7_KW_FULL,searchquery=taxonomy:'' build:RS-2022-10-06_06-07-58 grouping:off module:CddIpc","KW Issue Link")</f>
        <v>KW Issue Link</v>
      </c>
      <c r="O607" s="2"/>
      <c r="P607" s="2"/>
      <c r="Q607" s="2"/>
      <c r="R607" s="2"/>
      <c r="S607" s="2" t="s">
        <v>154</v>
      </c>
      <c r="T607" s="2"/>
    </row>
    <row r="608" spans="1:20" ht="120" x14ac:dyDescent="0.25">
      <c r="A608" s="2" t="s">
        <v>196</v>
      </c>
      <c r="B608" s="2" t="s">
        <v>197</v>
      </c>
      <c r="C608" s="2" t="s">
        <v>304</v>
      </c>
      <c r="D608" s="2">
        <v>10589</v>
      </c>
      <c r="E608" s="2">
        <v>366</v>
      </c>
      <c r="F608" s="2" t="s">
        <v>693</v>
      </c>
      <c r="G608" s="2" t="s">
        <v>325</v>
      </c>
      <c r="H608" s="2" t="s">
        <v>150</v>
      </c>
      <c r="I608" s="2" t="s">
        <v>123</v>
      </c>
      <c r="J608" s="2">
        <v>4</v>
      </c>
      <c r="K608" s="2" t="s">
        <v>151</v>
      </c>
      <c r="L608" s="2" t="s">
        <v>152</v>
      </c>
      <c r="M608" s="2" t="s">
        <v>153</v>
      </c>
      <c r="N608" s="2" t="str">
        <f>HYPERLINK("https://klocwork.dal.design.ti.com:443/review/insight-review.html#issuedetails_goto:problemid=10589,project=MCUSW_J7_KW_FULL,searchquery=taxonomy:'' build:RS-2022-10-06_06-07-58 grouping:off module:CddIpc","KW Issue Link")</f>
        <v>KW Issue Link</v>
      </c>
      <c r="O608" s="2"/>
      <c r="P608" s="2"/>
      <c r="Q608" s="2"/>
      <c r="R608" s="2"/>
      <c r="S608" s="2" t="s">
        <v>154</v>
      </c>
      <c r="T608" s="2"/>
    </row>
    <row r="609" spans="1:20" ht="120" x14ac:dyDescent="0.25">
      <c r="A609" s="2" t="s">
        <v>196</v>
      </c>
      <c r="B609" s="2" t="s">
        <v>197</v>
      </c>
      <c r="C609" s="2" t="s">
        <v>304</v>
      </c>
      <c r="D609" s="2">
        <v>10590</v>
      </c>
      <c r="E609" s="2">
        <v>398</v>
      </c>
      <c r="F609" s="2" t="s">
        <v>693</v>
      </c>
      <c r="G609" s="2" t="s">
        <v>325</v>
      </c>
      <c r="H609" s="2" t="s">
        <v>150</v>
      </c>
      <c r="I609" s="2" t="s">
        <v>123</v>
      </c>
      <c r="J609" s="2">
        <v>4</v>
      </c>
      <c r="K609" s="2" t="s">
        <v>151</v>
      </c>
      <c r="L609" s="2" t="s">
        <v>152</v>
      </c>
      <c r="M609" s="2" t="s">
        <v>153</v>
      </c>
      <c r="N609" s="2" t="str">
        <f>HYPERLINK("https://klocwork.dal.design.ti.com:443/review/insight-review.html#issuedetails_goto:problemid=10590,project=MCUSW_J7_KW_FULL,searchquery=taxonomy:'' build:RS-2022-10-06_06-07-58 grouping:off module:CddIpc","KW Issue Link")</f>
        <v>KW Issue Link</v>
      </c>
      <c r="O609" s="2"/>
      <c r="P609" s="2"/>
      <c r="Q609" s="2"/>
      <c r="R609" s="2"/>
      <c r="S609" s="2" t="s">
        <v>154</v>
      </c>
      <c r="T609" s="2"/>
    </row>
    <row r="610" spans="1:20" ht="120" x14ac:dyDescent="0.25">
      <c r="A610" s="2" t="s">
        <v>196</v>
      </c>
      <c r="B610" s="2" t="s">
        <v>197</v>
      </c>
      <c r="C610" s="2" t="s">
        <v>304</v>
      </c>
      <c r="D610" s="2">
        <v>10591</v>
      </c>
      <c r="E610" s="2">
        <v>520</v>
      </c>
      <c r="F610" s="2" t="s">
        <v>694</v>
      </c>
      <c r="G610" s="2" t="s">
        <v>339</v>
      </c>
      <c r="H610" s="2" t="s">
        <v>150</v>
      </c>
      <c r="I610" s="2" t="s">
        <v>123</v>
      </c>
      <c r="J610" s="2">
        <v>4</v>
      </c>
      <c r="K610" s="2" t="s">
        <v>151</v>
      </c>
      <c r="L610" s="2" t="s">
        <v>152</v>
      </c>
      <c r="M610" s="2" t="s">
        <v>153</v>
      </c>
      <c r="N610" s="2" t="str">
        <f>HYPERLINK("https://klocwork.dal.design.ti.com:443/review/insight-review.html#issuedetails_goto:problemid=10591,project=MCUSW_J7_KW_FULL,searchquery=taxonomy:'' build:RS-2022-10-06_06-07-58 grouping:off module:CddIpc","KW Issue Link")</f>
        <v>KW Issue Link</v>
      </c>
      <c r="O610" s="2"/>
      <c r="P610" s="2"/>
      <c r="Q610" s="2"/>
      <c r="R610" s="2"/>
      <c r="S610" s="2" t="s">
        <v>154</v>
      </c>
      <c r="T610" s="2"/>
    </row>
    <row r="611" spans="1:20" ht="120" x14ac:dyDescent="0.25">
      <c r="A611" s="2" t="s">
        <v>196</v>
      </c>
      <c r="B611" s="2" t="s">
        <v>197</v>
      </c>
      <c r="C611" s="2" t="s">
        <v>304</v>
      </c>
      <c r="D611" s="2">
        <v>10592</v>
      </c>
      <c r="E611" s="2">
        <v>539</v>
      </c>
      <c r="F611" s="2" t="s">
        <v>693</v>
      </c>
      <c r="G611" s="2" t="s">
        <v>339</v>
      </c>
      <c r="H611" s="2" t="s">
        <v>150</v>
      </c>
      <c r="I611" s="2" t="s">
        <v>123</v>
      </c>
      <c r="J611" s="2">
        <v>4</v>
      </c>
      <c r="K611" s="2" t="s">
        <v>151</v>
      </c>
      <c r="L611" s="2" t="s">
        <v>152</v>
      </c>
      <c r="M611" s="2" t="s">
        <v>153</v>
      </c>
      <c r="N611" s="2" t="str">
        <f>HYPERLINK("https://klocwork.dal.design.ti.com:443/review/insight-review.html#issuedetails_goto:problemid=10592,project=MCUSW_J7_KW_FULL,searchquery=taxonomy:'' build:RS-2022-10-06_06-07-58 grouping:off module:CddIpc","KW Issue Link")</f>
        <v>KW Issue Link</v>
      </c>
      <c r="O611" s="2"/>
      <c r="P611" s="2"/>
      <c r="Q611" s="2"/>
      <c r="R611" s="2"/>
      <c r="S611" s="2" t="s">
        <v>154</v>
      </c>
      <c r="T611" s="2"/>
    </row>
    <row r="612" spans="1:20" ht="120" x14ac:dyDescent="0.25">
      <c r="A612" s="2" t="s">
        <v>196</v>
      </c>
      <c r="B612" s="2" t="s">
        <v>197</v>
      </c>
      <c r="C612" s="2" t="s">
        <v>304</v>
      </c>
      <c r="D612" s="2">
        <v>10593</v>
      </c>
      <c r="E612" s="2">
        <v>552</v>
      </c>
      <c r="F612" s="2" t="s">
        <v>693</v>
      </c>
      <c r="G612" s="2" t="s">
        <v>339</v>
      </c>
      <c r="H612" s="2" t="s">
        <v>150</v>
      </c>
      <c r="I612" s="2" t="s">
        <v>123</v>
      </c>
      <c r="J612" s="2">
        <v>4</v>
      </c>
      <c r="K612" s="2" t="s">
        <v>151</v>
      </c>
      <c r="L612" s="2" t="s">
        <v>152</v>
      </c>
      <c r="M612" s="2" t="s">
        <v>153</v>
      </c>
      <c r="N612" s="2" t="str">
        <f>HYPERLINK("https://klocwork.dal.design.ti.com:443/review/insight-review.html#issuedetails_goto:problemid=10593,project=MCUSW_J7_KW_FULL,searchquery=taxonomy:'' build:RS-2022-10-06_06-07-58 grouping:off module:CddIpc","KW Issue Link")</f>
        <v>KW Issue Link</v>
      </c>
      <c r="O612" s="2"/>
      <c r="P612" s="2"/>
      <c r="Q612" s="2"/>
      <c r="R612" s="2"/>
      <c r="S612" s="2" t="s">
        <v>154</v>
      </c>
      <c r="T612" s="2"/>
    </row>
    <row r="613" spans="1:20" ht="120" x14ac:dyDescent="0.25">
      <c r="A613" s="2" t="s">
        <v>196</v>
      </c>
      <c r="B613" s="2" t="s">
        <v>197</v>
      </c>
      <c r="C613" s="2" t="s">
        <v>304</v>
      </c>
      <c r="D613" s="2">
        <v>10594</v>
      </c>
      <c r="E613" s="2">
        <v>604</v>
      </c>
      <c r="F613" s="2" t="s">
        <v>693</v>
      </c>
      <c r="G613" s="2" t="s">
        <v>388</v>
      </c>
      <c r="H613" s="2" t="s">
        <v>150</v>
      </c>
      <c r="I613" s="2" t="s">
        <v>123</v>
      </c>
      <c r="J613" s="2">
        <v>4</v>
      </c>
      <c r="K613" s="2" t="s">
        <v>151</v>
      </c>
      <c r="L613" s="2" t="s">
        <v>152</v>
      </c>
      <c r="M613" s="2" t="s">
        <v>153</v>
      </c>
      <c r="N613" s="2" t="str">
        <f>HYPERLINK("https://klocwork.dal.design.ti.com:443/review/insight-review.html#issuedetails_goto:problemid=10594,project=MCUSW_J7_KW_FULL,searchquery=taxonomy:'' build:RS-2022-10-06_06-07-58 grouping:off module:CddIpc","KW Issue Link")</f>
        <v>KW Issue Link</v>
      </c>
      <c r="O613" s="2"/>
      <c r="P613" s="2"/>
      <c r="Q613" s="2"/>
      <c r="R613" s="2"/>
      <c r="S613" s="2" t="s">
        <v>154</v>
      </c>
      <c r="T613" s="2"/>
    </row>
    <row r="614" spans="1:20" ht="120" x14ac:dyDescent="0.25">
      <c r="A614" s="2" t="s">
        <v>196</v>
      </c>
      <c r="B614" s="2" t="s">
        <v>197</v>
      </c>
      <c r="C614" s="2" t="s">
        <v>304</v>
      </c>
      <c r="D614" s="2">
        <v>10595</v>
      </c>
      <c r="E614" s="2">
        <v>613</v>
      </c>
      <c r="F614" s="2" t="s">
        <v>694</v>
      </c>
      <c r="G614" s="2" t="s">
        <v>388</v>
      </c>
      <c r="H614" s="2" t="s">
        <v>150</v>
      </c>
      <c r="I614" s="2" t="s">
        <v>123</v>
      </c>
      <c r="J614" s="2">
        <v>4</v>
      </c>
      <c r="K614" s="2" t="s">
        <v>151</v>
      </c>
      <c r="L614" s="2" t="s">
        <v>152</v>
      </c>
      <c r="M614" s="2" t="s">
        <v>153</v>
      </c>
      <c r="N614" s="2" t="str">
        <f>HYPERLINK("https://klocwork.dal.design.ti.com:443/review/insight-review.html#issuedetails_goto:problemid=10595,project=MCUSW_J7_KW_FULL,searchquery=taxonomy:'' build:RS-2022-10-06_06-07-58 grouping:off module:CddIpc","KW Issue Link")</f>
        <v>KW Issue Link</v>
      </c>
      <c r="O614" s="2"/>
      <c r="P614" s="2"/>
      <c r="Q614" s="2"/>
      <c r="R614" s="2"/>
      <c r="S614" s="2" t="s">
        <v>154</v>
      </c>
      <c r="T614" s="2"/>
    </row>
    <row r="615" spans="1:20" ht="120" x14ac:dyDescent="0.25">
      <c r="A615" s="2" t="s">
        <v>196</v>
      </c>
      <c r="B615" s="2" t="s">
        <v>197</v>
      </c>
      <c r="C615" s="2" t="s">
        <v>304</v>
      </c>
      <c r="D615" s="2">
        <v>10596</v>
      </c>
      <c r="E615" s="2">
        <v>678</v>
      </c>
      <c r="F615" s="2" t="s">
        <v>695</v>
      </c>
      <c r="G615" s="2" t="s">
        <v>329</v>
      </c>
      <c r="H615" s="2" t="s">
        <v>150</v>
      </c>
      <c r="I615" s="2" t="s">
        <v>123</v>
      </c>
      <c r="J615" s="2">
        <v>4</v>
      </c>
      <c r="K615" s="2" t="s">
        <v>151</v>
      </c>
      <c r="L615" s="2" t="s">
        <v>152</v>
      </c>
      <c r="M615" s="2" t="s">
        <v>153</v>
      </c>
      <c r="N615" s="2" t="str">
        <f>HYPERLINK("https://klocwork.dal.design.ti.com:443/review/insight-review.html#issuedetails_goto:problemid=10596,project=MCUSW_J7_KW_FULL,searchquery=taxonomy:'' build:RS-2022-10-06_06-07-58 grouping:off module:CddIpc","KW Issue Link")</f>
        <v>KW Issue Link</v>
      </c>
      <c r="O615" s="2"/>
      <c r="P615" s="2"/>
      <c r="Q615" s="2"/>
      <c r="R615" s="2"/>
      <c r="S615" s="2" t="s">
        <v>154</v>
      </c>
      <c r="T615" s="2"/>
    </row>
    <row r="616" spans="1:20" ht="120" x14ac:dyDescent="0.25">
      <c r="A616" s="2" t="s">
        <v>196</v>
      </c>
      <c r="B616" s="2" t="s">
        <v>197</v>
      </c>
      <c r="C616" s="2" t="s">
        <v>304</v>
      </c>
      <c r="D616" s="2">
        <v>10597</v>
      </c>
      <c r="E616" s="2">
        <v>975</v>
      </c>
      <c r="F616" s="2" t="s">
        <v>693</v>
      </c>
      <c r="G616" s="2" t="s">
        <v>332</v>
      </c>
      <c r="H616" s="2" t="s">
        <v>150</v>
      </c>
      <c r="I616" s="2" t="s">
        <v>123</v>
      </c>
      <c r="J616" s="2">
        <v>4</v>
      </c>
      <c r="K616" s="2" t="s">
        <v>151</v>
      </c>
      <c r="L616" s="2" t="s">
        <v>152</v>
      </c>
      <c r="M616" s="2" t="s">
        <v>153</v>
      </c>
      <c r="N616" s="2" t="str">
        <f>HYPERLINK("https://klocwork.dal.design.ti.com:443/review/insight-review.html#issuedetails_goto:problemid=10597,project=MCUSW_J7_KW_FULL,searchquery=taxonomy:'' build:RS-2022-10-06_06-07-58 grouping:off module:CddIpc","KW Issue Link")</f>
        <v>KW Issue Link</v>
      </c>
      <c r="O616" s="2"/>
      <c r="P616" s="2"/>
      <c r="Q616" s="2"/>
      <c r="R616" s="2"/>
      <c r="S616" s="2" t="s">
        <v>154</v>
      </c>
      <c r="T616" s="2"/>
    </row>
    <row r="617" spans="1:20" ht="120" x14ac:dyDescent="0.25">
      <c r="A617" s="2" t="s">
        <v>196</v>
      </c>
      <c r="B617" s="2" t="s">
        <v>197</v>
      </c>
      <c r="C617" s="2" t="s">
        <v>304</v>
      </c>
      <c r="D617" s="2">
        <v>10598</v>
      </c>
      <c r="E617" s="2">
        <v>1084</v>
      </c>
      <c r="F617" s="2" t="s">
        <v>693</v>
      </c>
      <c r="G617" s="2" t="s">
        <v>336</v>
      </c>
      <c r="H617" s="2" t="s">
        <v>150</v>
      </c>
      <c r="I617" s="2" t="s">
        <v>123</v>
      </c>
      <c r="J617" s="2">
        <v>4</v>
      </c>
      <c r="K617" s="2" t="s">
        <v>151</v>
      </c>
      <c r="L617" s="2" t="s">
        <v>152</v>
      </c>
      <c r="M617" s="2" t="s">
        <v>153</v>
      </c>
      <c r="N617" s="2" t="str">
        <f>HYPERLINK("https://klocwork.dal.design.ti.com:443/review/insight-review.html#issuedetails_goto:problemid=10598,project=MCUSW_J7_KW_FULL,searchquery=taxonomy:'' build:RS-2022-10-06_06-07-58 grouping:off module:CddIpc","KW Issue Link")</f>
        <v>KW Issue Link</v>
      </c>
      <c r="O617" s="2"/>
      <c r="P617" s="2"/>
      <c r="Q617" s="2"/>
      <c r="R617" s="2"/>
      <c r="S617" s="2" t="s">
        <v>154</v>
      </c>
      <c r="T617" s="2"/>
    </row>
    <row r="618" spans="1:20" ht="120" x14ac:dyDescent="0.25">
      <c r="A618" s="2" t="s">
        <v>196</v>
      </c>
      <c r="B618" s="2" t="s">
        <v>197</v>
      </c>
      <c r="C618" s="2" t="s">
        <v>304</v>
      </c>
      <c r="D618" s="2">
        <v>10599</v>
      </c>
      <c r="E618" s="2">
        <v>1111</v>
      </c>
      <c r="F618" s="2" t="s">
        <v>693</v>
      </c>
      <c r="G618" s="2" t="s">
        <v>336</v>
      </c>
      <c r="H618" s="2" t="s">
        <v>150</v>
      </c>
      <c r="I618" s="2" t="s">
        <v>123</v>
      </c>
      <c r="J618" s="2">
        <v>4</v>
      </c>
      <c r="K618" s="2" t="s">
        <v>151</v>
      </c>
      <c r="L618" s="2" t="s">
        <v>152</v>
      </c>
      <c r="M618" s="2" t="s">
        <v>153</v>
      </c>
      <c r="N618" s="2" t="str">
        <f>HYPERLINK("https://klocwork.dal.design.ti.com:443/review/insight-review.html#issuedetails_goto:problemid=10599,project=MCUSW_J7_KW_FULL,searchquery=taxonomy:'' build:RS-2022-10-06_06-07-58 grouping:off module:CddIpc","KW Issue Link")</f>
        <v>KW Issue Link</v>
      </c>
      <c r="O618" s="2"/>
      <c r="P618" s="2"/>
      <c r="Q618" s="2"/>
      <c r="R618" s="2"/>
      <c r="S618" s="2" t="s">
        <v>154</v>
      </c>
      <c r="T618" s="2"/>
    </row>
    <row r="619" spans="1:20" ht="120" x14ac:dyDescent="0.25">
      <c r="A619" s="2" t="s">
        <v>196</v>
      </c>
      <c r="B619" s="2" t="s">
        <v>197</v>
      </c>
      <c r="C619" s="2" t="s">
        <v>304</v>
      </c>
      <c r="D619" s="2">
        <v>10600</v>
      </c>
      <c r="E619" s="2">
        <v>1195</v>
      </c>
      <c r="F619" s="2" t="s">
        <v>693</v>
      </c>
      <c r="G619" s="2" t="s">
        <v>353</v>
      </c>
      <c r="H619" s="2" t="s">
        <v>150</v>
      </c>
      <c r="I619" s="2" t="s">
        <v>123</v>
      </c>
      <c r="J619" s="2">
        <v>4</v>
      </c>
      <c r="K619" s="2" t="s">
        <v>151</v>
      </c>
      <c r="L619" s="2" t="s">
        <v>152</v>
      </c>
      <c r="M619" s="2" t="s">
        <v>153</v>
      </c>
      <c r="N619" s="2" t="str">
        <f>HYPERLINK("https://klocwork.dal.design.ti.com:443/review/insight-review.html#issuedetails_goto:problemid=10600,project=MCUSW_J7_KW_FULL,searchquery=taxonomy:'' build:RS-2022-10-06_06-07-58 grouping:off module:CddIpc","KW Issue Link")</f>
        <v>KW Issue Link</v>
      </c>
      <c r="O619" s="2"/>
      <c r="P619" s="2"/>
      <c r="Q619" s="2"/>
      <c r="R619" s="2"/>
      <c r="S619" s="2" t="s">
        <v>154</v>
      </c>
      <c r="T619" s="2"/>
    </row>
    <row r="620" spans="1:20" ht="120" x14ac:dyDescent="0.25">
      <c r="A620" s="2" t="s">
        <v>196</v>
      </c>
      <c r="B620" s="2" t="s">
        <v>197</v>
      </c>
      <c r="C620" s="2" t="s">
        <v>304</v>
      </c>
      <c r="D620" s="2">
        <v>10601</v>
      </c>
      <c r="E620" s="2">
        <v>1304</v>
      </c>
      <c r="F620" s="2" t="s">
        <v>693</v>
      </c>
      <c r="G620" s="2" t="s">
        <v>341</v>
      </c>
      <c r="H620" s="2" t="s">
        <v>150</v>
      </c>
      <c r="I620" s="2" t="s">
        <v>123</v>
      </c>
      <c r="J620" s="2">
        <v>4</v>
      </c>
      <c r="K620" s="2" t="s">
        <v>151</v>
      </c>
      <c r="L620" s="2" t="s">
        <v>152</v>
      </c>
      <c r="M620" s="2" t="s">
        <v>153</v>
      </c>
      <c r="N620" s="2" t="str">
        <f>HYPERLINK("https://klocwork.dal.design.ti.com:443/review/insight-review.html#issuedetails_goto:problemid=10601,project=MCUSW_J7_KW_FULL,searchquery=taxonomy:'' build:RS-2022-10-06_06-07-58 grouping:off module:CddIpc","KW Issue Link")</f>
        <v>KW Issue Link</v>
      </c>
      <c r="O620" s="2"/>
      <c r="P620" s="2"/>
      <c r="Q620" s="2"/>
      <c r="R620" s="2"/>
      <c r="S620" s="2" t="s">
        <v>154</v>
      </c>
      <c r="T620" s="2"/>
    </row>
    <row r="621" spans="1:20" ht="120" x14ac:dyDescent="0.25">
      <c r="A621" s="2" t="s">
        <v>196</v>
      </c>
      <c r="B621" s="2" t="s">
        <v>197</v>
      </c>
      <c r="C621" s="2" t="s">
        <v>304</v>
      </c>
      <c r="D621" s="2">
        <v>10602</v>
      </c>
      <c r="E621" s="2">
        <v>1321</v>
      </c>
      <c r="F621" s="2" t="s">
        <v>693</v>
      </c>
      <c r="G621" s="2" t="s">
        <v>341</v>
      </c>
      <c r="H621" s="2" t="s">
        <v>150</v>
      </c>
      <c r="I621" s="2" t="s">
        <v>123</v>
      </c>
      <c r="J621" s="2">
        <v>4</v>
      </c>
      <c r="K621" s="2" t="s">
        <v>151</v>
      </c>
      <c r="L621" s="2" t="s">
        <v>152</v>
      </c>
      <c r="M621" s="2" t="s">
        <v>153</v>
      </c>
      <c r="N621" s="2" t="str">
        <f>HYPERLINK("https://klocwork.dal.design.ti.com:443/review/insight-review.html#issuedetails_goto:problemid=10602,project=MCUSW_J7_KW_FULL,searchquery=taxonomy:'' build:RS-2022-10-06_06-07-58 grouping:off module:CddIpc","KW Issue Link")</f>
        <v>KW Issue Link</v>
      </c>
      <c r="O621" s="2"/>
      <c r="P621" s="2"/>
      <c r="Q621" s="2"/>
      <c r="R621" s="2"/>
      <c r="S621" s="2" t="s">
        <v>154</v>
      </c>
      <c r="T621" s="2"/>
    </row>
    <row r="622" spans="1:20" ht="120" x14ac:dyDescent="0.25">
      <c r="A622" s="2" t="s">
        <v>196</v>
      </c>
      <c r="B622" s="2" t="s">
        <v>197</v>
      </c>
      <c r="C622" s="2" t="s">
        <v>304</v>
      </c>
      <c r="D622" s="2">
        <v>10603</v>
      </c>
      <c r="E622" s="2">
        <v>1326</v>
      </c>
      <c r="F622" s="2" t="s">
        <v>693</v>
      </c>
      <c r="G622" s="2" t="s">
        <v>341</v>
      </c>
      <c r="H622" s="2" t="s">
        <v>150</v>
      </c>
      <c r="I622" s="2" t="s">
        <v>123</v>
      </c>
      <c r="J622" s="2">
        <v>4</v>
      </c>
      <c r="K622" s="2" t="s">
        <v>151</v>
      </c>
      <c r="L622" s="2" t="s">
        <v>152</v>
      </c>
      <c r="M622" s="2" t="s">
        <v>153</v>
      </c>
      <c r="N622" s="2" t="str">
        <f>HYPERLINK("https://klocwork.dal.design.ti.com:443/review/insight-review.html#issuedetails_goto:problemid=10603,project=MCUSW_J7_KW_FULL,searchquery=taxonomy:'' build:RS-2022-10-06_06-07-58 grouping:off module:CddIpc","KW Issue Link")</f>
        <v>KW Issue Link</v>
      </c>
      <c r="O622" s="2"/>
      <c r="P622" s="2"/>
      <c r="Q622" s="2"/>
      <c r="R622" s="2"/>
      <c r="S622" s="2" t="s">
        <v>154</v>
      </c>
      <c r="T622" s="2"/>
    </row>
    <row r="623" spans="1:20" ht="120" x14ac:dyDescent="0.25">
      <c r="A623" s="2" t="s">
        <v>196</v>
      </c>
      <c r="B623" s="2" t="s">
        <v>197</v>
      </c>
      <c r="C623" s="2" t="s">
        <v>304</v>
      </c>
      <c r="D623" s="2">
        <v>10604</v>
      </c>
      <c r="E623" s="2">
        <v>1348</v>
      </c>
      <c r="F623" s="2" t="s">
        <v>693</v>
      </c>
      <c r="G623" s="2" t="s">
        <v>341</v>
      </c>
      <c r="H623" s="2" t="s">
        <v>150</v>
      </c>
      <c r="I623" s="2" t="s">
        <v>123</v>
      </c>
      <c r="J623" s="2">
        <v>4</v>
      </c>
      <c r="K623" s="2" t="s">
        <v>151</v>
      </c>
      <c r="L623" s="2" t="s">
        <v>152</v>
      </c>
      <c r="M623" s="2" t="s">
        <v>153</v>
      </c>
      <c r="N623" s="2" t="str">
        <f>HYPERLINK("https://klocwork.dal.design.ti.com:443/review/insight-review.html#issuedetails_goto:problemid=10604,project=MCUSW_J7_KW_FULL,searchquery=taxonomy:'' build:RS-2022-10-06_06-07-58 grouping:off module:CddIpc","KW Issue Link")</f>
        <v>KW Issue Link</v>
      </c>
      <c r="O623" s="2"/>
      <c r="P623" s="2"/>
      <c r="Q623" s="2"/>
      <c r="R623" s="2"/>
      <c r="S623" s="2" t="s">
        <v>154</v>
      </c>
      <c r="T623" s="2"/>
    </row>
    <row r="624" spans="1:20" ht="120" x14ac:dyDescent="0.25">
      <c r="A624" s="2" t="s">
        <v>196</v>
      </c>
      <c r="B624" s="2" t="s">
        <v>197</v>
      </c>
      <c r="C624" s="2" t="s">
        <v>304</v>
      </c>
      <c r="D624" s="2">
        <v>10605</v>
      </c>
      <c r="E624" s="2">
        <v>1380</v>
      </c>
      <c r="F624" s="2" t="s">
        <v>693</v>
      </c>
      <c r="G624" s="2" t="s">
        <v>397</v>
      </c>
      <c r="H624" s="2" t="s">
        <v>150</v>
      </c>
      <c r="I624" s="2" t="s">
        <v>123</v>
      </c>
      <c r="J624" s="2">
        <v>4</v>
      </c>
      <c r="K624" s="2" t="s">
        <v>151</v>
      </c>
      <c r="L624" s="2" t="s">
        <v>152</v>
      </c>
      <c r="M624" s="2" t="s">
        <v>153</v>
      </c>
      <c r="N624" s="2" t="str">
        <f>HYPERLINK("https://klocwork.dal.design.ti.com:443/review/insight-review.html#issuedetails_goto:problemid=10605,project=MCUSW_J7_KW_FULL,searchquery=taxonomy:'' build:RS-2022-10-06_06-07-58 grouping:off module:CddIpc","KW Issue Link")</f>
        <v>KW Issue Link</v>
      </c>
      <c r="O624" s="2"/>
      <c r="P624" s="2"/>
      <c r="Q624" s="2"/>
      <c r="R624" s="2"/>
      <c r="S624" s="2" t="s">
        <v>154</v>
      </c>
      <c r="T624" s="2"/>
    </row>
    <row r="625" spans="1:20" ht="120" x14ac:dyDescent="0.25">
      <c r="A625" s="2" t="s">
        <v>191</v>
      </c>
      <c r="B625" s="2" t="s">
        <v>192</v>
      </c>
      <c r="C625" s="2" t="s">
        <v>304</v>
      </c>
      <c r="D625" s="2">
        <v>10608</v>
      </c>
      <c r="E625" s="2">
        <v>818</v>
      </c>
      <c r="F625" s="2" t="s">
        <v>452</v>
      </c>
      <c r="G625" s="2" t="s">
        <v>330</v>
      </c>
      <c r="H625" s="2" t="s">
        <v>150</v>
      </c>
      <c r="I625" s="2" t="s">
        <v>123</v>
      </c>
      <c r="J625" s="2">
        <v>4</v>
      </c>
      <c r="K625" s="2" t="s">
        <v>151</v>
      </c>
      <c r="L625" s="2" t="s">
        <v>152</v>
      </c>
      <c r="M625" s="2" t="s">
        <v>153</v>
      </c>
      <c r="N625" s="2" t="str">
        <f>HYPERLINK("https://klocwork.dal.design.ti.com:443/review/insight-review.html#issuedetails_goto:problemid=10608,project=MCUSW_J7_KW_FULL,searchquery=taxonomy:'' build:RS-2022-10-06_06-07-58 grouping:off module:CddIpc","KW Issue Link")</f>
        <v>KW Issue Link</v>
      </c>
      <c r="O625" s="2"/>
      <c r="P625" s="2"/>
      <c r="Q625" s="2"/>
      <c r="R625" s="2"/>
      <c r="S625" s="2" t="s">
        <v>154</v>
      </c>
      <c r="T625" s="2"/>
    </row>
    <row r="626" spans="1:20" ht="120" x14ac:dyDescent="0.25">
      <c r="A626" s="2" t="s">
        <v>573</v>
      </c>
      <c r="B626" s="2" t="s">
        <v>574</v>
      </c>
      <c r="C626" s="2" t="s">
        <v>677</v>
      </c>
      <c r="D626" s="2">
        <v>10610</v>
      </c>
      <c r="E626" s="2">
        <v>93</v>
      </c>
      <c r="F626" s="2" t="s">
        <v>696</v>
      </c>
      <c r="G626" s="2" t="s">
        <v>678</v>
      </c>
      <c r="H626" s="2" t="s">
        <v>150</v>
      </c>
      <c r="I626" s="2" t="s">
        <v>88</v>
      </c>
      <c r="J626" s="2">
        <v>6</v>
      </c>
      <c r="K626" s="2" t="s">
        <v>151</v>
      </c>
      <c r="L626" s="2" t="s">
        <v>152</v>
      </c>
      <c r="M626" s="2" t="s">
        <v>158</v>
      </c>
      <c r="N626" s="2" t="str">
        <f>HYPERLINK("https://klocwork.dal.design.ti.com:443/review/insight-review.html#issuedetails_goto:problemid=10610,project=MCUSW_J7_KW_FULL,searchquery=taxonomy:'' build:RS-2022-10-06_06-07-58 grouping:off module:CddIpc","KW Issue Link")</f>
        <v>KW Issue Link</v>
      </c>
      <c r="O626" s="2" t="s">
        <v>576</v>
      </c>
      <c r="P626" s="2" t="s">
        <v>577</v>
      </c>
      <c r="Q626" s="2" t="s">
        <v>578</v>
      </c>
      <c r="R626" s="2" t="s">
        <v>579</v>
      </c>
      <c r="S626" s="2" t="s">
        <v>154</v>
      </c>
      <c r="T626" s="2"/>
    </row>
    <row r="627" spans="1:20" ht="120" x14ac:dyDescent="0.25">
      <c r="A627" s="2" t="s">
        <v>196</v>
      </c>
      <c r="B627" s="2" t="s">
        <v>197</v>
      </c>
      <c r="C627" s="2" t="s">
        <v>470</v>
      </c>
      <c r="D627" s="2">
        <v>10611</v>
      </c>
      <c r="E627" s="2">
        <v>296</v>
      </c>
      <c r="F627" s="2" t="s">
        <v>693</v>
      </c>
      <c r="G627" s="2" t="s">
        <v>476</v>
      </c>
      <c r="H627" s="2" t="s">
        <v>150</v>
      </c>
      <c r="I627" s="2" t="s">
        <v>123</v>
      </c>
      <c r="J627" s="2">
        <v>4</v>
      </c>
      <c r="K627" s="2" t="s">
        <v>151</v>
      </c>
      <c r="L627" s="2" t="s">
        <v>152</v>
      </c>
      <c r="M627" s="2" t="s">
        <v>153</v>
      </c>
      <c r="N627" s="2" t="str">
        <f>HYPERLINK("https://klocwork.dal.design.ti.com:443/review/insight-review.html#issuedetails_goto:problemid=10611,project=MCUSW_J7_KW_FULL,searchquery=taxonomy:'' build:RS-2022-10-06_06-07-58 grouping:off module:CddIpc","KW Issue Link")</f>
        <v>KW Issue Link</v>
      </c>
      <c r="O627" s="2"/>
      <c r="P627" s="2"/>
      <c r="Q627" s="2"/>
      <c r="R627" s="2"/>
      <c r="S627" s="2" t="s">
        <v>154</v>
      </c>
      <c r="T627" s="2"/>
    </row>
    <row r="628" spans="1:20" ht="120" x14ac:dyDescent="0.25">
      <c r="A628" s="2" t="s">
        <v>179</v>
      </c>
      <c r="B628" s="2" t="s">
        <v>180</v>
      </c>
      <c r="C628" s="2" t="s">
        <v>508</v>
      </c>
      <c r="D628" s="2">
        <v>10612</v>
      </c>
      <c r="E628" s="2">
        <v>71</v>
      </c>
      <c r="F628" s="2" t="s">
        <v>697</v>
      </c>
      <c r="G628" s="2" t="s">
        <v>510</v>
      </c>
      <c r="H628" s="2" t="s">
        <v>150</v>
      </c>
      <c r="I628" s="2" t="s">
        <v>124</v>
      </c>
      <c r="J628" s="2">
        <v>8</v>
      </c>
      <c r="K628" s="2" t="s">
        <v>151</v>
      </c>
      <c r="L628" s="2" t="s">
        <v>152</v>
      </c>
      <c r="M628" s="2" t="s">
        <v>182</v>
      </c>
      <c r="N628" s="2" t="str">
        <f>HYPERLINK("https://klocwork.dal.design.ti.com:443/review/insight-review.html#issuedetails_goto:problemid=10612,project=MCUSW_J7_KW_FULL,searchquery=taxonomy:'' build:RS-2022-10-06_06-07-58 grouping:off module:CddIpc","KW Issue Link")</f>
        <v>KW Issue Link</v>
      </c>
      <c r="O628" s="2"/>
      <c r="P628" s="2"/>
      <c r="Q628" s="2"/>
      <c r="R628" s="2"/>
      <c r="S628" s="2" t="s">
        <v>154</v>
      </c>
      <c r="T628" s="2"/>
    </row>
    <row r="629" spans="1:20" ht="120" x14ac:dyDescent="0.25">
      <c r="A629" s="2" t="s">
        <v>206</v>
      </c>
      <c r="B629" s="2" t="s">
        <v>207</v>
      </c>
      <c r="C629" s="2" t="s">
        <v>508</v>
      </c>
      <c r="D629" s="2">
        <v>10615</v>
      </c>
      <c r="E629" s="2">
        <v>95</v>
      </c>
      <c r="F629" s="2" t="s">
        <v>690</v>
      </c>
      <c r="G629" s="2" t="s">
        <v>510</v>
      </c>
      <c r="H629" s="2" t="s">
        <v>150</v>
      </c>
      <c r="I629" s="2" t="s">
        <v>88</v>
      </c>
      <c r="J629" s="2">
        <v>6</v>
      </c>
      <c r="K629" s="2" t="s">
        <v>151</v>
      </c>
      <c r="L629" s="2" t="s">
        <v>152</v>
      </c>
      <c r="M629" s="2" t="s">
        <v>158</v>
      </c>
      <c r="N629" s="2" t="str">
        <f>HYPERLINK("https://klocwork.dal.design.ti.com:443/review/insight-review.html#issuedetails_goto:problemid=10615,project=MCUSW_J7_KW_FULL,searchquery=taxonomy:'' build:RS-2022-10-06_06-07-58 grouping:off module:CddIpc","KW Issue Link")</f>
        <v>KW Issue Link</v>
      </c>
      <c r="O629" s="2" t="s">
        <v>209</v>
      </c>
      <c r="P629" s="2" t="s">
        <v>210</v>
      </c>
      <c r="Q629" s="2" t="s">
        <v>211</v>
      </c>
      <c r="R629" s="2" t="s">
        <v>212</v>
      </c>
      <c r="S629" s="2" t="s">
        <v>154</v>
      </c>
      <c r="T629" s="2" t="s">
        <v>213</v>
      </c>
    </row>
    <row r="630" spans="1:20" ht="120" x14ac:dyDescent="0.25">
      <c r="A630" s="2" t="s">
        <v>206</v>
      </c>
      <c r="B630" s="2" t="s">
        <v>207</v>
      </c>
      <c r="C630" s="2" t="s">
        <v>508</v>
      </c>
      <c r="D630" s="2">
        <v>10616</v>
      </c>
      <c r="E630" s="2">
        <v>106</v>
      </c>
      <c r="F630" s="2" t="s">
        <v>690</v>
      </c>
      <c r="G630" s="2" t="s">
        <v>510</v>
      </c>
      <c r="H630" s="2" t="s">
        <v>150</v>
      </c>
      <c r="I630" s="2" t="s">
        <v>88</v>
      </c>
      <c r="J630" s="2">
        <v>6</v>
      </c>
      <c r="K630" s="2" t="s">
        <v>151</v>
      </c>
      <c r="L630" s="2" t="s">
        <v>152</v>
      </c>
      <c r="M630" s="2" t="s">
        <v>158</v>
      </c>
      <c r="N630" s="2" t="str">
        <f>HYPERLINK("https://klocwork.dal.design.ti.com:443/review/insight-review.html#issuedetails_goto:problemid=10616,project=MCUSW_J7_KW_FULL,searchquery=taxonomy:'' build:RS-2022-10-06_06-07-58 grouping:off module:CddIpc","KW Issue Link")</f>
        <v>KW Issue Link</v>
      </c>
      <c r="O630" s="2" t="s">
        <v>209</v>
      </c>
      <c r="P630" s="2" t="s">
        <v>210</v>
      </c>
      <c r="Q630" s="2" t="s">
        <v>211</v>
      </c>
      <c r="R630" s="2" t="s">
        <v>212</v>
      </c>
      <c r="S630" s="2" t="s">
        <v>154</v>
      </c>
      <c r="T630" s="2" t="s">
        <v>213</v>
      </c>
    </row>
    <row r="631" spans="1:20" ht="120" x14ac:dyDescent="0.25">
      <c r="A631" s="2" t="s">
        <v>196</v>
      </c>
      <c r="B631" s="2" t="s">
        <v>197</v>
      </c>
      <c r="C631" s="2" t="s">
        <v>508</v>
      </c>
      <c r="D631" s="2">
        <v>10626</v>
      </c>
      <c r="E631" s="2">
        <v>89</v>
      </c>
      <c r="F631" s="2" t="s">
        <v>694</v>
      </c>
      <c r="G631" s="2" t="s">
        <v>510</v>
      </c>
      <c r="H631" s="2" t="s">
        <v>150</v>
      </c>
      <c r="I631" s="2" t="s">
        <v>123</v>
      </c>
      <c r="J631" s="2">
        <v>4</v>
      </c>
      <c r="K631" s="2" t="s">
        <v>151</v>
      </c>
      <c r="L631" s="2" t="s">
        <v>152</v>
      </c>
      <c r="M631" s="2" t="s">
        <v>153</v>
      </c>
      <c r="N631" s="2" t="str">
        <f>HYPERLINK("https://klocwork.dal.design.ti.com:443/review/insight-review.html#issuedetails_goto:problemid=10626,project=MCUSW_J7_KW_FULL,searchquery=taxonomy:'' build:RS-2022-10-06_06-07-58 grouping:off module:CddIpc","KW Issue Link")</f>
        <v>KW Issue Link</v>
      </c>
      <c r="O631" s="2"/>
      <c r="P631" s="2"/>
      <c r="Q631" s="2"/>
      <c r="R631" s="2"/>
      <c r="S631" s="2" t="s">
        <v>154</v>
      </c>
      <c r="T631" s="2"/>
    </row>
    <row r="632" spans="1:20" ht="120" x14ac:dyDescent="0.25">
      <c r="A632" s="2" t="s">
        <v>196</v>
      </c>
      <c r="B632" s="2" t="s">
        <v>197</v>
      </c>
      <c r="C632" s="2" t="s">
        <v>508</v>
      </c>
      <c r="D632" s="2">
        <v>10627</v>
      </c>
      <c r="E632" s="2">
        <v>105</v>
      </c>
      <c r="F632" s="2" t="s">
        <v>694</v>
      </c>
      <c r="G632" s="2" t="s">
        <v>510</v>
      </c>
      <c r="H632" s="2" t="s">
        <v>150</v>
      </c>
      <c r="I632" s="2" t="s">
        <v>123</v>
      </c>
      <c r="J632" s="2">
        <v>4</v>
      </c>
      <c r="K632" s="2" t="s">
        <v>151</v>
      </c>
      <c r="L632" s="2" t="s">
        <v>152</v>
      </c>
      <c r="M632" s="2" t="s">
        <v>153</v>
      </c>
      <c r="N632" s="2" t="str">
        <f>HYPERLINK("https://klocwork.dal.design.ti.com:443/review/insight-review.html#issuedetails_goto:problemid=10627,project=MCUSW_J7_KW_FULL,searchquery=taxonomy:'' build:RS-2022-10-06_06-07-58 grouping:off module:CddIpc","KW Issue Link")</f>
        <v>KW Issue Link</v>
      </c>
      <c r="O632" s="2"/>
      <c r="P632" s="2"/>
      <c r="Q632" s="2"/>
      <c r="R632" s="2"/>
      <c r="S632" s="2" t="s">
        <v>154</v>
      </c>
      <c r="T632" s="2"/>
    </row>
    <row r="633" spans="1:20" ht="120" x14ac:dyDescent="0.25">
      <c r="A633" s="2" t="s">
        <v>196</v>
      </c>
      <c r="B633" s="2" t="s">
        <v>197</v>
      </c>
      <c r="C633" s="2" t="s">
        <v>508</v>
      </c>
      <c r="D633" s="2">
        <v>10628</v>
      </c>
      <c r="E633" s="2">
        <v>134</v>
      </c>
      <c r="F633" s="2" t="s">
        <v>695</v>
      </c>
      <c r="G633" s="2" t="s">
        <v>513</v>
      </c>
      <c r="H633" s="2" t="s">
        <v>150</v>
      </c>
      <c r="I633" s="2" t="s">
        <v>123</v>
      </c>
      <c r="J633" s="2">
        <v>4</v>
      </c>
      <c r="K633" s="2" t="s">
        <v>151</v>
      </c>
      <c r="L633" s="2" t="s">
        <v>152</v>
      </c>
      <c r="M633" s="2" t="s">
        <v>153</v>
      </c>
      <c r="N633" s="2" t="str">
        <f>HYPERLINK("https://klocwork.dal.design.ti.com:443/review/insight-review.html#issuedetails_goto:problemid=10628,project=MCUSW_J7_KW_FULL,searchquery=taxonomy:'' build:RS-2022-10-06_06-07-58 grouping:off module:CddIpc","KW Issue Link")</f>
        <v>KW Issue Link</v>
      </c>
      <c r="O633" s="2"/>
      <c r="P633" s="2"/>
      <c r="Q633" s="2"/>
      <c r="R633" s="2"/>
      <c r="S633" s="2" t="s">
        <v>154</v>
      </c>
      <c r="T633" s="2"/>
    </row>
    <row r="634" spans="1:20" ht="120" x14ac:dyDescent="0.25">
      <c r="A634" s="2" t="s">
        <v>246</v>
      </c>
      <c r="B634" s="2" t="s">
        <v>247</v>
      </c>
      <c r="C634" s="2" t="s">
        <v>508</v>
      </c>
      <c r="D634" s="2">
        <v>10629</v>
      </c>
      <c r="E634" s="2">
        <v>95</v>
      </c>
      <c r="F634" s="2" t="s">
        <v>698</v>
      </c>
      <c r="G634" s="2" t="s">
        <v>510</v>
      </c>
      <c r="H634" s="2" t="s">
        <v>150</v>
      </c>
      <c r="I634" s="2" t="s">
        <v>123</v>
      </c>
      <c r="J634" s="2">
        <v>4</v>
      </c>
      <c r="K634" s="2" t="s">
        <v>151</v>
      </c>
      <c r="L634" s="2" t="s">
        <v>152</v>
      </c>
      <c r="M634" s="2" t="s">
        <v>153</v>
      </c>
      <c r="N634" s="2" t="str">
        <f>HYPERLINK("https://klocwork.dal.design.ti.com:443/review/insight-review.html#issuedetails_goto:problemid=10629,project=MCUSW_J7_KW_FULL,searchquery=taxonomy:'' build:RS-2022-10-06_06-07-58 grouping:off module:CddIpc","KW Issue Link")</f>
        <v>KW Issue Link</v>
      </c>
      <c r="O634" s="2"/>
      <c r="P634" s="2"/>
      <c r="Q634" s="2"/>
      <c r="R634" s="2"/>
      <c r="S634" s="2" t="s">
        <v>154</v>
      </c>
      <c r="T634" s="2"/>
    </row>
    <row r="635" spans="1:20" ht="120" x14ac:dyDescent="0.25">
      <c r="A635" s="2" t="s">
        <v>246</v>
      </c>
      <c r="B635" s="2" t="s">
        <v>247</v>
      </c>
      <c r="C635" s="2" t="s">
        <v>508</v>
      </c>
      <c r="D635" s="2">
        <v>10630</v>
      </c>
      <c r="E635" s="2">
        <v>106</v>
      </c>
      <c r="F635" s="2" t="s">
        <v>699</v>
      </c>
      <c r="G635" s="2" t="s">
        <v>510</v>
      </c>
      <c r="H635" s="2" t="s">
        <v>150</v>
      </c>
      <c r="I635" s="2" t="s">
        <v>123</v>
      </c>
      <c r="J635" s="2">
        <v>4</v>
      </c>
      <c r="K635" s="2" t="s">
        <v>151</v>
      </c>
      <c r="L635" s="2" t="s">
        <v>152</v>
      </c>
      <c r="M635" s="2" t="s">
        <v>153</v>
      </c>
      <c r="N635" s="2" t="str">
        <f>HYPERLINK("https://klocwork.dal.design.ti.com:443/review/insight-review.html#issuedetails_goto:problemid=10630,project=MCUSW_J7_KW_FULL,searchquery=taxonomy:'' build:RS-2022-10-06_06-07-58 grouping:off module:CddIpc","KW Issue Link")</f>
        <v>KW Issue Link</v>
      </c>
      <c r="O635" s="2"/>
      <c r="P635" s="2"/>
      <c r="Q635" s="2"/>
      <c r="R635" s="2"/>
      <c r="S635" s="2" t="s">
        <v>154</v>
      </c>
      <c r="T635" s="2"/>
    </row>
    <row r="636" spans="1:20" ht="120" x14ac:dyDescent="0.25">
      <c r="A636" s="2" t="s">
        <v>573</v>
      </c>
      <c r="B636" s="2" t="s">
        <v>574</v>
      </c>
      <c r="C636" s="2" t="s">
        <v>700</v>
      </c>
      <c r="D636" s="2">
        <v>10632</v>
      </c>
      <c r="E636" s="2">
        <v>69</v>
      </c>
      <c r="F636" s="2" t="s">
        <v>696</v>
      </c>
      <c r="G636" s="2" t="s">
        <v>701</v>
      </c>
      <c r="H636" s="2" t="s">
        <v>150</v>
      </c>
      <c r="I636" s="2" t="s">
        <v>88</v>
      </c>
      <c r="J636" s="2">
        <v>6</v>
      </c>
      <c r="K636" s="2" t="s">
        <v>151</v>
      </c>
      <c r="L636" s="2" t="s">
        <v>152</v>
      </c>
      <c r="M636" s="2" t="s">
        <v>158</v>
      </c>
      <c r="N636" s="2" t="str">
        <f>HYPERLINK("https://klocwork.dal.design.ti.com:443/review/insight-review.html#issuedetails_goto:problemid=10632,project=MCUSW_J7_KW_FULL,searchquery=taxonomy:'' build:RS-2022-10-06_06-07-58 grouping:off module:CddIpc","KW Issue Link")</f>
        <v>KW Issue Link</v>
      </c>
      <c r="O636" s="2" t="s">
        <v>576</v>
      </c>
      <c r="P636" s="2" t="s">
        <v>577</v>
      </c>
      <c r="Q636" s="2" t="s">
        <v>578</v>
      </c>
      <c r="R636" s="2" t="s">
        <v>579</v>
      </c>
      <c r="S636" s="2" t="s">
        <v>154</v>
      </c>
      <c r="T636" s="2"/>
    </row>
    <row r="637" spans="1:20" ht="120" x14ac:dyDescent="0.25">
      <c r="A637" s="2" t="s">
        <v>573</v>
      </c>
      <c r="B637" s="2" t="s">
        <v>574</v>
      </c>
      <c r="C637" s="2" t="s">
        <v>506</v>
      </c>
      <c r="D637" s="2">
        <v>10636</v>
      </c>
      <c r="E637" s="2">
        <v>48</v>
      </c>
      <c r="F637" s="2" t="s">
        <v>696</v>
      </c>
      <c r="G637" s="2" t="s">
        <v>507</v>
      </c>
      <c r="H637" s="2" t="s">
        <v>150</v>
      </c>
      <c r="I637" s="2" t="s">
        <v>88</v>
      </c>
      <c r="J637" s="2">
        <v>6</v>
      </c>
      <c r="K637" s="2" t="s">
        <v>151</v>
      </c>
      <c r="L637" s="2" t="s">
        <v>152</v>
      </c>
      <c r="M637" s="2" t="s">
        <v>158</v>
      </c>
      <c r="N637" s="2" t="str">
        <f>HYPERLINK("https://klocwork.dal.design.ti.com:443/review/insight-review.html#issuedetails_goto:problemid=10636,project=MCUSW_J7_KW_FULL,searchquery=taxonomy:'' build:RS-2022-10-06_06-07-58 grouping:off module:CddIpc","KW Issue Link")</f>
        <v>KW Issue Link</v>
      </c>
      <c r="O637" s="2" t="s">
        <v>576</v>
      </c>
      <c r="P637" s="2" t="s">
        <v>577</v>
      </c>
      <c r="Q637" s="2" t="s">
        <v>578</v>
      </c>
      <c r="R637" s="2" t="s">
        <v>579</v>
      </c>
      <c r="S637" s="2" t="s">
        <v>154</v>
      </c>
      <c r="T637" s="2"/>
    </row>
    <row r="638" spans="1:20" ht="120" x14ac:dyDescent="0.25">
      <c r="A638" s="2" t="s">
        <v>573</v>
      </c>
      <c r="B638" s="2" t="s">
        <v>574</v>
      </c>
      <c r="C638" s="2" t="s">
        <v>702</v>
      </c>
      <c r="D638" s="2">
        <v>10637</v>
      </c>
      <c r="E638" s="2">
        <v>109</v>
      </c>
      <c r="F638" s="2" t="s">
        <v>696</v>
      </c>
      <c r="G638" s="2" t="s">
        <v>703</v>
      </c>
      <c r="H638" s="2" t="s">
        <v>150</v>
      </c>
      <c r="I638" s="2" t="s">
        <v>88</v>
      </c>
      <c r="J638" s="2">
        <v>6</v>
      </c>
      <c r="K638" s="2" t="s">
        <v>151</v>
      </c>
      <c r="L638" s="2" t="s">
        <v>152</v>
      </c>
      <c r="M638" s="2" t="s">
        <v>158</v>
      </c>
      <c r="N638" s="2" t="str">
        <f>HYPERLINK("https://klocwork.dal.design.ti.com:443/review/insight-review.html#issuedetails_goto:problemid=10637,project=MCUSW_J7_KW_FULL,searchquery=taxonomy:'' build:RS-2022-10-06_06-07-58 grouping:off module:CddIpc","KW Issue Link")</f>
        <v>KW Issue Link</v>
      </c>
      <c r="O638" s="2" t="s">
        <v>576</v>
      </c>
      <c r="P638" s="2" t="s">
        <v>577</v>
      </c>
      <c r="Q638" s="2" t="s">
        <v>578</v>
      </c>
      <c r="R638" s="2" t="s">
        <v>579</v>
      </c>
      <c r="S638" s="2" t="s">
        <v>154</v>
      </c>
      <c r="T638" s="2"/>
    </row>
    <row r="639" spans="1:20" ht="120" x14ac:dyDescent="0.25">
      <c r="A639" s="2" t="s">
        <v>191</v>
      </c>
      <c r="B639" s="2" t="s">
        <v>192</v>
      </c>
      <c r="C639" s="2" t="s">
        <v>526</v>
      </c>
      <c r="D639" s="2">
        <v>10639</v>
      </c>
      <c r="E639" s="2">
        <v>269</v>
      </c>
      <c r="F639" s="2" t="s">
        <v>452</v>
      </c>
      <c r="G639" s="2" t="s">
        <v>540</v>
      </c>
      <c r="H639" s="2" t="s">
        <v>150</v>
      </c>
      <c r="I639" s="2" t="s">
        <v>123</v>
      </c>
      <c r="J639" s="2">
        <v>4</v>
      </c>
      <c r="K639" s="2" t="s">
        <v>151</v>
      </c>
      <c r="L639" s="2" t="s">
        <v>152</v>
      </c>
      <c r="M639" s="2" t="s">
        <v>153</v>
      </c>
      <c r="N639" s="2" t="str">
        <f>HYPERLINK("https://klocwork.dal.design.ti.com:443/review/insight-review.html#issuedetails_goto:problemid=10639,project=MCUSW_J7_KW_FULL,searchquery=taxonomy:'' build:RS-2022-10-06_06-07-58 grouping:off module:CddIpc","KW Issue Link")</f>
        <v>KW Issue Link</v>
      </c>
      <c r="O639" s="2"/>
      <c r="P639" s="2"/>
      <c r="Q639" s="2"/>
      <c r="R639" s="2"/>
      <c r="S639" s="2" t="s">
        <v>154</v>
      </c>
      <c r="T639" s="2"/>
    </row>
    <row r="640" spans="1:20" ht="120" x14ac:dyDescent="0.25">
      <c r="A640" s="2" t="s">
        <v>345</v>
      </c>
      <c r="B640" s="2" t="s">
        <v>704</v>
      </c>
      <c r="C640" s="2" t="s">
        <v>570</v>
      </c>
      <c r="D640" s="2">
        <v>10640</v>
      </c>
      <c r="E640" s="2">
        <v>570</v>
      </c>
      <c r="F640" s="2" t="s">
        <v>705</v>
      </c>
      <c r="G640" s="2" t="s">
        <v>670</v>
      </c>
      <c r="H640" s="2" t="s">
        <v>150</v>
      </c>
      <c r="I640" s="2" t="s">
        <v>123</v>
      </c>
      <c r="J640" s="2">
        <v>4</v>
      </c>
      <c r="K640" s="2" t="s">
        <v>151</v>
      </c>
      <c r="L640" s="2" t="s">
        <v>152</v>
      </c>
      <c r="M640" s="2" t="s">
        <v>153</v>
      </c>
      <c r="N640" s="2" t="str">
        <f>HYPERLINK("https://klocwork.dal.design.ti.com:443/review/insight-review.html#issuedetails_goto:problemid=10640,project=MCUSW_J7_KW_FULL,searchquery=taxonomy:'' build:RS-2022-10-06_06-07-58 grouping:off module:CddIpc","KW Issue Link")</f>
        <v>KW Issue Link</v>
      </c>
      <c r="O640" s="2"/>
      <c r="P640" s="2"/>
      <c r="Q640" s="2"/>
      <c r="R640" s="2"/>
      <c r="S640" s="2" t="s">
        <v>154</v>
      </c>
      <c r="T640" s="2"/>
    </row>
    <row r="641" spans="1:20" ht="120" x14ac:dyDescent="0.25">
      <c r="A641" s="2" t="s">
        <v>196</v>
      </c>
      <c r="B641" s="2" t="s">
        <v>197</v>
      </c>
      <c r="C641" s="2" t="s">
        <v>570</v>
      </c>
      <c r="D641" s="2">
        <v>10641</v>
      </c>
      <c r="E641" s="2">
        <v>352</v>
      </c>
      <c r="F641" s="2" t="s">
        <v>693</v>
      </c>
      <c r="G641" s="2" t="s">
        <v>610</v>
      </c>
      <c r="H641" s="2" t="s">
        <v>150</v>
      </c>
      <c r="I641" s="2" t="s">
        <v>123</v>
      </c>
      <c r="J641" s="2">
        <v>4</v>
      </c>
      <c r="K641" s="2" t="s">
        <v>151</v>
      </c>
      <c r="L641" s="2" t="s">
        <v>152</v>
      </c>
      <c r="M641" s="2" t="s">
        <v>153</v>
      </c>
      <c r="N641" s="2" t="str">
        <f>HYPERLINK("https://klocwork.dal.design.ti.com:443/review/insight-review.html#issuedetails_goto:problemid=10641,project=MCUSW_J7_KW_FULL,searchquery=taxonomy:'' build:RS-2022-10-06_06-07-58 grouping:off module:CddIpc","KW Issue Link")</f>
        <v>KW Issue Link</v>
      </c>
      <c r="O641" s="2"/>
      <c r="P641" s="2"/>
      <c r="Q641" s="2"/>
      <c r="R641" s="2"/>
      <c r="S641" s="2" t="s">
        <v>154</v>
      </c>
      <c r="T641" s="2"/>
    </row>
    <row r="642" spans="1:20" ht="120" x14ac:dyDescent="0.25">
      <c r="A642" s="2" t="s">
        <v>196</v>
      </c>
      <c r="B642" s="2" t="s">
        <v>197</v>
      </c>
      <c r="C642" s="2" t="s">
        <v>570</v>
      </c>
      <c r="D642" s="2">
        <v>10642</v>
      </c>
      <c r="E642" s="2">
        <v>432</v>
      </c>
      <c r="F642" s="2" t="s">
        <v>693</v>
      </c>
      <c r="G642" s="2" t="s">
        <v>642</v>
      </c>
      <c r="H642" s="2" t="s">
        <v>150</v>
      </c>
      <c r="I642" s="2" t="s">
        <v>123</v>
      </c>
      <c r="J642" s="2">
        <v>4</v>
      </c>
      <c r="K642" s="2" t="s">
        <v>151</v>
      </c>
      <c r="L642" s="2" t="s">
        <v>152</v>
      </c>
      <c r="M642" s="2" t="s">
        <v>153</v>
      </c>
      <c r="N642" s="2" t="str">
        <f>HYPERLINK("https://klocwork.dal.design.ti.com:443/review/insight-review.html#issuedetails_goto:problemid=10642,project=MCUSW_J7_KW_FULL,searchquery=taxonomy:'' build:RS-2022-10-06_06-07-58 grouping:off module:CddIpc","KW Issue Link")</f>
        <v>KW Issue Link</v>
      </c>
      <c r="O642" s="2"/>
      <c r="P642" s="2"/>
      <c r="Q642" s="2"/>
      <c r="R642" s="2"/>
      <c r="S642" s="2" t="s">
        <v>154</v>
      </c>
      <c r="T642" s="2"/>
    </row>
    <row r="643" spans="1:20" ht="120" x14ac:dyDescent="0.25">
      <c r="A643" s="2" t="s">
        <v>196</v>
      </c>
      <c r="B643" s="2" t="s">
        <v>197</v>
      </c>
      <c r="C643" s="2" t="s">
        <v>570</v>
      </c>
      <c r="D643" s="2">
        <v>10643</v>
      </c>
      <c r="E643" s="2">
        <v>624</v>
      </c>
      <c r="F643" s="2" t="s">
        <v>693</v>
      </c>
      <c r="G643" s="2" t="s">
        <v>604</v>
      </c>
      <c r="H643" s="2" t="s">
        <v>150</v>
      </c>
      <c r="I643" s="2" t="s">
        <v>123</v>
      </c>
      <c r="J643" s="2">
        <v>4</v>
      </c>
      <c r="K643" s="2" t="s">
        <v>151</v>
      </c>
      <c r="L643" s="2" t="s">
        <v>152</v>
      </c>
      <c r="M643" s="2" t="s">
        <v>153</v>
      </c>
      <c r="N643" s="2" t="str">
        <f>HYPERLINK("https://klocwork.dal.design.ti.com:443/review/insight-review.html#issuedetails_goto:problemid=10643,project=MCUSW_J7_KW_FULL,searchquery=taxonomy:'' build:RS-2022-10-06_06-07-58 grouping:off module:CddIpc","KW Issue Link")</f>
        <v>KW Issue Link</v>
      </c>
      <c r="O643" s="2"/>
      <c r="P643" s="2"/>
      <c r="Q643" s="2"/>
      <c r="R643" s="2"/>
      <c r="S643" s="2" t="s">
        <v>154</v>
      </c>
      <c r="T643" s="2"/>
    </row>
    <row r="644" spans="1:20" ht="120" x14ac:dyDescent="0.25">
      <c r="A644" s="2" t="s">
        <v>196</v>
      </c>
      <c r="B644" s="2" t="s">
        <v>197</v>
      </c>
      <c r="C644" s="2" t="s">
        <v>570</v>
      </c>
      <c r="D644" s="2">
        <v>10644</v>
      </c>
      <c r="E644" s="2">
        <v>751</v>
      </c>
      <c r="F644" s="2" t="s">
        <v>693</v>
      </c>
      <c r="G644" s="2" t="s">
        <v>615</v>
      </c>
      <c r="H644" s="2" t="s">
        <v>150</v>
      </c>
      <c r="I644" s="2" t="s">
        <v>123</v>
      </c>
      <c r="J644" s="2">
        <v>4</v>
      </c>
      <c r="K644" s="2" t="s">
        <v>151</v>
      </c>
      <c r="L644" s="2" t="s">
        <v>152</v>
      </c>
      <c r="M644" s="2" t="s">
        <v>153</v>
      </c>
      <c r="N644" s="2" t="str">
        <f>HYPERLINK("https://klocwork.dal.design.ti.com:443/review/insight-review.html#issuedetails_goto:problemid=10644,project=MCUSW_J7_KW_FULL,searchquery=taxonomy:'' build:RS-2022-10-06_06-07-58 grouping:off module:CddIpc","KW Issue Link")</f>
        <v>KW Issue Link</v>
      </c>
      <c r="O644" s="2"/>
      <c r="P644" s="2"/>
      <c r="Q644" s="2"/>
      <c r="R644" s="2"/>
      <c r="S644" s="2" t="s">
        <v>154</v>
      </c>
      <c r="T644" s="2"/>
    </row>
    <row r="645" spans="1:20" ht="120" x14ac:dyDescent="0.25">
      <c r="A645" s="2" t="s">
        <v>196</v>
      </c>
      <c r="B645" s="2" t="s">
        <v>197</v>
      </c>
      <c r="C645" s="2" t="s">
        <v>570</v>
      </c>
      <c r="D645" s="2">
        <v>10645</v>
      </c>
      <c r="E645" s="2">
        <v>768</v>
      </c>
      <c r="F645" s="2" t="s">
        <v>693</v>
      </c>
      <c r="G645" s="2" t="s">
        <v>615</v>
      </c>
      <c r="H645" s="2" t="s">
        <v>150</v>
      </c>
      <c r="I645" s="2" t="s">
        <v>123</v>
      </c>
      <c r="J645" s="2">
        <v>4</v>
      </c>
      <c r="K645" s="2" t="s">
        <v>151</v>
      </c>
      <c r="L645" s="2" t="s">
        <v>152</v>
      </c>
      <c r="M645" s="2" t="s">
        <v>153</v>
      </c>
      <c r="N645" s="2" t="str">
        <f>HYPERLINK("https://klocwork.dal.design.ti.com:443/review/insight-review.html#issuedetails_goto:problemid=10645,project=MCUSW_J7_KW_FULL,searchquery=taxonomy:'' build:RS-2022-10-06_06-07-58 grouping:off module:CddIpc","KW Issue Link")</f>
        <v>KW Issue Link</v>
      </c>
      <c r="O645" s="2"/>
      <c r="P645" s="2"/>
      <c r="Q645" s="2"/>
      <c r="R645" s="2"/>
      <c r="S645" s="2" t="s">
        <v>154</v>
      </c>
      <c r="T645" s="2"/>
    </row>
    <row r="646" spans="1:20" ht="120" x14ac:dyDescent="0.25">
      <c r="A646" s="2" t="s">
        <v>196</v>
      </c>
      <c r="B646" s="2" t="s">
        <v>197</v>
      </c>
      <c r="C646" s="2" t="s">
        <v>570</v>
      </c>
      <c r="D646" s="2">
        <v>10646</v>
      </c>
      <c r="E646" s="2">
        <v>915</v>
      </c>
      <c r="F646" s="2" t="s">
        <v>693</v>
      </c>
      <c r="G646" s="2" t="s">
        <v>639</v>
      </c>
      <c r="H646" s="2" t="s">
        <v>150</v>
      </c>
      <c r="I646" s="2" t="s">
        <v>123</v>
      </c>
      <c r="J646" s="2">
        <v>4</v>
      </c>
      <c r="K646" s="2" t="s">
        <v>151</v>
      </c>
      <c r="L646" s="2" t="s">
        <v>152</v>
      </c>
      <c r="M646" s="2" t="s">
        <v>153</v>
      </c>
      <c r="N646" s="2" t="str">
        <f>HYPERLINK("https://klocwork.dal.design.ti.com:443/review/insight-review.html#issuedetails_goto:problemid=10646,project=MCUSW_J7_KW_FULL,searchquery=taxonomy:'' build:RS-2022-10-06_06-07-58 grouping:off module:CddIpc","KW Issue Link")</f>
        <v>KW Issue Link</v>
      </c>
      <c r="O646" s="2"/>
      <c r="P646" s="2"/>
      <c r="Q646" s="2"/>
      <c r="R646" s="2"/>
      <c r="S646" s="2" t="s">
        <v>154</v>
      </c>
      <c r="T646" s="2"/>
    </row>
    <row r="647" spans="1:20" ht="120" x14ac:dyDescent="0.25">
      <c r="A647" s="2" t="s">
        <v>196</v>
      </c>
      <c r="B647" s="2" t="s">
        <v>197</v>
      </c>
      <c r="C647" s="2" t="s">
        <v>570</v>
      </c>
      <c r="D647" s="2">
        <v>10647</v>
      </c>
      <c r="E647" s="2">
        <v>957</v>
      </c>
      <c r="F647" s="2" t="s">
        <v>693</v>
      </c>
      <c r="G647" s="2" t="s">
        <v>605</v>
      </c>
      <c r="H647" s="2" t="s">
        <v>150</v>
      </c>
      <c r="I647" s="2" t="s">
        <v>123</v>
      </c>
      <c r="J647" s="2">
        <v>4</v>
      </c>
      <c r="K647" s="2" t="s">
        <v>151</v>
      </c>
      <c r="L647" s="2" t="s">
        <v>152</v>
      </c>
      <c r="M647" s="2" t="s">
        <v>153</v>
      </c>
      <c r="N647" s="2" t="str">
        <f>HYPERLINK("https://klocwork.dal.design.ti.com:443/review/insight-review.html#issuedetails_goto:problemid=10647,project=MCUSW_J7_KW_FULL,searchquery=taxonomy:'' build:RS-2022-10-06_06-07-58 grouping:off module:CddIpc","KW Issue Link")</f>
        <v>KW Issue Link</v>
      </c>
      <c r="O647" s="2"/>
      <c r="P647" s="2"/>
      <c r="Q647" s="2"/>
      <c r="R647" s="2"/>
      <c r="S647" s="2" t="s">
        <v>154</v>
      </c>
      <c r="T647" s="2"/>
    </row>
    <row r="648" spans="1:20" ht="120" x14ac:dyDescent="0.25">
      <c r="A648" s="2" t="s">
        <v>499</v>
      </c>
      <c r="B648" s="2" t="s">
        <v>706</v>
      </c>
      <c r="C648" s="2" t="s">
        <v>508</v>
      </c>
      <c r="D648" s="2">
        <v>10723</v>
      </c>
      <c r="E648" s="2">
        <v>87</v>
      </c>
      <c r="F648" s="2" t="s">
        <v>707</v>
      </c>
      <c r="G648" s="2" t="s">
        <v>510</v>
      </c>
      <c r="H648" s="2" t="s">
        <v>150</v>
      </c>
      <c r="I648" s="2" t="s">
        <v>88</v>
      </c>
      <c r="J648" s="2">
        <v>6</v>
      </c>
      <c r="K648" s="2" t="s">
        <v>151</v>
      </c>
      <c r="L648" s="2" t="s">
        <v>152</v>
      </c>
      <c r="M648" s="2" t="s">
        <v>153</v>
      </c>
      <c r="N648" s="2" t="str">
        <f>HYPERLINK("https://klocwork.dal.design.ti.com:443/review/insight-review.html#issuedetails_goto:problemid=10723,project=MCUSW_J7_KW_FULL,searchquery=taxonomy:'' build:RS-2022-10-06_06-07-58 grouping:off module:CddIpc","KW Issue Link")</f>
        <v>KW Issue Link</v>
      </c>
      <c r="O648" s="2" t="s">
        <v>502</v>
      </c>
      <c r="P648" s="2" t="s">
        <v>281</v>
      </c>
      <c r="Q648" s="2" t="s">
        <v>219</v>
      </c>
      <c r="R648" s="2" t="s">
        <v>282</v>
      </c>
      <c r="S648" s="2" t="s">
        <v>154</v>
      </c>
      <c r="T648" s="2"/>
    </row>
    <row r="649" spans="1:20" ht="120" x14ac:dyDescent="0.25">
      <c r="A649" s="2" t="s">
        <v>499</v>
      </c>
      <c r="B649" s="2" t="s">
        <v>706</v>
      </c>
      <c r="C649" s="2" t="s">
        <v>508</v>
      </c>
      <c r="D649" s="2">
        <v>10724</v>
      </c>
      <c r="E649" s="2">
        <v>103</v>
      </c>
      <c r="F649" s="2" t="s">
        <v>707</v>
      </c>
      <c r="G649" s="2" t="s">
        <v>510</v>
      </c>
      <c r="H649" s="2" t="s">
        <v>150</v>
      </c>
      <c r="I649" s="2" t="s">
        <v>88</v>
      </c>
      <c r="J649" s="2">
        <v>6</v>
      </c>
      <c r="K649" s="2" t="s">
        <v>151</v>
      </c>
      <c r="L649" s="2" t="s">
        <v>152</v>
      </c>
      <c r="M649" s="2" t="s">
        <v>153</v>
      </c>
      <c r="N649" s="2" t="str">
        <f>HYPERLINK("https://klocwork.dal.design.ti.com:443/review/insight-review.html#issuedetails_goto:problemid=10724,project=MCUSW_J7_KW_FULL,searchquery=taxonomy:'' build:RS-2022-10-06_06-07-58 grouping:off module:CddIpc","KW Issue Link")</f>
        <v>KW Issue Link</v>
      </c>
      <c r="O649" s="2" t="s">
        <v>502</v>
      </c>
      <c r="P649" s="2" t="s">
        <v>281</v>
      </c>
      <c r="Q649" s="2" t="s">
        <v>219</v>
      </c>
      <c r="R649" s="2" t="s">
        <v>282</v>
      </c>
      <c r="S649" s="2" t="s">
        <v>154</v>
      </c>
      <c r="T649" s="2"/>
    </row>
    <row r="650" spans="1:20" ht="120" x14ac:dyDescent="0.25">
      <c r="A650" s="2" t="s">
        <v>242</v>
      </c>
      <c r="B650" s="2" t="s">
        <v>243</v>
      </c>
      <c r="C650" s="2" t="s">
        <v>570</v>
      </c>
      <c r="D650" s="2">
        <v>10727</v>
      </c>
      <c r="E650" s="2">
        <v>570</v>
      </c>
      <c r="F650" s="2" t="s">
        <v>708</v>
      </c>
      <c r="G650" s="2" t="s">
        <v>670</v>
      </c>
      <c r="H650" s="2" t="s">
        <v>150</v>
      </c>
      <c r="I650" s="2" t="s">
        <v>123</v>
      </c>
      <c r="J650" s="2">
        <v>4</v>
      </c>
      <c r="K650" s="2" t="s">
        <v>151</v>
      </c>
      <c r="L650" s="2" t="s">
        <v>152</v>
      </c>
      <c r="M650" s="2" t="s">
        <v>153</v>
      </c>
      <c r="N650" s="2" t="str">
        <f>HYPERLINK("https://klocwork.dal.design.ti.com:443/review/insight-review.html#issuedetails_goto:problemid=10727,project=MCUSW_J7_KW_FULL,searchquery=taxonomy:'' build:RS-2022-10-06_06-07-58 grouping:off module:CddIpc","KW Issue Link")</f>
        <v>KW Issue Link</v>
      </c>
      <c r="O650" s="2"/>
      <c r="P650" s="2"/>
      <c r="Q650" s="2"/>
      <c r="R650" s="2"/>
      <c r="S650" s="2" t="s">
        <v>154</v>
      </c>
      <c r="T650" s="2"/>
    </row>
    <row r="651" spans="1:20" ht="105" x14ac:dyDescent="0.25">
      <c r="A651" s="2" t="s">
        <v>191</v>
      </c>
      <c r="B651" s="2" t="s">
        <v>192</v>
      </c>
      <c r="C651" s="2" t="s">
        <v>147</v>
      </c>
      <c r="D651" s="2">
        <v>10740</v>
      </c>
      <c r="E651" s="2">
        <v>1055</v>
      </c>
      <c r="F651" s="2" t="s">
        <v>193</v>
      </c>
      <c r="G651" s="2" t="s">
        <v>190</v>
      </c>
      <c r="H651" s="2" t="s">
        <v>150</v>
      </c>
      <c r="I651" s="2" t="s">
        <v>123</v>
      </c>
      <c r="J651" s="2">
        <v>4</v>
      </c>
      <c r="K651" s="2" t="s">
        <v>151</v>
      </c>
      <c r="L651" s="2" t="s">
        <v>152</v>
      </c>
      <c r="M651" s="2" t="s">
        <v>153</v>
      </c>
      <c r="N651" s="2" t="str">
        <f>HYPERLINK("https://klocwork.dal.design.ti.com:443/review/insight-review.html#issuedetails_goto:problemid=10740,project=MCUSW_J7_KW_FULL,searchquery=taxonomy:'' build:RS-2022-10-06_06-07-58 grouping:off module:CddIpc","KW Issue Link")</f>
        <v>KW Issue Link</v>
      </c>
      <c r="O651" s="2"/>
      <c r="P651" s="2"/>
      <c r="Q651" s="2"/>
      <c r="R651" s="2"/>
      <c r="S651" s="2" t="s">
        <v>154</v>
      </c>
      <c r="T651" s="2"/>
    </row>
    <row r="652" spans="1:20" ht="105" x14ac:dyDescent="0.25">
      <c r="A652" s="2" t="s">
        <v>246</v>
      </c>
      <c r="B652" s="2" t="s">
        <v>192</v>
      </c>
      <c r="C652" s="2" t="s">
        <v>147</v>
      </c>
      <c r="D652" s="2">
        <v>10741</v>
      </c>
      <c r="E652" s="2">
        <v>1050</v>
      </c>
      <c r="F652" s="2" t="s">
        <v>249</v>
      </c>
      <c r="G652" s="2" t="s">
        <v>190</v>
      </c>
      <c r="H652" s="2" t="s">
        <v>150</v>
      </c>
      <c r="I652" s="2" t="s">
        <v>123</v>
      </c>
      <c r="J652" s="2">
        <v>4</v>
      </c>
      <c r="K652" s="2" t="s">
        <v>151</v>
      </c>
      <c r="L652" s="2" t="s">
        <v>152</v>
      </c>
      <c r="M652" s="2" t="s">
        <v>153</v>
      </c>
      <c r="N652" s="2" t="str">
        <f>HYPERLINK("https://klocwork.dal.design.ti.com:443/review/insight-review.html#issuedetails_goto:problemid=10741,project=MCUSW_J7_KW_FULL,searchquery=taxonomy:'' build:RS-2022-10-06_06-07-58 grouping:off module:CddIpc","KW Issue Link")</f>
        <v>KW Issue Link</v>
      </c>
      <c r="O652" s="2"/>
      <c r="P652" s="2"/>
      <c r="Q652" s="2"/>
      <c r="R652" s="2"/>
      <c r="S652" s="2" t="s">
        <v>154</v>
      </c>
      <c r="T652" s="2"/>
    </row>
    <row r="653" spans="1:20" ht="105" x14ac:dyDescent="0.25">
      <c r="A653" s="2" t="s">
        <v>163</v>
      </c>
      <c r="B653" s="2" t="s">
        <v>164</v>
      </c>
      <c r="C653" s="2" t="s">
        <v>147</v>
      </c>
      <c r="D653" s="2">
        <v>12943</v>
      </c>
      <c r="E653" s="2">
        <v>574</v>
      </c>
      <c r="F653" s="2" t="s">
        <v>165</v>
      </c>
      <c r="G653" s="2" t="s">
        <v>709</v>
      </c>
      <c r="H653" s="2" t="s">
        <v>150</v>
      </c>
      <c r="I653" s="2" t="s">
        <v>123</v>
      </c>
      <c r="J653" s="2">
        <v>4</v>
      </c>
      <c r="K653" s="2" t="s">
        <v>151</v>
      </c>
      <c r="L653" s="2" t="s">
        <v>152</v>
      </c>
      <c r="M653" s="2" t="s">
        <v>153</v>
      </c>
      <c r="N653" s="2" t="str">
        <f>HYPERLINK("https://klocwork.dal.design.ti.com:443/review/insight-review.html#issuedetails_goto:problemid=12943,project=MCUSW_J7_KW_FULL,searchquery=taxonomy:'' build:RS-2022-10-06_06-07-58 grouping:off module:CddIpc","KW Issue Link")</f>
        <v>KW Issue Link</v>
      </c>
      <c r="O653" s="2"/>
      <c r="P653" s="2"/>
      <c r="Q653" s="2"/>
      <c r="R653" s="2"/>
      <c r="S653" s="2" t="s">
        <v>154</v>
      </c>
      <c r="T653" s="2"/>
    </row>
    <row r="654" spans="1:20" ht="105" x14ac:dyDescent="0.25">
      <c r="A654" s="2" t="s">
        <v>163</v>
      </c>
      <c r="B654" s="2" t="s">
        <v>164</v>
      </c>
      <c r="C654" s="2" t="s">
        <v>147</v>
      </c>
      <c r="D654" s="2">
        <v>12944</v>
      </c>
      <c r="E654" s="2">
        <v>578</v>
      </c>
      <c r="F654" s="2" t="s">
        <v>165</v>
      </c>
      <c r="G654" s="2" t="s">
        <v>709</v>
      </c>
      <c r="H654" s="2" t="s">
        <v>150</v>
      </c>
      <c r="I654" s="2" t="s">
        <v>123</v>
      </c>
      <c r="J654" s="2">
        <v>4</v>
      </c>
      <c r="K654" s="2" t="s">
        <v>151</v>
      </c>
      <c r="L654" s="2" t="s">
        <v>152</v>
      </c>
      <c r="M654" s="2" t="s">
        <v>153</v>
      </c>
      <c r="N654" s="2" t="str">
        <f>HYPERLINK("https://klocwork.dal.design.ti.com:443/review/insight-review.html#issuedetails_goto:problemid=12944,project=MCUSW_J7_KW_FULL,searchquery=taxonomy:'' build:RS-2022-10-06_06-07-58 grouping:off module:CddIpc","KW Issue Link")</f>
        <v>KW Issue Link</v>
      </c>
      <c r="O654" s="2"/>
      <c r="P654" s="2"/>
      <c r="Q654" s="2"/>
      <c r="R654" s="2"/>
      <c r="S654" s="2" t="s">
        <v>154</v>
      </c>
      <c r="T654" s="2"/>
    </row>
    <row r="655" spans="1:20" ht="105" x14ac:dyDescent="0.25">
      <c r="A655" s="2" t="s">
        <v>163</v>
      </c>
      <c r="B655" s="2" t="s">
        <v>164</v>
      </c>
      <c r="C655" s="2" t="s">
        <v>147</v>
      </c>
      <c r="D655" s="2">
        <v>12945</v>
      </c>
      <c r="E655" s="2">
        <v>578</v>
      </c>
      <c r="F655" s="2" t="s">
        <v>165</v>
      </c>
      <c r="G655" s="2" t="s">
        <v>709</v>
      </c>
      <c r="H655" s="2" t="s">
        <v>150</v>
      </c>
      <c r="I655" s="2" t="s">
        <v>123</v>
      </c>
      <c r="J655" s="2">
        <v>4</v>
      </c>
      <c r="K655" s="2" t="s">
        <v>151</v>
      </c>
      <c r="L655" s="2" t="s">
        <v>152</v>
      </c>
      <c r="M655" s="2" t="s">
        <v>153</v>
      </c>
      <c r="N655" s="2" t="str">
        <f>HYPERLINK("https://klocwork.dal.design.ti.com:443/review/insight-review.html#issuedetails_goto:problemid=12945,project=MCUSW_J7_KW_FULL,searchquery=taxonomy:'' build:RS-2022-10-06_06-07-58 grouping:off module:CddIpc","KW Issue Link")</f>
        <v>KW Issue Link</v>
      </c>
      <c r="O655" s="2"/>
      <c r="P655" s="2"/>
      <c r="Q655" s="2"/>
      <c r="R655" s="2"/>
      <c r="S655" s="2" t="s">
        <v>154</v>
      </c>
      <c r="T655" s="2"/>
    </row>
    <row r="656" spans="1:20" ht="105" x14ac:dyDescent="0.25">
      <c r="A656" s="2" t="s">
        <v>163</v>
      </c>
      <c r="B656" s="2" t="s">
        <v>164</v>
      </c>
      <c r="C656" s="2" t="s">
        <v>147</v>
      </c>
      <c r="D656" s="2">
        <v>12946</v>
      </c>
      <c r="E656" s="2">
        <v>583</v>
      </c>
      <c r="F656" s="2" t="s">
        <v>165</v>
      </c>
      <c r="G656" s="2" t="s">
        <v>709</v>
      </c>
      <c r="H656" s="2" t="s">
        <v>150</v>
      </c>
      <c r="I656" s="2" t="s">
        <v>123</v>
      </c>
      <c r="J656" s="2">
        <v>4</v>
      </c>
      <c r="K656" s="2" t="s">
        <v>151</v>
      </c>
      <c r="L656" s="2" t="s">
        <v>152</v>
      </c>
      <c r="M656" s="2" t="s">
        <v>153</v>
      </c>
      <c r="N656" s="2" t="str">
        <f>HYPERLINK("https://klocwork.dal.design.ti.com:443/review/insight-review.html#issuedetails_goto:problemid=12946,project=MCUSW_J7_KW_FULL,searchquery=taxonomy:'' build:RS-2022-10-06_06-07-58 grouping:off module:CddIpc","KW Issue Link")</f>
        <v>KW Issue Link</v>
      </c>
      <c r="O656" s="2"/>
      <c r="P656" s="2"/>
      <c r="Q656" s="2"/>
      <c r="R656" s="2"/>
      <c r="S656" s="2" t="s">
        <v>154</v>
      </c>
      <c r="T656" s="2"/>
    </row>
    <row r="657" spans="1:20" ht="105" x14ac:dyDescent="0.25">
      <c r="A657" s="2" t="s">
        <v>163</v>
      </c>
      <c r="B657" s="2" t="s">
        <v>164</v>
      </c>
      <c r="C657" s="2" t="s">
        <v>147</v>
      </c>
      <c r="D657" s="2">
        <v>12947</v>
      </c>
      <c r="E657" s="2">
        <v>583</v>
      </c>
      <c r="F657" s="2" t="s">
        <v>165</v>
      </c>
      <c r="G657" s="2" t="s">
        <v>709</v>
      </c>
      <c r="H657" s="2" t="s">
        <v>150</v>
      </c>
      <c r="I657" s="2" t="s">
        <v>123</v>
      </c>
      <c r="J657" s="2">
        <v>4</v>
      </c>
      <c r="K657" s="2" t="s">
        <v>151</v>
      </c>
      <c r="L657" s="2" t="s">
        <v>152</v>
      </c>
      <c r="M657" s="2" t="s">
        <v>153</v>
      </c>
      <c r="N657" s="2" t="str">
        <f>HYPERLINK("https://klocwork.dal.design.ti.com:443/review/insight-review.html#issuedetails_goto:problemid=12947,project=MCUSW_J7_KW_FULL,searchquery=taxonomy:'' build:RS-2022-10-06_06-07-58 grouping:off module:CddIpc","KW Issue Link")</f>
        <v>KW Issue Link</v>
      </c>
      <c r="O657" s="2"/>
      <c r="P657" s="2"/>
      <c r="Q657" s="2"/>
      <c r="R657" s="2"/>
      <c r="S657" s="2" t="s">
        <v>154</v>
      </c>
      <c r="T657" s="2"/>
    </row>
    <row r="658" spans="1:20" ht="105" x14ac:dyDescent="0.25">
      <c r="A658" s="2" t="s">
        <v>163</v>
      </c>
      <c r="B658" s="2" t="s">
        <v>164</v>
      </c>
      <c r="C658" s="2" t="s">
        <v>147</v>
      </c>
      <c r="D658" s="2">
        <v>12948</v>
      </c>
      <c r="E658" s="2">
        <v>673</v>
      </c>
      <c r="F658" s="2" t="s">
        <v>165</v>
      </c>
      <c r="G658" s="2" t="s">
        <v>710</v>
      </c>
      <c r="H658" s="2" t="s">
        <v>150</v>
      </c>
      <c r="I658" s="2" t="s">
        <v>123</v>
      </c>
      <c r="J658" s="2">
        <v>4</v>
      </c>
      <c r="K658" s="2" t="s">
        <v>151</v>
      </c>
      <c r="L658" s="2" t="s">
        <v>152</v>
      </c>
      <c r="M658" s="2" t="s">
        <v>153</v>
      </c>
      <c r="N658" s="2" t="str">
        <f>HYPERLINK("https://klocwork.dal.design.ti.com:443/review/insight-review.html#issuedetails_goto:problemid=12948,project=MCUSW_J7_KW_FULL,searchquery=taxonomy:'' build:RS-2022-10-06_06-07-58 grouping:off module:CddIpc","KW Issue Link")</f>
        <v>KW Issue Link</v>
      </c>
      <c r="O658" s="2"/>
      <c r="P658" s="2"/>
      <c r="Q658" s="2"/>
      <c r="R658" s="2"/>
      <c r="S658" s="2" t="s">
        <v>154</v>
      </c>
      <c r="T658" s="2"/>
    </row>
    <row r="659" spans="1:20" ht="105" x14ac:dyDescent="0.25">
      <c r="A659" s="2" t="s">
        <v>163</v>
      </c>
      <c r="B659" s="2" t="s">
        <v>164</v>
      </c>
      <c r="C659" s="2" t="s">
        <v>147</v>
      </c>
      <c r="D659" s="2">
        <v>12949</v>
      </c>
      <c r="E659" s="2">
        <v>673</v>
      </c>
      <c r="F659" s="2" t="s">
        <v>165</v>
      </c>
      <c r="G659" s="2" t="s">
        <v>710</v>
      </c>
      <c r="H659" s="2" t="s">
        <v>150</v>
      </c>
      <c r="I659" s="2" t="s">
        <v>123</v>
      </c>
      <c r="J659" s="2">
        <v>4</v>
      </c>
      <c r="K659" s="2" t="s">
        <v>151</v>
      </c>
      <c r="L659" s="2" t="s">
        <v>152</v>
      </c>
      <c r="M659" s="2" t="s">
        <v>153</v>
      </c>
      <c r="N659" s="2" t="str">
        <f>HYPERLINK("https://klocwork.dal.design.ti.com:443/review/insight-review.html#issuedetails_goto:problemid=12949,project=MCUSW_J7_KW_FULL,searchquery=taxonomy:'' build:RS-2022-10-06_06-07-58 grouping:off module:CddIpc","KW Issue Link")</f>
        <v>KW Issue Link</v>
      </c>
      <c r="O659" s="2"/>
      <c r="P659" s="2"/>
      <c r="Q659" s="2"/>
      <c r="R659" s="2"/>
      <c r="S659" s="2" t="s">
        <v>154</v>
      </c>
      <c r="T659" s="2"/>
    </row>
    <row r="660" spans="1:20" ht="105" x14ac:dyDescent="0.25">
      <c r="A660" s="2" t="s">
        <v>163</v>
      </c>
      <c r="B660" s="2" t="s">
        <v>164</v>
      </c>
      <c r="C660" s="2" t="s">
        <v>147</v>
      </c>
      <c r="D660" s="2">
        <v>12950</v>
      </c>
      <c r="E660" s="2">
        <v>679</v>
      </c>
      <c r="F660" s="2" t="s">
        <v>165</v>
      </c>
      <c r="G660" s="2" t="s">
        <v>710</v>
      </c>
      <c r="H660" s="2" t="s">
        <v>150</v>
      </c>
      <c r="I660" s="2" t="s">
        <v>123</v>
      </c>
      <c r="J660" s="2">
        <v>4</v>
      </c>
      <c r="K660" s="2" t="s">
        <v>151</v>
      </c>
      <c r="L660" s="2" t="s">
        <v>152</v>
      </c>
      <c r="M660" s="2" t="s">
        <v>153</v>
      </c>
      <c r="N660" s="2" t="str">
        <f>HYPERLINK("https://klocwork.dal.design.ti.com:443/review/insight-review.html#issuedetails_goto:problemid=12950,project=MCUSW_J7_KW_FULL,searchquery=taxonomy:'' build:RS-2022-10-06_06-07-58 grouping:off module:CddIpc","KW Issue Link")</f>
        <v>KW Issue Link</v>
      </c>
      <c r="O660" s="2"/>
      <c r="P660" s="2"/>
      <c r="Q660" s="2"/>
      <c r="R660" s="2"/>
      <c r="S660" s="2" t="s">
        <v>154</v>
      </c>
      <c r="T660" s="2"/>
    </row>
    <row r="661" spans="1:20" ht="105" x14ac:dyDescent="0.25">
      <c r="A661" s="2" t="s">
        <v>163</v>
      </c>
      <c r="B661" s="2" t="s">
        <v>164</v>
      </c>
      <c r="C661" s="2" t="s">
        <v>147</v>
      </c>
      <c r="D661" s="2">
        <v>12951</v>
      </c>
      <c r="E661" s="2">
        <v>679</v>
      </c>
      <c r="F661" s="2" t="s">
        <v>165</v>
      </c>
      <c r="G661" s="2" t="s">
        <v>710</v>
      </c>
      <c r="H661" s="2" t="s">
        <v>150</v>
      </c>
      <c r="I661" s="2" t="s">
        <v>123</v>
      </c>
      <c r="J661" s="2">
        <v>4</v>
      </c>
      <c r="K661" s="2" t="s">
        <v>151</v>
      </c>
      <c r="L661" s="2" t="s">
        <v>152</v>
      </c>
      <c r="M661" s="2" t="s">
        <v>153</v>
      </c>
      <c r="N661" s="2" t="str">
        <f>HYPERLINK("https://klocwork.dal.design.ti.com:443/review/insight-review.html#issuedetails_goto:problemid=12951,project=MCUSW_J7_KW_FULL,searchquery=taxonomy:'' build:RS-2022-10-06_06-07-58 grouping:off module:CddIpc","KW Issue Link")</f>
        <v>KW Issue Link</v>
      </c>
      <c r="O661" s="2"/>
      <c r="P661" s="2"/>
      <c r="Q661" s="2"/>
      <c r="R661" s="2"/>
      <c r="S661" s="2" t="s">
        <v>154</v>
      </c>
      <c r="T661" s="2"/>
    </row>
    <row r="662" spans="1:20" ht="105" x14ac:dyDescent="0.25">
      <c r="A662" s="2" t="s">
        <v>222</v>
      </c>
      <c r="B662" s="2" t="s">
        <v>223</v>
      </c>
      <c r="C662" s="2" t="s">
        <v>147</v>
      </c>
      <c r="D662" s="2">
        <v>12955</v>
      </c>
      <c r="E662" s="2">
        <v>589</v>
      </c>
      <c r="F662" s="2" t="s">
        <v>224</v>
      </c>
      <c r="G662" s="2" t="s">
        <v>709</v>
      </c>
      <c r="H662" s="2" t="s">
        <v>150</v>
      </c>
      <c r="I662" s="2" t="s">
        <v>123</v>
      </c>
      <c r="J662" s="2">
        <v>4</v>
      </c>
      <c r="K662" s="2" t="s">
        <v>151</v>
      </c>
      <c r="L662" s="2" t="s">
        <v>152</v>
      </c>
      <c r="M662" s="2" t="s">
        <v>153</v>
      </c>
      <c r="N662" s="2" t="str">
        <f>HYPERLINK("https://klocwork.dal.design.ti.com:443/review/insight-review.html#issuedetails_goto:problemid=12955,project=MCUSW_J7_KW_FULL,searchquery=taxonomy:'' build:RS-2022-10-06_06-07-58 grouping:off module:CddIpc","KW Issue Link")</f>
        <v>KW Issue Link</v>
      </c>
      <c r="O662" s="2"/>
      <c r="P662" s="2"/>
      <c r="Q662" s="2"/>
      <c r="R662" s="2"/>
      <c r="S662" s="2" t="s">
        <v>154</v>
      </c>
      <c r="T662" s="2"/>
    </row>
    <row r="663" spans="1:20" ht="105" x14ac:dyDescent="0.25">
      <c r="A663" s="2" t="s">
        <v>246</v>
      </c>
      <c r="B663" s="2" t="s">
        <v>192</v>
      </c>
      <c r="C663" s="2" t="s">
        <v>147</v>
      </c>
      <c r="D663" s="2">
        <v>12956</v>
      </c>
      <c r="E663" s="2">
        <v>661</v>
      </c>
      <c r="F663" s="2" t="s">
        <v>711</v>
      </c>
      <c r="G663" s="2" t="s">
        <v>710</v>
      </c>
      <c r="H663" s="2" t="s">
        <v>150</v>
      </c>
      <c r="I663" s="2" t="s">
        <v>123</v>
      </c>
      <c r="J663" s="2">
        <v>4</v>
      </c>
      <c r="K663" s="2" t="s">
        <v>151</v>
      </c>
      <c r="L663" s="2" t="s">
        <v>152</v>
      </c>
      <c r="M663" s="2" t="s">
        <v>153</v>
      </c>
      <c r="N663" s="2" t="str">
        <f>HYPERLINK("https://klocwork.dal.design.ti.com:443/review/insight-review.html#issuedetails_goto:problemid=12956,project=MCUSW_J7_KW_FULL,searchquery=taxonomy:'' build:RS-2022-10-06_06-07-58 grouping:off module:CddIpc","KW Issue Link")</f>
        <v>KW Issue Link</v>
      </c>
      <c r="O663" s="2"/>
      <c r="P663" s="2"/>
      <c r="Q663" s="2"/>
      <c r="R663" s="2"/>
      <c r="S663" s="2" t="s">
        <v>154</v>
      </c>
      <c r="T663" s="2"/>
    </row>
    <row r="664" spans="1:20" ht="120" x14ac:dyDescent="0.25">
      <c r="A664" s="2" t="s">
        <v>222</v>
      </c>
      <c r="B664" s="2" t="s">
        <v>223</v>
      </c>
      <c r="C664" s="2" t="s">
        <v>304</v>
      </c>
      <c r="D664" s="2">
        <v>12957</v>
      </c>
      <c r="E664" s="2">
        <v>245</v>
      </c>
      <c r="F664" s="2" t="s">
        <v>224</v>
      </c>
      <c r="G664" s="2" t="s">
        <v>712</v>
      </c>
      <c r="H664" s="2" t="s">
        <v>150</v>
      </c>
      <c r="I664" s="2" t="s">
        <v>123</v>
      </c>
      <c r="J664" s="2">
        <v>4</v>
      </c>
      <c r="K664" s="2" t="s">
        <v>151</v>
      </c>
      <c r="L664" s="2" t="s">
        <v>152</v>
      </c>
      <c r="M664" s="2" t="s">
        <v>153</v>
      </c>
      <c r="N664" s="2" t="str">
        <f>HYPERLINK("https://klocwork.dal.design.ti.com:443/review/insight-review.html#issuedetails_goto:problemid=12957,project=MCUSW_J7_KW_FULL,searchquery=taxonomy:'' build:RS-2022-10-06_06-07-58 grouping:off module:CddIpc","KW Issue Link")</f>
        <v>KW Issue Link</v>
      </c>
      <c r="O664" s="2"/>
      <c r="P664" s="2"/>
      <c r="Q664" s="2"/>
      <c r="R664" s="2"/>
      <c r="S664" s="2" t="s">
        <v>154</v>
      </c>
      <c r="T664" s="2"/>
    </row>
    <row r="665" spans="1:20" ht="120" x14ac:dyDescent="0.25">
      <c r="A665" s="2" t="s">
        <v>263</v>
      </c>
      <c r="B665" s="2" t="s">
        <v>264</v>
      </c>
      <c r="C665" s="2" t="s">
        <v>304</v>
      </c>
      <c r="D665" s="2">
        <v>12959</v>
      </c>
      <c r="E665" s="2">
        <v>245</v>
      </c>
      <c r="F665" s="2" t="s">
        <v>265</v>
      </c>
      <c r="G665" s="2" t="s">
        <v>712</v>
      </c>
      <c r="H665" s="2" t="s">
        <v>150</v>
      </c>
      <c r="I665" s="2" t="s">
        <v>88</v>
      </c>
      <c r="J665" s="2">
        <v>6</v>
      </c>
      <c r="K665" s="2" t="s">
        <v>151</v>
      </c>
      <c r="L665" s="2" t="s">
        <v>152</v>
      </c>
      <c r="M665" s="2" t="s">
        <v>158</v>
      </c>
      <c r="N665" s="2" t="str">
        <f>HYPERLINK("https://klocwork.dal.design.ti.com:443/review/insight-review.html#issuedetails_goto:problemid=12959,project=MCUSW_J7_KW_FULL,searchquery=taxonomy:'' build:RS-2022-10-06_06-07-58 grouping:off module:CddIpc","KW Issue Link")</f>
        <v>KW Issue Link</v>
      </c>
      <c r="O665" s="2" t="s">
        <v>266</v>
      </c>
      <c r="P665" s="2" t="s">
        <v>267</v>
      </c>
      <c r="Q665" s="2" t="s">
        <v>161</v>
      </c>
      <c r="R665" s="2" t="s">
        <v>268</v>
      </c>
      <c r="S665" s="2" t="s">
        <v>154</v>
      </c>
      <c r="T665" s="2"/>
    </row>
    <row r="666" spans="1:20" ht="120" x14ac:dyDescent="0.25">
      <c r="A666" s="2" t="s">
        <v>246</v>
      </c>
      <c r="B666" s="2" t="s">
        <v>192</v>
      </c>
      <c r="C666" s="2" t="s">
        <v>304</v>
      </c>
      <c r="D666" s="2">
        <v>12961</v>
      </c>
      <c r="E666" s="2">
        <v>265</v>
      </c>
      <c r="F666" s="2" t="s">
        <v>713</v>
      </c>
      <c r="G666" s="2" t="s">
        <v>348</v>
      </c>
      <c r="H666" s="2" t="s">
        <v>150</v>
      </c>
      <c r="I666" s="2" t="s">
        <v>123</v>
      </c>
      <c r="J666" s="2">
        <v>4</v>
      </c>
      <c r="K666" s="2" t="s">
        <v>151</v>
      </c>
      <c r="L666" s="2" t="s">
        <v>152</v>
      </c>
      <c r="M666" s="2" t="s">
        <v>153</v>
      </c>
      <c r="N666" s="2" t="str">
        <f>HYPERLINK("https://klocwork.dal.design.ti.com:443/review/insight-review.html#issuedetails_goto:problemid=12961,project=MCUSW_J7_KW_FULL,searchquery=taxonomy:'' build:RS-2022-10-06_06-07-58 grouping:off module:CddIpc","KW Issue Link")</f>
        <v>KW Issue Link</v>
      </c>
      <c r="O666" s="2"/>
      <c r="P666" s="2"/>
      <c r="Q666" s="2"/>
      <c r="R666" s="2"/>
      <c r="S666" s="2" t="s">
        <v>154</v>
      </c>
      <c r="T666" s="2"/>
    </row>
    <row r="667" spans="1:20" ht="120" x14ac:dyDescent="0.25">
      <c r="A667" s="2" t="s">
        <v>242</v>
      </c>
      <c r="B667" s="2" t="s">
        <v>243</v>
      </c>
      <c r="C667" s="2" t="s">
        <v>304</v>
      </c>
      <c r="D667" s="2">
        <v>12962</v>
      </c>
      <c r="E667" s="2">
        <v>1127</v>
      </c>
      <c r="F667" s="2" t="s">
        <v>387</v>
      </c>
      <c r="G667" s="2" t="s">
        <v>336</v>
      </c>
      <c r="H667" s="2" t="s">
        <v>150</v>
      </c>
      <c r="I667" s="2" t="s">
        <v>123</v>
      </c>
      <c r="J667" s="2">
        <v>4</v>
      </c>
      <c r="K667" s="2" t="s">
        <v>151</v>
      </c>
      <c r="L667" s="2" t="s">
        <v>152</v>
      </c>
      <c r="M667" s="2" t="s">
        <v>153</v>
      </c>
      <c r="N667" s="2" t="str">
        <f>HYPERLINK("https://klocwork.dal.design.ti.com:443/review/insight-review.html#issuedetails_goto:problemid=12962,project=MCUSW_J7_KW_FULL,searchquery=taxonomy:'' build:RS-2022-10-06_06-07-58 grouping:off module:CddIpc","KW Issue Link")</f>
        <v>KW Issue Link</v>
      </c>
      <c r="O667" s="2"/>
      <c r="P667" s="2"/>
      <c r="Q667" s="2"/>
      <c r="R667" s="2"/>
      <c r="S667" s="2" t="s">
        <v>154</v>
      </c>
      <c r="T667" s="2"/>
    </row>
    <row r="668" spans="1:20" ht="120" x14ac:dyDescent="0.25">
      <c r="A668" s="2" t="s">
        <v>400</v>
      </c>
      <c r="B668" s="2" t="s">
        <v>401</v>
      </c>
      <c r="C668" s="2" t="s">
        <v>304</v>
      </c>
      <c r="D668" s="2">
        <v>12963</v>
      </c>
      <c r="E668" s="2">
        <v>482</v>
      </c>
      <c r="F668" s="2" t="s">
        <v>714</v>
      </c>
      <c r="G668" s="2" t="s">
        <v>423</v>
      </c>
      <c r="H668" s="2" t="s">
        <v>150</v>
      </c>
      <c r="I668" s="2" t="s">
        <v>88</v>
      </c>
      <c r="J668" s="2">
        <v>6</v>
      </c>
      <c r="K668" s="2" t="s">
        <v>151</v>
      </c>
      <c r="L668" s="2" t="s">
        <v>152</v>
      </c>
      <c r="M668" s="2" t="s">
        <v>158</v>
      </c>
      <c r="N668" s="2" t="str">
        <f>HYPERLINK("https://klocwork.dal.design.ti.com:443/review/insight-review.html#issuedetails_goto:problemid=12963,project=MCUSW_J7_KW_FULL,searchquery=taxonomy:'' build:RS-2022-10-06_06-07-58 grouping:off module:CddIpc","KW Issue Link")</f>
        <v>KW Issue Link</v>
      </c>
      <c r="O668" s="2" t="s">
        <v>403</v>
      </c>
      <c r="P668" s="2" t="s">
        <v>267</v>
      </c>
      <c r="Q668" s="2" t="s">
        <v>161</v>
      </c>
      <c r="R668" s="2" t="s">
        <v>404</v>
      </c>
      <c r="S668" s="2" t="s">
        <v>154</v>
      </c>
      <c r="T668" s="2"/>
    </row>
    <row r="669" spans="1:20" ht="120" x14ac:dyDescent="0.25">
      <c r="A669" s="2" t="s">
        <v>196</v>
      </c>
      <c r="B669" s="2" t="s">
        <v>197</v>
      </c>
      <c r="C669" s="2" t="s">
        <v>304</v>
      </c>
      <c r="D669" s="2">
        <v>12964</v>
      </c>
      <c r="E669" s="2">
        <v>344</v>
      </c>
      <c r="F669" s="2" t="s">
        <v>433</v>
      </c>
      <c r="G669" s="2" t="s">
        <v>325</v>
      </c>
      <c r="H669" s="2" t="s">
        <v>150</v>
      </c>
      <c r="I669" s="2" t="s">
        <v>123</v>
      </c>
      <c r="J669" s="2">
        <v>4</v>
      </c>
      <c r="K669" s="2" t="s">
        <v>151</v>
      </c>
      <c r="L669" s="2" t="s">
        <v>152</v>
      </c>
      <c r="M669" s="2" t="s">
        <v>153</v>
      </c>
      <c r="N669" s="2" t="str">
        <f>HYPERLINK("https://klocwork.dal.design.ti.com:443/review/insight-review.html#issuedetails_goto:problemid=12964,project=MCUSW_J7_KW_FULL,searchquery=taxonomy:'' build:RS-2022-10-06_06-07-58 grouping:off module:CddIpc","KW Issue Link")</f>
        <v>KW Issue Link</v>
      </c>
      <c r="O669" s="2"/>
      <c r="P669" s="2"/>
      <c r="Q669" s="2"/>
      <c r="R669" s="2"/>
      <c r="S669" s="2" t="s">
        <v>154</v>
      </c>
      <c r="T669" s="2"/>
    </row>
    <row r="670" spans="1:20" ht="120" x14ac:dyDescent="0.25">
      <c r="A670" s="2" t="s">
        <v>196</v>
      </c>
      <c r="B670" s="2" t="s">
        <v>197</v>
      </c>
      <c r="C670" s="2" t="s">
        <v>304</v>
      </c>
      <c r="D670" s="2">
        <v>12965</v>
      </c>
      <c r="E670" s="2">
        <v>1256</v>
      </c>
      <c r="F670" s="2" t="s">
        <v>715</v>
      </c>
      <c r="G670" s="2" t="s">
        <v>333</v>
      </c>
      <c r="H670" s="2" t="s">
        <v>150</v>
      </c>
      <c r="I670" s="2" t="s">
        <v>123</v>
      </c>
      <c r="J670" s="2">
        <v>4</v>
      </c>
      <c r="K670" s="2" t="s">
        <v>151</v>
      </c>
      <c r="L670" s="2" t="s">
        <v>152</v>
      </c>
      <c r="M670" s="2" t="s">
        <v>153</v>
      </c>
      <c r="N670" s="2" t="str">
        <f>HYPERLINK("https://klocwork.dal.design.ti.com:443/review/insight-review.html#issuedetails_goto:problemid=12965,project=MCUSW_J7_KW_FULL,searchquery=taxonomy:'' build:RS-2022-10-06_06-07-58 grouping:off module:CddIpc","KW Issue Link")</f>
        <v>KW Issue Link</v>
      </c>
      <c r="O670" s="2"/>
      <c r="P670" s="2"/>
      <c r="Q670" s="2"/>
      <c r="R670" s="2"/>
      <c r="S670" s="2" t="s">
        <v>154</v>
      </c>
      <c r="T670" s="2"/>
    </row>
    <row r="671" spans="1:20" ht="120" x14ac:dyDescent="0.25">
      <c r="A671" s="2" t="s">
        <v>196</v>
      </c>
      <c r="B671" s="2" t="s">
        <v>197</v>
      </c>
      <c r="C671" s="2" t="s">
        <v>304</v>
      </c>
      <c r="D671" s="2">
        <v>12966</v>
      </c>
      <c r="E671" s="2">
        <v>1334</v>
      </c>
      <c r="F671" s="2" t="s">
        <v>433</v>
      </c>
      <c r="G671" s="2" t="s">
        <v>341</v>
      </c>
      <c r="H671" s="2" t="s">
        <v>150</v>
      </c>
      <c r="I671" s="2" t="s">
        <v>123</v>
      </c>
      <c r="J671" s="2">
        <v>4</v>
      </c>
      <c r="K671" s="2" t="s">
        <v>151</v>
      </c>
      <c r="L671" s="2" t="s">
        <v>152</v>
      </c>
      <c r="M671" s="2" t="s">
        <v>153</v>
      </c>
      <c r="N671" s="2" t="str">
        <f>HYPERLINK("https://klocwork.dal.design.ti.com:443/review/insight-review.html#issuedetails_goto:problemid=12966,project=MCUSW_J7_KW_FULL,searchquery=taxonomy:'' build:RS-2022-10-06_06-07-58 grouping:off module:CddIpc","KW Issue Link")</f>
        <v>KW Issue Link</v>
      </c>
      <c r="O671" s="2"/>
      <c r="P671" s="2"/>
      <c r="Q671" s="2"/>
      <c r="R671" s="2"/>
      <c r="S671" s="2" t="s">
        <v>154</v>
      </c>
      <c r="T671" s="2"/>
    </row>
    <row r="672" spans="1:20" ht="120" x14ac:dyDescent="0.25">
      <c r="A672" s="2" t="s">
        <v>436</v>
      </c>
      <c r="B672" s="2" t="s">
        <v>437</v>
      </c>
      <c r="C672" s="2" t="s">
        <v>304</v>
      </c>
      <c r="D672" s="2">
        <v>12967</v>
      </c>
      <c r="E672" s="2">
        <v>1262</v>
      </c>
      <c r="F672" s="2" t="s">
        <v>566</v>
      </c>
      <c r="G672" s="2" t="s">
        <v>333</v>
      </c>
      <c r="H672" s="2" t="s">
        <v>150</v>
      </c>
      <c r="I672" s="2" t="s">
        <v>123</v>
      </c>
      <c r="J672" s="2">
        <v>4</v>
      </c>
      <c r="K672" s="2" t="s">
        <v>151</v>
      </c>
      <c r="L672" s="2" t="s">
        <v>152</v>
      </c>
      <c r="M672" s="2" t="s">
        <v>153</v>
      </c>
      <c r="N672" s="2" t="str">
        <f>HYPERLINK("https://klocwork.dal.design.ti.com:443/review/insight-review.html#issuedetails_goto:problemid=12967,project=MCUSW_J7_KW_FULL,searchquery=taxonomy:'' build:RS-2022-10-06_06-07-58 grouping:off module:CddIpc","KW Issue Link")</f>
        <v>KW Issue Link</v>
      </c>
      <c r="O672" s="2"/>
      <c r="P672" s="2"/>
      <c r="Q672" s="2"/>
      <c r="R672" s="2"/>
      <c r="S672" s="2" t="s">
        <v>154</v>
      </c>
      <c r="T672" s="2"/>
    </row>
    <row r="673" spans="1:20" ht="120" x14ac:dyDescent="0.25">
      <c r="A673" s="2" t="s">
        <v>454</v>
      </c>
      <c r="B673" s="2" t="s">
        <v>180</v>
      </c>
      <c r="C673" s="2" t="s">
        <v>304</v>
      </c>
      <c r="D673" s="2">
        <v>12969</v>
      </c>
      <c r="E673" s="2">
        <v>1221</v>
      </c>
      <c r="F673" s="2" t="s">
        <v>716</v>
      </c>
      <c r="G673" s="2" t="s">
        <v>333</v>
      </c>
      <c r="H673" s="2" t="s">
        <v>150</v>
      </c>
      <c r="I673" s="2" t="s">
        <v>124</v>
      </c>
      <c r="J673" s="2">
        <v>8</v>
      </c>
      <c r="K673" s="2" t="s">
        <v>151</v>
      </c>
      <c r="L673" s="2" t="s">
        <v>152</v>
      </c>
      <c r="M673" s="2" t="s">
        <v>182</v>
      </c>
      <c r="N673" s="2" t="str">
        <f>HYPERLINK("https://klocwork.dal.design.ti.com:443/review/insight-review.html#issuedetails_goto:problemid=12969,project=MCUSW_J7_KW_FULL,searchquery=taxonomy:'' build:RS-2022-10-06_06-07-58 grouping:off module:CddIpc","KW Issue Link")</f>
        <v>KW Issue Link</v>
      </c>
      <c r="O673" s="2"/>
      <c r="P673" s="2"/>
      <c r="Q673" s="2"/>
      <c r="R673" s="2"/>
      <c r="S673" s="2" t="s">
        <v>154</v>
      </c>
      <c r="T673" s="2"/>
    </row>
    <row r="674" spans="1:20" ht="120" x14ac:dyDescent="0.25">
      <c r="A674" s="2" t="s">
        <v>415</v>
      </c>
      <c r="B674" s="2" t="s">
        <v>416</v>
      </c>
      <c r="C674" s="2" t="s">
        <v>470</v>
      </c>
      <c r="D674" s="2">
        <v>12971</v>
      </c>
      <c r="E674" s="2">
        <v>498</v>
      </c>
      <c r="F674" s="2" t="s">
        <v>475</v>
      </c>
      <c r="G674" s="2" t="s">
        <v>717</v>
      </c>
      <c r="H674" s="2" t="s">
        <v>150</v>
      </c>
      <c r="I674" s="2" t="s">
        <v>88</v>
      </c>
      <c r="J674" s="2">
        <v>6</v>
      </c>
      <c r="K674" s="2" t="s">
        <v>151</v>
      </c>
      <c r="L674" s="2" t="s">
        <v>152</v>
      </c>
      <c r="M674" s="2" t="s">
        <v>158</v>
      </c>
      <c r="N674" s="2" t="str">
        <f>HYPERLINK("https://klocwork.dal.design.ti.com:443/review/insight-review.html#issuedetails_goto:problemid=12971,project=MCUSW_J7_KW_FULL,searchquery=taxonomy:'' build:RS-2022-10-06_06-07-58 grouping:off module:CddIpc","KW Issue Link")</f>
        <v>KW Issue Link</v>
      </c>
      <c r="O674" s="2" t="s">
        <v>418</v>
      </c>
      <c r="P674" s="2" t="s">
        <v>234</v>
      </c>
      <c r="Q674" s="2" t="s">
        <v>161</v>
      </c>
      <c r="R674" s="2" t="s">
        <v>419</v>
      </c>
      <c r="S674" s="2" t="s">
        <v>154</v>
      </c>
      <c r="T674" s="2"/>
    </row>
    <row r="675" spans="1:20" ht="120" x14ac:dyDescent="0.25">
      <c r="A675" s="2" t="s">
        <v>196</v>
      </c>
      <c r="B675" s="2" t="s">
        <v>197</v>
      </c>
      <c r="C675" s="2" t="s">
        <v>470</v>
      </c>
      <c r="D675" s="2">
        <v>12972</v>
      </c>
      <c r="E675" s="2">
        <v>191</v>
      </c>
      <c r="F675" s="2" t="s">
        <v>718</v>
      </c>
      <c r="G675" s="2" t="s">
        <v>719</v>
      </c>
      <c r="H675" s="2" t="s">
        <v>150</v>
      </c>
      <c r="I675" s="2" t="s">
        <v>123</v>
      </c>
      <c r="J675" s="2">
        <v>4</v>
      </c>
      <c r="K675" s="2" t="s">
        <v>151</v>
      </c>
      <c r="L675" s="2" t="s">
        <v>152</v>
      </c>
      <c r="M675" s="2" t="s">
        <v>153</v>
      </c>
      <c r="N675" s="2" t="str">
        <f>HYPERLINK("https://klocwork.dal.design.ti.com:443/review/insight-review.html#issuedetails_goto:problemid=12972,project=MCUSW_J7_KW_FULL,searchquery=taxonomy:'' build:RS-2022-10-06_06-07-58 grouping:off module:CddIpc","KW Issue Link")</f>
        <v>KW Issue Link</v>
      </c>
      <c r="O675" s="2"/>
      <c r="P675" s="2"/>
      <c r="Q675" s="2"/>
      <c r="R675" s="2"/>
      <c r="S675" s="2" t="s">
        <v>154</v>
      </c>
      <c r="T675" s="2"/>
    </row>
    <row r="676" spans="1:20" ht="120" x14ac:dyDescent="0.25">
      <c r="A676" s="2" t="s">
        <v>196</v>
      </c>
      <c r="B676" s="2" t="s">
        <v>197</v>
      </c>
      <c r="C676" s="2" t="s">
        <v>470</v>
      </c>
      <c r="D676" s="2">
        <v>12973</v>
      </c>
      <c r="E676" s="2">
        <v>479</v>
      </c>
      <c r="F676" s="2" t="s">
        <v>483</v>
      </c>
      <c r="G676" s="2" t="s">
        <v>720</v>
      </c>
      <c r="H676" s="2" t="s">
        <v>150</v>
      </c>
      <c r="I676" s="2" t="s">
        <v>123</v>
      </c>
      <c r="J676" s="2">
        <v>4</v>
      </c>
      <c r="K676" s="2" t="s">
        <v>151</v>
      </c>
      <c r="L676" s="2" t="s">
        <v>152</v>
      </c>
      <c r="M676" s="2" t="s">
        <v>153</v>
      </c>
      <c r="N676" s="2" t="str">
        <f>HYPERLINK("https://klocwork.dal.design.ti.com:443/review/insight-review.html#issuedetails_goto:problemid=12973,project=MCUSW_J7_KW_FULL,searchquery=taxonomy:'' build:RS-2022-10-06_06-07-58 grouping:off module:CddIpc","KW Issue Link")</f>
        <v>KW Issue Link</v>
      </c>
      <c r="O676" s="2"/>
      <c r="P676" s="2"/>
      <c r="Q676" s="2"/>
      <c r="R676" s="2"/>
      <c r="S676" s="2" t="s">
        <v>154</v>
      </c>
      <c r="T676" s="2"/>
    </row>
    <row r="677" spans="1:20" ht="120" x14ac:dyDescent="0.25">
      <c r="A677" s="2" t="s">
        <v>365</v>
      </c>
      <c r="B677" s="2" t="s">
        <v>486</v>
      </c>
      <c r="C677" s="2" t="s">
        <v>470</v>
      </c>
      <c r="D677" s="2">
        <v>12974</v>
      </c>
      <c r="E677" s="2">
        <v>220</v>
      </c>
      <c r="F677" s="2" t="s">
        <v>367</v>
      </c>
      <c r="G677" s="2" t="s">
        <v>474</v>
      </c>
      <c r="H677" s="2" t="s">
        <v>150</v>
      </c>
      <c r="I677" s="2" t="s">
        <v>123</v>
      </c>
      <c r="J677" s="2">
        <v>4</v>
      </c>
      <c r="K677" s="2" t="s">
        <v>151</v>
      </c>
      <c r="L677" s="2" t="s">
        <v>152</v>
      </c>
      <c r="M677" s="2" t="s">
        <v>153</v>
      </c>
      <c r="N677" s="2" t="str">
        <f>HYPERLINK("https://klocwork.dal.design.ti.com:443/review/insight-review.html#issuedetails_goto:problemid=12974,project=MCUSW_J7_KW_FULL,searchquery=taxonomy:'' build:RS-2022-10-06_06-07-58 grouping:off module:CddIpc","KW Issue Link")</f>
        <v>KW Issue Link</v>
      </c>
      <c r="O677" s="2"/>
      <c r="P677" s="2"/>
      <c r="Q677" s="2"/>
      <c r="R677" s="2"/>
      <c r="S677" s="2" t="s">
        <v>154</v>
      </c>
      <c r="T677" s="2"/>
    </row>
    <row r="678" spans="1:20" ht="120" x14ac:dyDescent="0.25">
      <c r="A678" s="2" t="s">
        <v>365</v>
      </c>
      <c r="B678" s="2" t="s">
        <v>486</v>
      </c>
      <c r="C678" s="2" t="s">
        <v>470</v>
      </c>
      <c r="D678" s="2">
        <v>12975</v>
      </c>
      <c r="E678" s="2">
        <v>508</v>
      </c>
      <c r="F678" s="2" t="s">
        <v>367</v>
      </c>
      <c r="G678" s="2" t="s">
        <v>717</v>
      </c>
      <c r="H678" s="2" t="s">
        <v>150</v>
      </c>
      <c r="I678" s="2" t="s">
        <v>123</v>
      </c>
      <c r="J678" s="2">
        <v>4</v>
      </c>
      <c r="K678" s="2" t="s">
        <v>151</v>
      </c>
      <c r="L678" s="2" t="s">
        <v>152</v>
      </c>
      <c r="M678" s="2" t="s">
        <v>153</v>
      </c>
      <c r="N678" s="2" t="str">
        <f>HYPERLINK("https://klocwork.dal.design.ti.com:443/review/insight-review.html#issuedetails_goto:problemid=12975,project=MCUSW_J7_KW_FULL,searchquery=taxonomy:'' build:RS-2022-10-06_06-07-58 grouping:off module:CddIpc","KW Issue Link")</f>
        <v>KW Issue Link</v>
      </c>
      <c r="O678" s="2"/>
      <c r="P678" s="2"/>
      <c r="Q678" s="2"/>
      <c r="R678" s="2"/>
      <c r="S678" s="2" t="s">
        <v>154</v>
      </c>
      <c r="T678" s="2"/>
    </row>
    <row r="679" spans="1:20" ht="120" x14ac:dyDescent="0.25">
      <c r="A679" s="2" t="s">
        <v>365</v>
      </c>
      <c r="B679" s="2" t="s">
        <v>486</v>
      </c>
      <c r="C679" s="2" t="s">
        <v>470</v>
      </c>
      <c r="D679" s="2">
        <v>12976</v>
      </c>
      <c r="E679" s="2">
        <v>511</v>
      </c>
      <c r="F679" s="2" t="s">
        <v>367</v>
      </c>
      <c r="G679" s="2" t="s">
        <v>717</v>
      </c>
      <c r="H679" s="2" t="s">
        <v>150</v>
      </c>
      <c r="I679" s="2" t="s">
        <v>123</v>
      </c>
      <c r="J679" s="2">
        <v>4</v>
      </c>
      <c r="K679" s="2" t="s">
        <v>151</v>
      </c>
      <c r="L679" s="2" t="s">
        <v>152</v>
      </c>
      <c r="M679" s="2" t="s">
        <v>153</v>
      </c>
      <c r="N679" s="2" t="str">
        <f>HYPERLINK("https://klocwork.dal.design.ti.com:443/review/insight-review.html#issuedetails_goto:problemid=12976,project=MCUSW_J7_KW_FULL,searchquery=taxonomy:'' build:RS-2022-10-06_06-07-58 grouping:off module:CddIpc","KW Issue Link")</f>
        <v>KW Issue Link</v>
      </c>
      <c r="O679" s="2"/>
      <c r="P679" s="2"/>
      <c r="Q679" s="2"/>
      <c r="R679" s="2"/>
      <c r="S679" s="2" t="s">
        <v>154</v>
      </c>
      <c r="T679" s="2"/>
    </row>
    <row r="680" spans="1:20" ht="120" x14ac:dyDescent="0.25">
      <c r="A680" s="2" t="s">
        <v>365</v>
      </c>
      <c r="B680" s="2" t="s">
        <v>486</v>
      </c>
      <c r="C680" s="2" t="s">
        <v>470</v>
      </c>
      <c r="D680" s="2">
        <v>12977</v>
      </c>
      <c r="E680" s="2">
        <v>510</v>
      </c>
      <c r="F680" s="2" t="s">
        <v>367</v>
      </c>
      <c r="G680" s="2" t="s">
        <v>717</v>
      </c>
      <c r="H680" s="2" t="s">
        <v>150</v>
      </c>
      <c r="I680" s="2" t="s">
        <v>123</v>
      </c>
      <c r="J680" s="2">
        <v>4</v>
      </c>
      <c r="K680" s="2" t="s">
        <v>151</v>
      </c>
      <c r="L680" s="2" t="s">
        <v>152</v>
      </c>
      <c r="M680" s="2" t="s">
        <v>153</v>
      </c>
      <c r="N680" s="2" t="str">
        <f>HYPERLINK("https://klocwork.dal.design.ti.com:443/review/insight-review.html#issuedetails_goto:problemid=12977,project=MCUSW_J7_KW_FULL,searchquery=taxonomy:'' build:RS-2022-10-06_06-07-58 grouping:off module:CddIpc","KW Issue Link")</f>
        <v>KW Issue Link</v>
      </c>
      <c r="O680" s="2"/>
      <c r="P680" s="2"/>
      <c r="Q680" s="2"/>
      <c r="R680" s="2"/>
      <c r="S680" s="2" t="s">
        <v>154</v>
      </c>
      <c r="T680" s="2"/>
    </row>
    <row r="681" spans="1:20" ht="120" x14ac:dyDescent="0.25">
      <c r="A681" s="2" t="s">
        <v>365</v>
      </c>
      <c r="B681" s="2" t="s">
        <v>486</v>
      </c>
      <c r="C681" s="2" t="s">
        <v>470</v>
      </c>
      <c r="D681" s="2">
        <v>12978</v>
      </c>
      <c r="E681" s="2">
        <v>509</v>
      </c>
      <c r="F681" s="2" t="s">
        <v>367</v>
      </c>
      <c r="G681" s="2" t="s">
        <v>717</v>
      </c>
      <c r="H681" s="2" t="s">
        <v>150</v>
      </c>
      <c r="I681" s="2" t="s">
        <v>123</v>
      </c>
      <c r="J681" s="2">
        <v>4</v>
      </c>
      <c r="K681" s="2" t="s">
        <v>151</v>
      </c>
      <c r="L681" s="2" t="s">
        <v>152</v>
      </c>
      <c r="M681" s="2" t="s">
        <v>153</v>
      </c>
      <c r="N681" s="2" t="str">
        <f>HYPERLINK("https://klocwork.dal.design.ti.com:443/review/insight-review.html#issuedetails_goto:problemid=12978,project=MCUSW_J7_KW_FULL,searchquery=taxonomy:'' build:RS-2022-10-06_06-07-58 grouping:off module:CddIpc","KW Issue Link")</f>
        <v>KW Issue Link</v>
      </c>
      <c r="O681" s="2"/>
      <c r="P681" s="2"/>
      <c r="Q681" s="2"/>
      <c r="R681" s="2"/>
      <c r="S681" s="2" t="s">
        <v>154</v>
      </c>
      <c r="T681" s="2"/>
    </row>
    <row r="682" spans="1:20" ht="120" x14ac:dyDescent="0.25">
      <c r="A682" s="2" t="s">
        <v>365</v>
      </c>
      <c r="B682" s="2" t="s">
        <v>486</v>
      </c>
      <c r="C682" s="2" t="s">
        <v>470</v>
      </c>
      <c r="D682" s="2">
        <v>12979</v>
      </c>
      <c r="E682" s="2">
        <v>512</v>
      </c>
      <c r="F682" s="2" t="s">
        <v>367</v>
      </c>
      <c r="G682" s="2" t="s">
        <v>717</v>
      </c>
      <c r="H682" s="2" t="s">
        <v>150</v>
      </c>
      <c r="I682" s="2" t="s">
        <v>123</v>
      </c>
      <c r="J682" s="2">
        <v>4</v>
      </c>
      <c r="K682" s="2" t="s">
        <v>151</v>
      </c>
      <c r="L682" s="2" t="s">
        <v>152</v>
      </c>
      <c r="M682" s="2" t="s">
        <v>153</v>
      </c>
      <c r="N682" s="2" t="str">
        <f>HYPERLINK("https://klocwork.dal.design.ti.com:443/review/insight-review.html#issuedetails_goto:problemid=12979,project=MCUSW_J7_KW_FULL,searchquery=taxonomy:'' build:RS-2022-10-06_06-07-58 grouping:off module:CddIpc","KW Issue Link")</f>
        <v>KW Issue Link</v>
      </c>
      <c r="O682" s="2"/>
      <c r="P682" s="2"/>
      <c r="Q682" s="2"/>
      <c r="R682" s="2"/>
      <c r="S682" s="2" t="s">
        <v>154</v>
      </c>
      <c r="T682" s="2"/>
    </row>
    <row r="683" spans="1:20" ht="120" x14ac:dyDescent="0.25">
      <c r="A683" s="2" t="s">
        <v>365</v>
      </c>
      <c r="B683" s="2" t="s">
        <v>486</v>
      </c>
      <c r="C683" s="2" t="s">
        <v>470</v>
      </c>
      <c r="D683" s="2">
        <v>12980</v>
      </c>
      <c r="E683" s="2">
        <v>513</v>
      </c>
      <c r="F683" s="2" t="s">
        <v>367</v>
      </c>
      <c r="G683" s="2" t="s">
        <v>717</v>
      </c>
      <c r="H683" s="2" t="s">
        <v>150</v>
      </c>
      <c r="I683" s="2" t="s">
        <v>123</v>
      </c>
      <c r="J683" s="2">
        <v>4</v>
      </c>
      <c r="K683" s="2" t="s">
        <v>151</v>
      </c>
      <c r="L683" s="2" t="s">
        <v>152</v>
      </c>
      <c r="M683" s="2" t="s">
        <v>153</v>
      </c>
      <c r="N683" s="2" t="str">
        <f>HYPERLINK("https://klocwork.dal.design.ti.com:443/review/insight-review.html#issuedetails_goto:problemid=12980,project=MCUSW_J7_KW_FULL,searchquery=taxonomy:'' build:RS-2022-10-06_06-07-58 grouping:off module:CddIpc","KW Issue Link")</f>
        <v>KW Issue Link</v>
      </c>
      <c r="O683" s="2"/>
      <c r="P683" s="2"/>
      <c r="Q683" s="2"/>
      <c r="R683" s="2"/>
      <c r="S683" s="2" t="s">
        <v>154</v>
      </c>
      <c r="T683" s="2"/>
    </row>
    <row r="684" spans="1:20" ht="120" x14ac:dyDescent="0.25">
      <c r="A684" s="2" t="s">
        <v>365</v>
      </c>
      <c r="B684" s="2" t="s">
        <v>486</v>
      </c>
      <c r="C684" s="2" t="s">
        <v>470</v>
      </c>
      <c r="D684" s="2">
        <v>12981</v>
      </c>
      <c r="E684" s="2">
        <v>514</v>
      </c>
      <c r="F684" s="2" t="s">
        <v>367</v>
      </c>
      <c r="G684" s="2" t="s">
        <v>717</v>
      </c>
      <c r="H684" s="2" t="s">
        <v>150</v>
      </c>
      <c r="I684" s="2" t="s">
        <v>123</v>
      </c>
      <c r="J684" s="2">
        <v>4</v>
      </c>
      <c r="K684" s="2" t="s">
        <v>151</v>
      </c>
      <c r="L684" s="2" t="s">
        <v>152</v>
      </c>
      <c r="M684" s="2" t="s">
        <v>153</v>
      </c>
      <c r="N684" s="2" t="str">
        <f>HYPERLINK("https://klocwork.dal.design.ti.com:443/review/insight-review.html#issuedetails_goto:problemid=12981,project=MCUSW_J7_KW_FULL,searchquery=taxonomy:'' build:RS-2022-10-06_06-07-58 grouping:off module:CddIpc","KW Issue Link")</f>
        <v>KW Issue Link</v>
      </c>
      <c r="O684" s="2"/>
      <c r="P684" s="2"/>
      <c r="Q684" s="2"/>
      <c r="R684" s="2"/>
      <c r="S684" s="2" t="s">
        <v>154</v>
      </c>
      <c r="T684" s="2"/>
    </row>
    <row r="685" spans="1:20" ht="120" x14ac:dyDescent="0.25">
      <c r="A685" s="2" t="s">
        <v>191</v>
      </c>
      <c r="B685" s="2" t="s">
        <v>192</v>
      </c>
      <c r="C685" s="2" t="s">
        <v>470</v>
      </c>
      <c r="D685" s="2">
        <v>12982</v>
      </c>
      <c r="E685" s="2">
        <v>471</v>
      </c>
      <c r="F685" s="2" t="s">
        <v>487</v>
      </c>
      <c r="G685" s="2" t="s">
        <v>720</v>
      </c>
      <c r="H685" s="2" t="s">
        <v>150</v>
      </c>
      <c r="I685" s="2" t="s">
        <v>123</v>
      </c>
      <c r="J685" s="2">
        <v>4</v>
      </c>
      <c r="K685" s="2" t="s">
        <v>151</v>
      </c>
      <c r="L685" s="2" t="s">
        <v>152</v>
      </c>
      <c r="M685" s="2" t="s">
        <v>153</v>
      </c>
      <c r="N685" s="2" t="str">
        <f>HYPERLINK("https://klocwork.dal.design.ti.com:443/review/insight-review.html#issuedetails_goto:problemid=12982,project=MCUSW_J7_KW_FULL,searchquery=taxonomy:'' build:RS-2022-10-06_06-07-58 grouping:off module:CddIpc","KW Issue Link")</f>
        <v>KW Issue Link</v>
      </c>
      <c r="O685" s="2"/>
      <c r="P685" s="2"/>
      <c r="Q685" s="2"/>
      <c r="R685" s="2"/>
      <c r="S685" s="2" t="s">
        <v>154</v>
      </c>
      <c r="T685" s="2"/>
    </row>
    <row r="686" spans="1:20" ht="120" x14ac:dyDescent="0.25">
      <c r="A686" s="2" t="s">
        <v>179</v>
      </c>
      <c r="B686" s="2" t="s">
        <v>180</v>
      </c>
      <c r="C686" s="2" t="s">
        <v>470</v>
      </c>
      <c r="D686" s="2">
        <v>12983</v>
      </c>
      <c r="E686" s="2">
        <v>461</v>
      </c>
      <c r="F686" s="2" t="s">
        <v>721</v>
      </c>
      <c r="G686" s="2" t="s">
        <v>720</v>
      </c>
      <c r="H686" s="2" t="s">
        <v>150</v>
      </c>
      <c r="I686" s="2" t="s">
        <v>124</v>
      </c>
      <c r="J686" s="2">
        <v>8</v>
      </c>
      <c r="K686" s="2" t="s">
        <v>151</v>
      </c>
      <c r="L686" s="2" t="s">
        <v>152</v>
      </c>
      <c r="M686" s="2" t="s">
        <v>182</v>
      </c>
      <c r="N686" s="2" t="str">
        <f>HYPERLINK("https://klocwork.dal.design.ti.com:443/review/insight-review.html#issuedetails_goto:problemid=12983,project=MCUSW_J7_KW_FULL,searchquery=taxonomy:'' build:RS-2022-10-06_06-07-58 grouping:off module:CddIpc","KW Issue Link")</f>
        <v>KW Issue Link</v>
      </c>
      <c r="O686" s="2"/>
      <c r="P686" s="2"/>
      <c r="Q686" s="2"/>
      <c r="R686" s="2"/>
      <c r="S686" s="2" t="s">
        <v>154</v>
      </c>
      <c r="T686" s="2"/>
    </row>
    <row r="687" spans="1:20" ht="120" x14ac:dyDescent="0.25">
      <c r="A687" s="2" t="s">
        <v>345</v>
      </c>
      <c r="B687" s="2" t="s">
        <v>704</v>
      </c>
      <c r="C687" s="2" t="s">
        <v>470</v>
      </c>
      <c r="D687" s="2">
        <v>12984</v>
      </c>
      <c r="E687" s="2">
        <v>474</v>
      </c>
      <c r="F687" s="2" t="s">
        <v>496</v>
      </c>
      <c r="G687" s="2" t="s">
        <v>720</v>
      </c>
      <c r="H687" s="2" t="s">
        <v>150</v>
      </c>
      <c r="I687" s="2" t="s">
        <v>123</v>
      </c>
      <c r="J687" s="2">
        <v>4</v>
      </c>
      <c r="K687" s="2" t="s">
        <v>151</v>
      </c>
      <c r="L687" s="2" t="s">
        <v>152</v>
      </c>
      <c r="M687" s="2" t="s">
        <v>153</v>
      </c>
      <c r="N687" s="2" t="str">
        <f>HYPERLINK("https://klocwork.dal.design.ti.com:443/review/insight-review.html#issuedetails_goto:problemid=12984,project=MCUSW_J7_KW_FULL,searchquery=taxonomy:'' build:RS-2022-10-06_06-07-58 grouping:off module:CddIpc","KW Issue Link")</f>
        <v>KW Issue Link</v>
      </c>
      <c r="O687" s="2"/>
      <c r="P687" s="2"/>
      <c r="Q687" s="2"/>
      <c r="R687" s="2"/>
      <c r="S687" s="2" t="s">
        <v>154</v>
      </c>
      <c r="T687" s="2"/>
    </row>
    <row r="688" spans="1:20" ht="120" x14ac:dyDescent="0.25">
      <c r="A688" s="2" t="s">
        <v>246</v>
      </c>
      <c r="B688" s="2" t="s">
        <v>192</v>
      </c>
      <c r="C688" s="2" t="s">
        <v>470</v>
      </c>
      <c r="D688" s="2">
        <v>12985</v>
      </c>
      <c r="E688" s="2">
        <v>302</v>
      </c>
      <c r="F688" s="2" t="s">
        <v>498</v>
      </c>
      <c r="G688" s="2" t="s">
        <v>476</v>
      </c>
      <c r="H688" s="2" t="s">
        <v>150</v>
      </c>
      <c r="I688" s="2" t="s">
        <v>123</v>
      </c>
      <c r="J688" s="2">
        <v>4</v>
      </c>
      <c r="K688" s="2" t="s">
        <v>151</v>
      </c>
      <c r="L688" s="2" t="s">
        <v>152</v>
      </c>
      <c r="M688" s="2" t="s">
        <v>153</v>
      </c>
      <c r="N688" s="2" t="str">
        <f>HYPERLINK("https://klocwork.dal.design.ti.com:443/review/insight-review.html#issuedetails_goto:problemid=12985,project=MCUSW_J7_KW_FULL,searchquery=taxonomy:'' build:RS-2022-10-06_06-07-58 grouping:off module:CddIpc","KW Issue Link")</f>
        <v>KW Issue Link</v>
      </c>
      <c r="O688" s="2"/>
      <c r="P688" s="2"/>
      <c r="Q688" s="2"/>
      <c r="R688" s="2"/>
      <c r="S688" s="2" t="s">
        <v>154</v>
      </c>
      <c r="T688" s="2"/>
    </row>
    <row r="689" spans="1:20" ht="120" x14ac:dyDescent="0.25">
      <c r="A689" s="2" t="s">
        <v>499</v>
      </c>
      <c r="B689" s="2" t="s">
        <v>706</v>
      </c>
      <c r="C689" s="2" t="s">
        <v>470</v>
      </c>
      <c r="D689" s="2">
        <v>12986</v>
      </c>
      <c r="E689" s="2">
        <v>474</v>
      </c>
      <c r="F689" s="2" t="s">
        <v>722</v>
      </c>
      <c r="G689" s="2" t="s">
        <v>720</v>
      </c>
      <c r="H689" s="2" t="s">
        <v>150</v>
      </c>
      <c r="I689" s="2" t="s">
        <v>88</v>
      </c>
      <c r="J689" s="2">
        <v>6</v>
      </c>
      <c r="K689" s="2" t="s">
        <v>151</v>
      </c>
      <c r="L689" s="2" t="s">
        <v>152</v>
      </c>
      <c r="M689" s="2" t="s">
        <v>153</v>
      </c>
      <c r="N689" s="2" t="str">
        <f>HYPERLINK("https://klocwork.dal.design.ti.com:443/review/insight-review.html#issuedetails_goto:problemid=12986,project=MCUSW_J7_KW_FULL,searchquery=taxonomy:'' build:RS-2022-10-06_06-07-58 grouping:off module:CddIpc","KW Issue Link")</f>
        <v>KW Issue Link</v>
      </c>
      <c r="O689" s="2" t="s">
        <v>502</v>
      </c>
      <c r="P689" s="2" t="s">
        <v>281</v>
      </c>
      <c r="Q689" s="2" t="s">
        <v>219</v>
      </c>
      <c r="R689" s="2" t="s">
        <v>282</v>
      </c>
      <c r="S689" s="2" t="s">
        <v>154</v>
      </c>
      <c r="T689" s="2"/>
    </row>
    <row r="690" spans="1:20" ht="120" x14ac:dyDescent="0.25">
      <c r="A690" s="2" t="s">
        <v>445</v>
      </c>
      <c r="B690" s="2" t="s">
        <v>223</v>
      </c>
      <c r="C690" s="2" t="s">
        <v>470</v>
      </c>
      <c r="D690" s="2">
        <v>12987</v>
      </c>
      <c r="E690" s="2">
        <v>473</v>
      </c>
      <c r="F690" s="2" t="s">
        <v>504</v>
      </c>
      <c r="G690" s="2" t="s">
        <v>720</v>
      </c>
      <c r="H690" s="2" t="s">
        <v>150</v>
      </c>
      <c r="I690" s="2" t="s">
        <v>89</v>
      </c>
      <c r="J690" s="2">
        <v>7</v>
      </c>
      <c r="K690" s="2" t="s">
        <v>151</v>
      </c>
      <c r="L690" s="2" t="s">
        <v>152</v>
      </c>
      <c r="M690" s="2" t="s">
        <v>158</v>
      </c>
      <c r="N690" s="2" t="str">
        <f>HYPERLINK("https://klocwork.dal.design.ti.com:443/review/insight-review.html#issuedetails_goto:problemid=12987,project=MCUSW_J7_KW_FULL,searchquery=taxonomy:'' build:RS-2022-10-06_06-07-58 grouping:off module:CddIpc","KW Issue Link")</f>
        <v>KW Issue Link</v>
      </c>
      <c r="O690" s="2" t="s">
        <v>447</v>
      </c>
      <c r="P690" s="2" t="s">
        <v>267</v>
      </c>
      <c r="Q690" s="2" t="s">
        <v>161</v>
      </c>
      <c r="R690" s="2" t="s">
        <v>448</v>
      </c>
      <c r="S690" s="2" t="s">
        <v>154</v>
      </c>
      <c r="T690" s="2"/>
    </row>
    <row r="691" spans="1:20" ht="120" x14ac:dyDescent="0.25">
      <c r="A691" s="2" t="s">
        <v>222</v>
      </c>
      <c r="B691" s="2" t="s">
        <v>223</v>
      </c>
      <c r="C691" s="2" t="s">
        <v>470</v>
      </c>
      <c r="D691" s="2">
        <v>12988</v>
      </c>
      <c r="E691" s="2">
        <v>473</v>
      </c>
      <c r="F691" s="2" t="s">
        <v>224</v>
      </c>
      <c r="G691" s="2" t="s">
        <v>720</v>
      </c>
      <c r="H691" s="2" t="s">
        <v>150</v>
      </c>
      <c r="I691" s="2" t="s">
        <v>123</v>
      </c>
      <c r="J691" s="2">
        <v>4</v>
      </c>
      <c r="K691" s="2" t="s">
        <v>151</v>
      </c>
      <c r="L691" s="2" t="s">
        <v>152</v>
      </c>
      <c r="M691" s="2" t="s">
        <v>153</v>
      </c>
      <c r="N691" s="2" t="str">
        <f>HYPERLINK("https://klocwork.dal.design.ti.com:443/review/insight-review.html#issuedetails_goto:problemid=12988,project=MCUSW_J7_KW_FULL,searchquery=taxonomy:'' build:RS-2022-10-06_06-07-58 grouping:off module:CddIpc","KW Issue Link")</f>
        <v>KW Issue Link</v>
      </c>
      <c r="O691" s="2"/>
      <c r="P691" s="2"/>
      <c r="Q691" s="2"/>
      <c r="R691" s="2"/>
      <c r="S691" s="2" t="s">
        <v>154</v>
      </c>
      <c r="T691" s="2"/>
    </row>
    <row r="692" spans="1:20" ht="135" x14ac:dyDescent="0.25">
      <c r="A692" s="2" t="s">
        <v>269</v>
      </c>
      <c r="B692" s="2" t="s">
        <v>270</v>
      </c>
      <c r="C692" s="2" t="s">
        <v>470</v>
      </c>
      <c r="D692" s="2">
        <v>12989</v>
      </c>
      <c r="E692" s="2">
        <v>505</v>
      </c>
      <c r="F692" s="2" t="s">
        <v>723</v>
      </c>
      <c r="G692" s="2" t="s">
        <v>717</v>
      </c>
      <c r="H692" s="2" t="s">
        <v>150</v>
      </c>
      <c r="I692" s="2" t="s">
        <v>123</v>
      </c>
      <c r="J692" s="2">
        <v>4</v>
      </c>
      <c r="K692" s="2" t="s">
        <v>151</v>
      </c>
      <c r="L692" s="2" t="s">
        <v>152</v>
      </c>
      <c r="M692" s="2" t="s">
        <v>153</v>
      </c>
      <c r="N692" s="2" t="str">
        <f>HYPERLINK("https://klocwork.dal.design.ti.com:443/review/insight-review.html#issuedetails_goto:problemid=12989,project=MCUSW_J7_KW_FULL,searchquery=taxonomy:'' build:RS-2022-10-06_06-07-58 grouping:off module:CddIpc","KW Issue Link")</f>
        <v>KW Issue Link</v>
      </c>
      <c r="O692" s="2"/>
      <c r="P692" s="2"/>
      <c r="Q692" s="2"/>
      <c r="R692" s="2"/>
      <c r="S692" s="2" t="s">
        <v>154</v>
      </c>
      <c r="T692" s="2"/>
    </row>
    <row r="693" spans="1:20" ht="135" x14ac:dyDescent="0.25">
      <c r="A693" s="2" t="s">
        <v>269</v>
      </c>
      <c r="B693" s="2" t="s">
        <v>270</v>
      </c>
      <c r="C693" s="2" t="s">
        <v>470</v>
      </c>
      <c r="D693" s="2">
        <v>12990</v>
      </c>
      <c r="E693" s="2">
        <v>506</v>
      </c>
      <c r="F693" s="2" t="s">
        <v>724</v>
      </c>
      <c r="G693" s="2" t="s">
        <v>717</v>
      </c>
      <c r="H693" s="2" t="s">
        <v>150</v>
      </c>
      <c r="I693" s="2" t="s">
        <v>123</v>
      </c>
      <c r="J693" s="2">
        <v>4</v>
      </c>
      <c r="K693" s="2" t="s">
        <v>151</v>
      </c>
      <c r="L693" s="2" t="s">
        <v>152</v>
      </c>
      <c r="M693" s="2" t="s">
        <v>153</v>
      </c>
      <c r="N693" s="2" t="str">
        <f>HYPERLINK("https://klocwork.dal.design.ti.com:443/review/insight-review.html#issuedetails_goto:problemid=12990,project=MCUSW_J7_KW_FULL,searchquery=taxonomy:'' build:RS-2022-10-06_06-07-58 grouping:off module:CddIpc","KW Issue Link")</f>
        <v>KW Issue Link</v>
      </c>
      <c r="O693" s="2"/>
      <c r="P693" s="2"/>
      <c r="Q693" s="2"/>
      <c r="R693" s="2"/>
      <c r="S693" s="2" t="s">
        <v>154</v>
      </c>
      <c r="T693" s="2"/>
    </row>
    <row r="694" spans="1:20" ht="135" x14ac:dyDescent="0.25">
      <c r="A694" s="2" t="s">
        <v>269</v>
      </c>
      <c r="B694" s="2" t="s">
        <v>270</v>
      </c>
      <c r="C694" s="2" t="s">
        <v>470</v>
      </c>
      <c r="D694" s="2">
        <v>12991</v>
      </c>
      <c r="E694" s="2">
        <v>507</v>
      </c>
      <c r="F694" s="2" t="s">
        <v>725</v>
      </c>
      <c r="G694" s="2" t="s">
        <v>717</v>
      </c>
      <c r="H694" s="2" t="s">
        <v>150</v>
      </c>
      <c r="I694" s="2" t="s">
        <v>123</v>
      </c>
      <c r="J694" s="2">
        <v>4</v>
      </c>
      <c r="K694" s="2" t="s">
        <v>151</v>
      </c>
      <c r="L694" s="2" t="s">
        <v>152</v>
      </c>
      <c r="M694" s="2" t="s">
        <v>153</v>
      </c>
      <c r="N694" s="2" t="str">
        <f>HYPERLINK("https://klocwork.dal.design.ti.com:443/review/insight-review.html#issuedetails_goto:problemid=12991,project=MCUSW_J7_KW_FULL,searchquery=taxonomy:'' build:RS-2022-10-06_06-07-58 grouping:off module:CddIpc","KW Issue Link")</f>
        <v>KW Issue Link</v>
      </c>
      <c r="O694" s="2"/>
      <c r="P694" s="2"/>
      <c r="Q694" s="2"/>
      <c r="R694" s="2"/>
      <c r="S694" s="2" t="s">
        <v>154</v>
      </c>
      <c r="T694" s="2"/>
    </row>
    <row r="695" spans="1:20" ht="150" x14ac:dyDescent="0.25">
      <c r="A695" s="2" t="s">
        <v>269</v>
      </c>
      <c r="B695" s="2" t="s">
        <v>270</v>
      </c>
      <c r="C695" s="2" t="s">
        <v>470</v>
      </c>
      <c r="D695" s="2">
        <v>12992</v>
      </c>
      <c r="E695" s="2">
        <v>508</v>
      </c>
      <c r="F695" s="2" t="s">
        <v>726</v>
      </c>
      <c r="G695" s="2" t="s">
        <v>717</v>
      </c>
      <c r="H695" s="2" t="s">
        <v>150</v>
      </c>
      <c r="I695" s="2" t="s">
        <v>123</v>
      </c>
      <c r="J695" s="2">
        <v>4</v>
      </c>
      <c r="K695" s="2" t="s">
        <v>151</v>
      </c>
      <c r="L695" s="2" t="s">
        <v>152</v>
      </c>
      <c r="M695" s="2" t="s">
        <v>153</v>
      </c>
      <c r="N695" s="2" t="str">
        <f>HYPERLINK("https://klocwork.dal.design.ti.com:443/review/insight-review.html#issuedetails_goto:problemid=12992,project=MCUSW_J7_KW_FULL,searchquery=taxonomy:'' build:RS-2022-10-06_06-07-58 grouping:off module:CddIpc","KW Issue Link")</f>
        <v>KW Issue Link</v>
      </c>
      <c r="O695" s="2"/>
      <c r="P695" s="2"/>
      <c r="Q695" s="2"/>
      <c r="R695" s="2"/>
      <c r="S695" s="2" t="s">
        <v>154</v>
      </c>
      <c r="T695" s="2"/>
    </row>
    <row r="696" spans="1:20" ht="150" x14ac:dyDescent="0.25">
      <c r="A696" s="2" t="s">
        <v>269</v>
      </c>
      <c r="B696" s="2" t="s">
        <v>270</v>
      </c>
      <c r="C696" s="2" t="s">
        <v>470</v>
      </c>
      <c r="D696" s="2">
        <v>12993</v>
      </c>
      <c r="E696" s="2">
        <v>509</v>
      </c>
      <c r="F696" s="2" t="s">
        <v>727</v>
      </c>
      <c r="G696" s="2" t="s">
        <v>717</v>
      </c>
      <c r="H696" s="2" t="s">
        <v>150</v>
      </c>
      <c r="I696" s="2" t="s">
        <v>123</v>
      </c>
      <c r="J696" s="2">
        <v>4</v>
      </c>
      <c r="K696" s="2" t="s">
        <v>151</v>
      </c>
      <c r="L696" s="2" t="s">
        <v>152</v>
      </c>
      <c r="M696" s="2" t="s">
        <v>153</v>
      </c>
      <c r="N696" s="2" t="str">
        <f>HYPERLINK("https://klocwork.dal.design.ti.com:443/review/insight-review.html#issuedetails_goto:problemid=12993,project=MCUSW_J7_KW_FULL,searchquery=taxonomy:'' build:RS-2022-10-06_06-07-58 grouping:off module:CddIpc","KW Issue Link")</f>
        <v>KW Issue Link</v>
      </c>
      <c r="O696" s="2"/>
      <c r="P696" s="2"/>
      <c r="Q696" s="2"/>
      <c r="R696" s="2"/>
      <c r="S696" s="2" t="s">
        <v>154</v>
      </c>
      <c r="T696" s="2"/>
    </row>
    <row r="697" spans="1:20" ht="150" x14ac:dyDescent="0.25">
      <c r="A697" s="2" t="s">
        <v>269</v>
      </c>
      <c r="B697" s="2" t="s">
        <v>270</v>
      </c>
      <c r="C697" s="2" t="s">
        <v>470</v>
      </c>
      <c r="D697" s="2">
        <v>12994</v>
      </c>
      <c r="E697" s="2">
        <v>510</v>
      </c>
      <c r="F697" s="2" t="s">
        <v>728</v>
      </c>
      <c r="G697" s="2" t="s">
        <v>717</v>
      </c>
      <c r="H697" s="2" t="s">
        <v>150</v>
      </c>
      <c r="I697" s="2" t="s">
        <v>123</v>
      </c>
      <c r="J697" s="2">
        <v>4</v>
      </c>
      <c r="K697" s="2" t="s">
        <v>151</v>
      </c>
      <c r="L697" s="2" t="s">
        <v>152</v>
      </c>
      <c r="M697" s="2" t="s">
        <v>153</v>
      </c>
      <c r="N697" s="2" t="str">
        <f>HYPERLINK("https://klocwork.dal.design.ti.com:443/review/insight-review.html#issuedetails_goto:problemid=12994,project=MCUSW_J7_KW_FULL,searchquery=taxonomy:'' build:RS-2022-10-06_06-07-58 grouping:off module:CddIpc","KW Issue Link")</f>
        <v>KW Issue Link</v>
      </c>
      <c r="O697" s="2"/>
      <c r="P697" s="2"/>
      <c r="Q697" s="2"/>
      <c r="R697" s="2"/>
      <c r="S697" s="2" t="s">
        <v>154</v>
      </c>
      <c r="T697" s="2"/>
    </row>
    <row r="698" spans="1:20" ht="150" x14ac:dyDescent="0.25">
      <c r="A698" s="2" t="s">
        <v>269</v>
      </c>
      <c r="B698" s="2" t="s">
        <v>270</v>
      </c>
      <c r="C698" s="2" t="s">
        <v>470</v>
      </c>
      <c r="D698" s="2">
        <v>12995</v>
      </c>
      <c r="E698" s="2">
        <v>511</v>
      </c>
      <c r="F698" s="2" t="s">
        <v>729</v>
      </c>
      <c r="G698" s="2" t="s">
        <v>717</v>
      </c>
      <c r="H698" s="2" t="s">
        <v>150</v>
      </c>
      <c r="I698" s="2" t="s">
        <v>123</v>
      </c>
      <c r="J698" s="2">
        <v>4</v>
      </c>
      <c r="K698" s="2" t="s">
        <v>151</v>
      </c>
      <c r="L698" s="2" t="s">
        <v>152</v>
      </c>
      <c r="M698" s="2" t="s">
        <v>153</v>
      </c>
      <c r="N698" s="2" t="str">
        <f>HYPERLINK("https://klocwork.dal.design.ti.com:443/review/insight-review.html#issuedetails_goto:problemid=12995,project=MCUSW_J7_KW_FULL,searchquery=taxonomy:'' build:RS-2022-10-06_06-07-58 grouping:off module:CddIpc","KW Issue Link")</f>
        <v>KW Issue Link</v>
      </c>
      <c r="O698" s="2"/>
      <c r="P698" s="2"/>
      <c r="Q698" s="2"/>
      <c r="R698" s="2"/>
      <c r="S698" s="2" t="s">
        <v>154</v>
      </c>
      <c r="T698" s="2"/>
    </row>
    <row r="699" spans="1:20" ht="150" x14ac:dyDescent="0.25">
      <c r="A699" s="2" t="s">
        <v>269</v>
      </c>
      <c r="B699" s="2" t="s">
        <v>270</v>
      </c>
      <c r="C699" s="2" t="s">
        <v>470</v>
      </c>
      <c r="D699" s="2">
        <v>12996</v>
      </c>
      <c r="E699" s="2">
        <v>512</v>
      </c>
      <c r="F699" s="2" t="s">
        <v>730</v>
      </c>
      <c r="G699" s="2" t="s">
        <v>717</v>
      </c>
      <c r="H699" s="2" t="s">
        <v>150</v>
      </c>
      <c r="I699" s="2" t="s">
        <v>123</v>
      </c>
      <c r="J699" s="2">
        <v>4</v>
      </c>
      <c r="K699" s="2" t="s">
        <v>151</v>
      </c>
      <c r="L699" s="2" t="s">
        <v>152</v>
      </c>
      <c r="M699" s="2" t="s">
        <v>153</v>
      </c>
      <c r="N699" s="2" t="str">
        <f>HYPERLINK("https://klocwork.dal.design.ti.com:443/review/insight-review.html#issuedetails_goto:problemid=12996,project=MCUSW_J7_KW_FULL,searchquery=taxonomy:'' build:RS-2022-10-06_06-07-58 grouping:off module:CddIpc","KW Issue Link")</f>
        <v>KW Issue Link</v>
      </c>
      <c r="O699" s="2"/>
      <c r="P699" s="2"/>
      <c r="Q699" s="2"/>
      <c r="R699" s="2"/>
      <c r="S699" s="2" t="s">
        <v>154</v>
      </c>
      <c r="T699" s="2"/>
    </row>
    <row r="700" spans="1:20" ht="150" x14ac:dyDescent="0.25">
      <c r="A700" s="2" t="s">
        <v>269</v>
      </c>
      <c r="B700" s="2" t="s">
        <v>270</v>
      </c>
      <c r="C700" s="2" t="s">
        <v>470</v>
      </c>
      <c r="D700" s="2">
        <v>12997</v>
      </c>
      <c r="E700" s="2">
        <v>513</v>
      </c>
      <c r="F700" s="2" t="s">
        <v>731</v>
      </c>
      <c r="G700" s="2" t="s">
        <v>717</v>
      </c>
      <c r="H700" s="2" t="s">
        <v>150</v>
      </c>
      <c r="I700" s="2" t="s">
        <v>123</v>
      </c>
      <c r="J700" s="2">
        <v>4</v>
      </c>
      <c r="K700" s="2" t="s">
        <v>151</v>
      </c>
      <c r="L700" s="2" t="s">
        <v>152</v>
      </c>
      <c r="M700" s="2" t="s">
        <v>153</v>
      </c>
      <c r="N700" s="2" t="str">
        <f>HYPERLINK("https://klocwork.dal.design.ti.com:443/review/insight-review.html#issuedetails_goto:problemid=12997,project=MCUSW_J7_KW_FULL,searchquery=taxonomy:'' build:RS-2022-10-06_06-07-58 grouping:off module:CddIpc","KW Issue Link")</f>
        <v>KW Issue Link</v>
      </c>
      <c r="O700" s="2"/>
      <c r="P700" s="2"/>
      <c r="Q700" s="2"/>
      <c r="R700" s="2"/>
      <c r="S700" s="2" t="s">
        <v>154</v>
      </c>
      <c r="T700" s="2"/>
    </row>
    <row r="701" spans="1:20" ht="150" x14ac:dyDescent="0.25">
      <c r="A701" s="2" t="s">
        <v>269</v>
      </c>
      <c r="B701" s="2" t="s">
        <v>270</v>
      </c>
      <c r="C701" s="2" t="s">
        <v>470</v>
      </c>
      <c r="D701" s="2">
        <v>12998</v>
      </c>
      <c r="E701" s="2">
        <v>514</v>
      </c>
      <c r="F701" s="2" t="s">
        <v>732</v>
      </c>
      <c r="G701" s="2" t="s">
        <v>717</v>
      </c>
      <c r="H701" s="2" t="s">
        <v>150</v>
      </c>
      <c r="I701" s="2" t="s">
        <v>123</v>
      </c>
      <c r="J701" s="2">
        <v>4</v>
      </c>
      <c r="K701" s="2" t="s">
        <v>151</v>
      </c>
      <c r="L701" s="2" t="s">
        <v>152</v>
      </c>
      <c r="M701" s="2" t="s">
        <v>153</v>
      </c>
      <c r="N701" s="2" t="str">
        <f>HYPERLINK("https://klocwork.dal.design.ti.com:443/review/insight-review.html#issuedetails_goto:problemid=12998,project=MCUSW_J7_KW_FULL,searchquery=taxonomy:'' build:RS-2022-10-06_06-07-58 grouping:off module:CddIpc","KW Issue Link")</f>
        <v>KW Issue Link</v>
      </c>
      <c r="O701" s="2"/>
      <c r="P701" s="2"/>
      <c r="Q701" s="2"/>
      <c r="R701" s="2"/>
      <c r="S701" s="2" t="s">
        <v>154</v>
      </c>
      <c r="T701" s="2"/>
    </row>
    <row r="702" spans="1:20" ht="120" x14ac:dyDescent="0.25">
      <c r="A702" s="2" t="s">
        <v>191</v>
      </c>
      <c r="B702" s="2" t="s">
        <v>192</v>
      </c>
      <c r="C702" s="2" t="s">
        <v>508</v>
      </c>
      <c r="D702" s="2">
        <v>12999</v>
      </c>
      <c r="E702" s="2">
        <v>125</v>
      </c>
      <c r="F702" s="2" t="s">
        <v>193</v>
      </c>
      <c r="G702" s="2" t="s">
        <v>513</v>
      </c>
      <c r="H702" s="2" t="s">
        <v>150</v>
      </c>
      <c r="I702" s="2" t="s">
        <v>123</v>
      </c>
      <c r="J702" s="2">
        <v>4</v>
      </c>
      <c r="K702" s="2" t="s">
        <v>151</v>
      </c>
      <c r="L702" s="2" t="s">
        <v>152</v>
      </c>
      <c r="M702" s="2" t="s">
        <v>153</v>
      </c>
      <c r="N702" s="2" t="str">
        <f>HYPERLINK("https://klocwork.dal.design.ti.com:443/review/insight-review.html#issuedetails_goto:problemid=12999,project=MCUSW_J7_KW_FULL,searchquery=taxonomy:'' build:RS-2022-10-06_06-07-58 grouping:off module:CddIpc","KW Issue Link")</f>
        <v>KW Issue Link</v>
      </c>
      <c r="O702" s="2"/>
      <c r="P702" s="2"/>
      <c r="Q702" s="2"/>
      <c r="R702" s="2"/>
      <c r="S702" s="2" t="s">
        <v>154</v>
      </c>
      <c r="T702" s="2"/>
    </row>
    <row r="703" spans="1:20" ht="120" x14ac:dyDescent="0.25">
      <c r="A703" s="2" t="s">
        <v>359</v>
      </c>
      <c r="B703" s="2" t="s">
        <v>360</v>
      </c>
      <c r="C703" s="2" t="s">
        <v>570</v>
      </c>
      <c r="D703" s="2">
        <v>13012</v>
      </c>
      <c r="E703" s="2">
        <v>881</v>
      </c>
      <c r="F703" s="2" t="s">
        <v>733</v>
      </c>
      <c r="G703" s="2" t="s">
        <v>639</v>
      </c>
      <c r="H703" s="2" t="s">
        <v>150</v>
      </c>
      <c r="I703" s="2" t="s">
        <v>123</v>
      </c>
      <c r="J703" s="2">
        <v>4</v>
      </c>
      <c r="K703" s="2" t="s">
        <v>151</v>
      </c>
      <c r="L703" s="2" t="s">
        <v>152</v>
      </c>
      <c r="M703" s="2" t="s">
        <v>153</v>
      </c>
      <c r="N703" s="2" t="str">
        <f>HYPERLINK("https://klocwork.dal.design.ti.com:443/review/insight-review.html#issuedetails_goto:problemid=13012,project=MCUSW_J7_KW_FULL,searchquery=taxonomy:'' build:RS-2022-10-06_06-07-58 grouping:off module:CddIpc","KW Issue Link")</f>
        <v>KW Issue Link</v>
      </c>
      <c r="O703" s="2"/>
      <c r="P703" s="2"/>
      <c r="Q703" s="2"/>
      <c r="R703" s="2"/>
      <c r="S703" s="2" t="s">
        <v>154</v>
      </c>
      <c r="T703" s="2"/>
    </row>
    <row r="704" spans="1:20" ht="120" x14ac:dyDescent="0.25">
      <c r="A704" s="2" t="s">
        <v>222</v>
      </c>
      <c r="B704" s="2" t="s">
        <v>223</v>
      </c>
      <c r="C704" s="2" t="s">
        <v>570</v>
      </c>
      <c r="D704" s="2">
        <v>13014</v>
      </c>
      <c r="E704" s="2">
        <v>832</v>
      </c>
      <c r="F704" s="2" t="s">
        <v>224</v>
      </c>
      <c r="G704" s="2" t="s">
        <v>616</v>
      </c>
      <c r="H704" s="2" t="s">
        <v>150</v>
      </c>
      <c r="I704" s="2" t="s">
        <v>123</v>
      </c>
      <c r="J704" s="2">
        <v>4</v>
      </c>
      <c r="K704" s="2" t="s">
        <v>151</v>
      </c>
      <c r="L704" s="2" t="s">
        <v>152</v>
      </c>
      <c r="M704" s="2" t="s">
        <v>153</v>
      </c>
      <c r="N704" s="2" t="str">
        <f>HYPERLINK("https://klocwork.dal.design.ti.com:443/review/insight-review.html#issuedetails_goto:problemid=13014,project=MCUSW_J7_KW_FULL,searchquery=taxonomy:'' build:RS-2022-10-06_06-07-58 grouping:off module:CddIpc","KW Issue Link")</f>
        <v>KW Issue Link</v>
      </c>
      <c r="O704" s="2"/>
      <c r="P704" s="2"/>
      <c r="Q704" s="2"/>
      <c r="R704" s="2"/>
      <c r="S704" s="2" t="s">
        <v>154</v>
      </c>
      <c r="T704" s="2"/>
    </row>
    <row r="705" spans="1:20" ht="120" x14ac:dyDescent="0.25">
      <c r="A705" s="2" t="s">
        <v>263</v>
      </c>
      <c r="B705" s="2" t="s">
        <v>264</v>
      </c>
      <c r="C705" s="2" t="s">
        <v>570</v>
      </c>
      <c r="D705" s="2">
        <v>13015</v>
      </c>
      <c r="E705" s="2">
        <v>832</v>
      </c>
      <c r="F705" s="2" t="s">
        <v>265</v>
      </c>
      <c r="G705" s="2" t="s">
        <v>616</v>
      </c>
      <c r="H705" s="2" t="s">
        <v>150</v>
      </c>
      <c r="I705" s="2" t="s">
        <v>88</v>
      </c>
      <c r="J705" s="2">
        <v>6</v>
      </c>
      <c r="K705" s="2" t="s">
        <v>151</v>
      </c>
      <c r="L705" s="2" t="s">
        <v>152</v>
      </c>
      <c r="M705" s="2" t="s">
        <v>158</v>
      </c>
      <c r="N705" s="2" t="str">
        <f>HYPERLINK("https://klocwork.dal.design.ti.com:443/review/insight-review.html#issuedetails_goto:problemid=13015,project=MCUSW_J7_KW_FULL,searchquery=taxonomy:'' build:RS-2022-10-06_06-07-58 grouping:off module:CddIpc","KW Issue Link")</f>
        <v>KW Issue Link</v>
      </c>
      <c r="O705" s="2" t="s">
        <v>266</v>
      </c>
      <c r="P705" s="2" t="s">
        <v>267</v>
      </c>
      <c r="Q705" s="2" t="s">
        <v>161</v>
      </c>
      <c r="R705" s="2" t="s">
        <v>268</v>
      </c>
      <c r="S705" s="2" t="s">
        <v>154</v>
      </c>
      <c r="T705" s="2"/>
    </row>
    <row r="706" spans="1:20" ht="120" x14ac:dyDescent="0.25">
      <c r="A706" s="2" t="s">
        <v>246</v>
      </c>
      <c r="B706" s="2" t="s">
        <v>192</v>
      </c>
      <c r="C706" s="2" t="s">
        <v>570</v>
      </c>
      <c r="D706" s="2">
        <v>13016</v>
      </c>
      <c r="E706" s="2">
        <v>674</v>
      </c>
      <c r="F706" s="2" t="s">
        <v>511</v>
      </c>
      <c r="G706" s="2" t="s">
        <v>614</v>
      </c>
      <c r="H706" s="2" t="s">
        <v>150</v>
      </c>
      <c r="I706" s="2" t="s">
        <v>123</v>
      </c>
      <c r="J706" s="2">
        <v>4</v>
      </c>
      <c r="K706" s="2" t="s">
        <v>151</v>
      </c>
      <c r="L706" s="2" t="s">
        <v>152</v>
      </c>
      <c r="M706" s="2" t="s">
        <v>153</v>
      </c>
      <c r="N706" s="2" t="str">
        <f>HYPERLINK("https://klocwork.dal.design.ti.com:443/review/insight-review.html#issuedetails_goto:problemid=13016,project=MCUSW_J7_KW_FULL,searchquery=taxonomy:'' build:RS-2022-10-06_06-07-58 grouping:off module:CddIpc","KW Issue Link")</f>
        <v>KW Issue Link</v>
      </c>
      <c r="O706" s="2"/>
      <c r="P706" s="2"/>
      <c r="Q706" s="2"/>
      <c r="R706" s="2"/>
      <c r="S706" s="2" t="s">
        <v>154</v>
      </c>
      <c r="T706" s="2"/>
    </row>
    <row r="707" spans="1:20" ht="120" x14ac:dyDescent="0.25">
      <c r="A707" s="2" t="s">
        <v>246</v>
      </c>
      <c r="B707" s="2" t="s">
        <v>192</v>
      </c>
      <c r="C707" s="2" t="s">
        <v>570</v>
      </c>
      <c r="D707" s="2">
        <v>13017</v>
      </c>
      <c r="E707" s="2">
        <v>712</v>
      </c>
      <c r="F707" s="2" t="s">
        <v>734</v>
      </c>
      <c r="G707" s="2" t="s">
        <v>735</v>
      </c>
      <c r="H707" s="2" t="s">
        <v>150</v>
      </c>
      <c r="I707" s="2" t="s">
        <v>123</v>
      </c>
      <c r="J707" s="2">
        <v>4</v>
      </c>
      <c r="K707" s="2" t="s">
        <v>151</v>
      </c>
      <c r="L707" s="2" t="s">
        <v>152</v>
      </c>
      <c r="M707" s="2" t="s">
        <v>153</v>
      </c>
      <c r="N707" s="2" t="str">
        <f>HYPERLINK("https://klocwork.dal.design.ti.com:443/review/insight-review.html#issuedetails_goto:problemid=13017,project=MCUSW_J7_KW_FULL,searchquery=taxonomy:'' build:RS-2022-10-06_06-07-58 grouping:off module:CddIpc","KW Issue Link")</f>
        <v>KW Issue Link</v>
      </c>
      <c r="O707" s="2"/>
      <c r="P707" s="2"/>
      <c r="Q707" s="2"/>
      <c r="R707" s="2"/>
      <c r="S707" s="2" t="s">
        <v>154</v>
      </c>
      <c r="T707" s="2"/>
    </row>
    <row r="708" spans="1:20" ht="120" x14ac:dyDescent="0.25">
      <c r="A708" s="2" t="s">
        <v>246</v>
      </c>
      <c r="B708" s="2" t="s">
        <v>192</v>
      </c>
      <c r="C708" s="2" t="s">
        <v>570</v>
      </c>
      <c r="D708" s="2">
        <v>13018</v>
      </c>
      <c r="E708" s="2">
        <v>792</v>
      </c>
      <c r="F708" s="2" t="s">
        <v>638</v>
      </c>
      <c r="G708" s="2" t="s">
        <v>736</v>
      </c>
      <c r="H708" s="2" t="s">
        <v>150</v>
      </c>
      <c r="I708" s="2" t="s">
        <v>123</v>
      </c>
      <c r="J708" s="2">
        <v>4</v>
      </c>
      <c r="K708" s="2" t="s">
        <v>151</v>
      </c>
      <c r="L708" s="2" t="s">
        <v>152</v>
      </c>
      <c r="M708" s="2" t="s">
        <v>153</v>
      </c>
      <c r="N708" s="2" t="str">
        <f>HYPERLINK("https://klocwork.dal.design.ti.com:443/review/insight-review.html#issuedetails_goto:problemid=13018,project=MCUSW_J7_KW_FULL,searchquery=taxonomy:'' build:RS-2022-10-06_06-07-58 grouping:off module:CddIpc","KW Issue Link")</f>
        <v>KW Issue Link</v>
      </c>
      <c r="O708" s="2"/>
      <c r="P708" s="2"/>
      <c r="Q708" s="2"/>
      <c r="R708" s="2"/>
      <c r="S708" s="2" t="s">
        <v>154</v>
      </c>
      <c r="T708" s="2"/>
    </row>
    <row r="709" spans="1:20" ht="120" x14ac:dyDescent="0.25">
      <c r="A709" s="2" t="s">
        <v>246</v>
      </c>
      <c r="B709" s="2" t="s">
        <v>192</v>
      </c>
      <c r="C709" s="2" t="s">
        <v>570</v>
      </c>
      <c r="D709" s="2">
        <v>13019</v>
      </c>
      <c r="E709" s="2">
        <v>838</v>
      </c>
      <c r="F709" s="2" t="s">
        <v>737</v>
      </c>
      <c r="G709" s="2" t="s">
        <v>616</v>
      </c>
      <c r="H709" s="2" t="s">
        <v>150</v>
      </c>
      <c r="I709" s="2" t="s">
        <v>123</v>
      </c>
      <c r="J709" s="2">
        <v>4</v>
      </c>
      <c r="K709" s="2" t="s">
        <v>151</v>
      </c>
      <c r="L709" s="2" t="s">
        <v>152</v>
      </c>
      <c r="M709" s="2" t="s">
        <v>153</v>
      </c>
      <c r="N709" s="2" t="str">
        <f>HYPERLINK("https://klocwork.dal.design.ti.com:443/review/insight-review.html#issuedetails_goto:problemid=13019,project=MCUSW_J7_KW_FULL,searchquery=taxonomy:'' build:RS-2022-10-06_06-07-58 grouping:off module:CddIpc","KW Issue Link")</f>
        <v>KW Issue Link</v>
      </c>
      <c r="O709" s="2"/>
      <c r="P709" s="2"/>
      <c r="Q709" s="2"/>
      <c r="R709" s="2"/>
      <c r="S709" s="2" t="s">
        <v>154</v>
      </c>
      <c r="T709" s="2"/>
    </row>
    <row r="710" spans="1:20" ht="120" x14ac:dyDescent="0.25">
      <c r="A710" s="2" t="s">
        <v>365</v>
      </c>
      <c r="B710" s="2" t="s">
        <v>486</v>
      </c>
      <c r="C710" s="2" t="s">
        <v>570</v>
      </c>
      <c r="D710" s="2">
        <v>13020</v>
      </c>
      <c r="E710" s="2">
        <v>569</v>
      </c>
      <c r="F710" s="2" t="s">
        <v>367</v>
      </c>
      <c r="G710" s="2" t="s">
        <v>670</v>
      </c>
      <c r="H710" s="2" t="s">
        <v>150</v>
      </c>
      <c r="I710" s="2" t="s">
        <v>123</v>
      </c>
      <c r="J710" s="2">
        <v>4</v>
      </c>
      <c r="K710" s="2" t="s">
        <v>151</v>
      </c>
      <c r="L710" s="2" t="s">
        <v>152</v>
      </c>
      <c r="M710" s="2" t="s">
        <v>153</v>
      </c>
      <c r="N710" s="2" t="str">
        <f>HYPERLINK("https://klocwork.dal.design.ti.com:443/review/insight-review.html#issuedetails_goto:problemid=13020,project=MCUSW_J7_KW_FULL,searchquery=taxonomy:'' build:RS-2022-10-06_06-07-58 grouping:off module:CddIpc","KW Issue Link")</f>
        <v>KW Issue Link</v>
      </c>
      <c r="O710" s="2"/>
      <c r="P710" s="2"/>
      <c r="Q710" s="2"/>
      <c r="R710" s="2"/>
      <c r="S710" s="2" t="s">
        <v>154</v>
      </c>
      <c r="T710" s="2"/>
    </row>
    <row r="711" spans="1:20" ht="120" x14ac:dyDescent="0.25">
      <c r="A711" s="2" t="s">
        <v>365</v>
      </c>
      <c r="B711" s="2" t="s">
        <v>486</v>
      </c>
      <c r="C711" s="2" t="s">
        <v>570</v>
      </c>
      <c r="D711" s="2">
        <v>13021</v>
      </c>
      <c r="E711" s="2">
        <v>620</v>
      </c>
      <c r="F711" s="2" t="s">
        <v>367</v>
      </c>
      <c r="G711" s="2" t="s">
        <v>604</v>
      </c>
      <c r="H711" s="2" t="s">
        <v>150</v>
      </c>
      <c r="I711" s="2" t="s">
        <v>123</v>
      </c>
      <c r="J711" s="2">
        <v>4</v>
      </c>
      <c r="K711" s="2" t="s">
        <v>151</v>
      </c>
      <c r="L711" s="2" t="s">
        <v>152</v>
      </c>
      <c r="M711" s="2" t="s">
        <v>153</v>
      </c>
      <c r="N711" s="2" t="str">
        <f>HYPERLINK("https://klocwork.dal.design.ti.com:443/review/insight-review.html#issuedetails_goto:problemid=13021,project=MCUSW_J7_KW_FULL,searchquery=taxonomy:'' build:RS-2022-10-06_06-07-58 grouping:off module:CddIpc","KW Issue Link")</f>
        <v>KW Issue Link</v>
      </c>
      <c r="O711" s="2"/>
      <c r="P711" s="2"/>
      <c r="Q711" s="2"/>
      <c r="R711" s="2"/>
      <c r="S711" s="2" t="s">
        <v>154</v>
      </c>
      <c r="T711" s="2"/>
    </row>
    <row r="712" spans="1:20" ht="120" x14ac:dyDescent="0.25">
      <c r="A712" s="2" t="s">
        <v>365</v>
      </c>
      <c r="B712" s="2" t="s">
        <v>486</v>
      </c>
      <c r="C712" s="2" t="s">
        <v>570</v>
      </c>
      <c r="D712" s="2">
        <v>13022</v>
      </c>
      <c r="E712" s="2">
        <v>639</v>
      </c>
      <c r="F712" s="2" t="s">
        <v>367</v>
      </c>
      <c r="G712" s="2" t="s">
        <v>651</v>
      </c>
      <c r="H712" s="2" t="s">
        <v>150</v>
      </c>
      <c r="I712" s="2" t="s">
        <v>123</v>
      </c>
      <c r="J712" s="2">
        <v>4</v>
      </c>
      <c r="K712" s="2" t="s">
        <v>151</v>
      </c>
      <c r="L712" s="2" t="s">
        <v>152</v>
      </c>
      <c r="M712" s="2" t="s">
        <v>153</v>
      </c>
      <c r="N712" s="2" t="str">
        <f>HYPERLINK("https://klocwork.dal.design.ti.com:443/review/insight-review.html#issuedetails_goto:problemid=13022,project=MCUSW_J7_KW_FULL,searchquery=taxonomy:'' build:RS-2022-10-06_06-07-58 grouping:off module:CddIpc","KW Issue Link")</f>
        <v>KW Issue Link</v>
      </c>
      <c r="O712" s="2"/>
      <c r="P712" s="2"/>
      <c r="Q712" s="2"/>
      <c r="R712" s="2"/>
      <c r="S712" s="2" t="s">
        <v>154</v>
      </c>
      <c r="T712" s="2"/>
    </row>
    <row r="713" spans="1:20" ht="120" x14ac:dyDescent="0.25">
      <c r="A713" s="2" t="s">
        <v>365</v>
      </c>
      <c r="B713" s="2" t="s">
        <v>486</v>
      </c>
      <c r="C713" s="2" t="s">
        <v>570</v>
      </c>
      <c r="D713" s="2">
        <v>13023</v>
      </c>
      <c r="E713" s="2">
        <v>832</v>
      </c>
      <c r="F713" s="2" t="s">
        <v>367</v>
      </c>
      <c r="G713" s="2" t="s">
        <v>616</v>
      </c>
      <c r="H713" s="2" t="s">
        <v>150</v>
      </c>
      <c r="I713" s="2" t="s">
        <v>123</v>
      </c>
      <c r="J713" s="2">
        <v>4</v>
      </c>
      <c r="K713" s="2" t="s">
        <v>151</v>
      </c>
      <c r="L713" s="2" t="s">
        <v>152</v>
      </c>
      <c r="M713" s="2" t="s">
        <v>153</v>
      </c>
      <c r="N713" s="2" t="str">
        <f>HYPERLINK("https://klocwork.dal.design.ti.com:443/review/insight-review.html#issuedetails_goto:problemid=13023,project=MCUSW_J7_KW_FULL,searchquery=taxonomy:'' build:RS-2022-10-06_06-07-58 grouping:off module:CddIpc","KW Issue Link")</f>
        <v>KW Issue Link</v>
      </c>
      <c r="O713" s="2"/>
      <c r="P713" s="2"/>
      <c r="Q713" s="2"/>
      <c r="R713" s="2"/>
      <c r="S713" s="2" t="s">
        <v>154</v>
      </c>
      <c r="T713" s="2"/>
    </row>
    <row r="714" spans="1:20" ht="120" x14ac:dyDescent="0.25">
      <c r="A714" s="2" t="s">
        <v>365</v>
      </c>
      <c r="B714" s="2" t="s">
        <v>486</v>
      </c>
      <c r="C714" s="2" t="s">
        <v>570</v>
      </c>
      <c r="D714" s="2">
        <v>13024</v>
      </c>
      <c r="E714" s="2">
        <v>844</v>
      </c>
      <c r="F714" s="2" t="s">
        <v>367</v>
      </c>
      <c r="G714" s="2" t="s">
        <v>616</v>
      </c>
      <c r="H714" s="2" t="s">
        <v>150</v>
      </c>
      <c r="I714" s="2" t="s">
        <v>123</v>
      </c>
      <c r="J714" s="2">
        <v>4</v>
      </c>
      <c r="K714" s="2" t="s">
        <v>151</v>
      </c>
      <c r="L714" s="2" t="s">
        <v>152</v>
      </c>
      <c r="M714" s="2" t="s">
        <v>153</v>
      </c>
      <c r="N714" s="2" t="str">
        <f>HYPERLINK("https://klocwork.dal.design.ti.com:443/review/insight-review.html#issuedetails_goto:problemid=13024,project=MCUSW_J7_KW_FULL,searchquery=taxonomy:'' build:RS-2022-10-06_06-07-58 grouping:off module:CddIpc","KW Issue Link")</f>
        <v>KW Issue Link</v>
      </c>
      <c r="O714" s="2"/>
      <c r="P714" s="2"/>
      <c r="Q714" s="2"/>
      <c r="R714" s="2"/>
      <c r="S714" s="2" t="s">
        <v>154</v>
      </c>
      <c r="T714" s="2"/>
    </row>
    <row r="715" spans="1:20" ht="120" x14ac:dyDescent="0.25">
      <c r="A715" s="2" t="s">
        <v>365</v>
      </c>
      <c r="B715" s="2" t="s">
        <v>486</v>
      </c>
      <c r="C715" s="2" t="s">
        <v>570</v>
      </c>
      <c r="D715" s="2">
        <v>13025</v>
      </c>
      <c r="E715" s="2">
        <v>842</v>
      </c>
      <c r="F715" s="2" t="s">
        <v>367</v>
      </c>
      <c r="G715" s="2" t="s">
        <v>616</v>
      </c>
      <c r="H715" s="2" t="s">
        <v>150</v>
      </c>
      <c r="I715" s="2" t="s">
        <v>123</v>
      </c>
      <c r="J715" s="2">
        <v>4</v>
      </c>
      <c r="K715" s="2" t="s">
        <v>151</v>
      </c>
      <c r="L715" s="2" t="s">
        <v>152</v>
      </c>
      <c r="M715" s="2" t="s">
        <v>153</v>
      </c>
      <c r="N715" s="2" t="str">
        <f>HYPERLINK("https://klocwork.dal.design.ti.com:443/review/insight-review.html#issuedetails_goto:problemid=13025,project=MCUSW_J7_KW_FULL,searchquery=taxonomy:'' build:RS-2022-10-06_06-07-58 grouping:off module:CddIpc","KW Issue Link")</f>
        <v>KW Issue Link</v>
      </c>
      <c r="O715" s="2"/>
      <c r="P715" s="2"/>
      <c r="Q715" s="2"/>
      <c r="R715" s="2"/>
      <c r="S715" s="2" t="s">
        <v>154</v>
      </c>
      <c r="T715" s="2"/>
    </row>
    <row r="716" spans="1:20" ht="120" x14ac:dyDescent="0.25">
      <c r="A716" s="2" t="s">
        <v>365</v>
      </c>
      <c r="B716" s="2" t="s">
        <v>486</v>
      </c>
      <c r="C716" s="2" t="s">
        <v>570</v>
      </c>
      <c r="D716" s="2">
        <v>13026</v>
      </c>
      <c r="E716" s="2">
        <v>833</v>
      </c>
      <c r="F716" s="2" t="s">
        <v>367</v>
      </c>
      <c r="G716" s="2" t="s">
        <v>616</v>
      </c>
      <c r="H716" s="2" t="s">
        <v>150</v>
      </c>
      <c r="I716" s="2" t="s">
        <v>123</v>
      </c>
      <c r="J716" s="2">
        <v>4</v>
      </c>
      <c r="K716" s="2" t="s">
        <v>151</v>
      </c>
      <c r="L716" s="2" t="s">
        <v>152</v>
      </c>
      <c r="M716" s="2" t="s">
        <v>153</v>
      </c>
      <c r="N716" s="2" t="str">
        <f>HYPERLINK("https://klocwork.dal.design.ti.com:443/review/insight-review.html#issuedetails_goto:problemid=13026,project=MCUSW_J7_KW_FULL,searchquery=taxonomy:'' build:RS-2022-10-06_06-07-58 grouping:off module:CddIpc","KW Issue Link")</f>
        <v>KW Issue Link</v>
      </c>
      <c r="O716" s="2"/>
      <c r="P716" s="2"/>
      <c r="Q716" s="2"/>
      <c r="R716" s="2"/>
      <c r="S716" s="2" t="s">
        <v>154</v>
      </c>
      <c r="T716" s="2"/>
    </row>
    <row r="717" spans="1:20" ht="120" x14ac:dyDescent="0.25">
      <c r="A717" s="2" t="s">
        <v>316</v>
      </c>
      <c r="B717" s="2" t="s">
        <v>317</v>
      </c>
      <c r="C717" s="2" t="s">
        <v>570</v>
      </c>
      <c r="D717" s="2">
        <v>13028</v>
      </c>
      <c r="E717" s="2">
        <v>757</v>
      </c>
      <c r="F717" s="2" t="s">
        <v>738</v>
      </c>
      <c r="G717" s="2" t="s">
        <v>615</v>
      </c>
      <c r="H717" s="2" t="s">
        <v>150</v>
      </c>
      <c r="I717" s="2" t="s">
        <v>89</v>
      </c>
      <c r="J717" s="2">
        <v>7</v>
      </c>
      <c r="K717" s="2" t="s">
        <v>151</v>
      </c>
      <c r="L717" s="2" t="s">
        <v>152</v>
      </c>
      <c r="M717" s="2" t="s">
        <v>158</v>
      </c>
      <c r="N717" s="2" t="str">
        <f>HYPERLINK("https://klocwork.dal.design.ti.com:443/review/insight-review.html#issuedetails_goto:problemid=13028,project=MCUSW_J7_KW_FULL,searchquery=taxonomy:'' build:RS-2022-10-06_06-07-58 grouping:off module:CddIpc","KW Issue Link")</f>
        <v>KW Issue Link</v>
      </c>
      <c r="O717" s="2" t="s">
        <v>320</v>
      </c>
      <c r="P717" s="2" t="s">
        <v>321</v>
      </c>
      <c r="Q717" s="2" t="s">
        <v>161</v>
      </c>
      <c r="R717" s="2" t="s">
        <v>322</v>
      </c>
      <c r="S717" s="2" t="s">
        <v>154</v>
      </c>
      <c r="T717" s="2"/>
    </row>
    <row r="718" spans="1:20" ht="120" x14ac:dyDescent="0.25">
      <c r="A718" s="2" t="s">
        <v>436</v>
      </c>
      <c r="B718" s="2" t="s">
        <v>437</v>
      </c>
      <c r="C718" s="2" t="s">
        <v>559</v>
      </c>
      <c r="D718" s="2">
        <v>13029</v>
      </c>
      <c r="E718" s="2">
        <v>199</v>
      </c>
      <c r="F718" s="2" t="s">
        <v>567</v>
      </c>
      <c r="G718" s="2" t="s">
        <v>568</v>
      </c>
      <c r="H718" s="2" t="s">
        <v>150</v>
      </c>
      <c r="I718" s="2" t="s">
        <v>123</v>
      </c>
      <c r="J718" s="2">
        <v>4</v>
      </c>
      <c r="K718" s="2" t="s">
        <v>151</v>
      </c>
      <c r="L718" s="2" t="s">
        <v>152</v>
      </c>
      <c r="M718" s="2" t="s">
        <v>153</v>
      </c>
      <c r="N718" s="2" t="str">
        <f>HYPERLINK("https://klocwork.dal.design.ti.com:443/review/insight-review.html#issuedetails_goto:problemid=13029,project=MCUSW_J7_KW_FULL,searchquery=taxonomy:'' build:RS-2022-10-06_06-07-58 grouping:off module:CddIpc","KW Issue Link")</f>
        <v>KW Issue Link</v>
      </c>
      <c r="O718" s="2"/>
      <c r="P718" s="2"/>
      <c r="Q718" s="2"/>
      <c r="R718" s="2"/>
      <c r="S718" s="2" t="s">
        <v>154</v>
      </c>
      <c r="T718" s="2"/>
    </row>
    <row r="719" spans="1:20" ht="120" x14ac:dyDescent="0.25">
      <c r="A719" s="2" t="s">
        <v>365</v>
      </c>
      <c r="B719" s="2" t="s">
        <v>486</v>
      </c>
      <c r="C719" s="2" t="s">
        <v>559</v>
      </c>
      <c r="D719" s="2">
        <v>13030</v>
      </c>
      <c r="E719" s="2">
        <v>199</v>
      </c>
      <c r="F719" s="2" t="s">
        <v>367</v>
      </c>
      <c r="G719" s="2" t="s">
        <v>568</v>
      </c>
      <c r="H719" s="2" t="s">
        <v>150</v>
      </c>
      <c r="I719" s="2" t="s">
        <v>123</v>
      </c>
      <c r="J719" s="2">
        <v>4</v>
      </c>
      <c r="K719" s="2" t="s">
        <v>151</v>
      </c>
      <c r="L719" s="2" t="s">
        <v>152</v>
      </c>
      <c r="M719" s="2" t="s">
        <v>153</v>
      </c>
      <c r="N719" s="2" t="str">
        <f>HYPERLINK("https://klocwork.dal.design.ti.com:443/review/insight-review.html#issuedetails_goto:problemid=13030,project=MCUSW_J7_KW_FULL,searchquery=taxonomy:'' build:RS-2022-10-06_06-07-58 grouping:off module:CddIpc","KW Issue Link")</f>
        <v>KW Issue Link</v>
      </c>
      <c r="O719" s="2"/>
      <c r="P719" s="2"/>
      <c r="Q719" s="2"/>
      <c r="R719" s="2"/>
      <c r="S719" s="2" t="s">
        <v>154</v>
      </c>
      <c r="T719" s="2"/>
    </row>
    <row r="720" spans="1:20" ht="120" x14ac:dyDescent="0.25">
      <c r="A720" s="2" t="s">
        <v>345</v>
      </c>
      <c r="B720" s="2" t="s">
        <v>704</v>
      </c>
      <c r="C720" s="2" t="s">
        <v>508</v>
      </c>
      <c r="D720" s="2">
        <v>13206</v>
      </c>
      <c r="E720" s="2">
        <v>132</v>
      </c>
      <c r="F720" s="2" t="s">
        <v>739</v>
      </c>
      <c r="G720" s="2" t="s">
        <v>513</v>
      </c>
      <c r="H720" s="2" t="s">
        <v>150</v>
      </c>
      <c r="I720" s="2" t="s">
        <v>123</v>
      </c>
      <c r="J720" s="2">
        <v>4</v>
      </c>
      <c r="K720" s="2" t="s">
        <v>151</v>
      </c>
      <c r="L720" s="2" t="s">
        <v>152</v>
      </c>
      <c r="M720" s="2" t="s">
        <v>153</v>
      </c>
      <c r="N720" s="2" t="str">
        <f>HYPERLINK("https://klocwork.dal.design.ti.com:443/review/insight-review.html#issuedetails_goto:problemid=13206,project=MCUSW_J7_KW_FULL,searchquery=taxonomy:'' build:RS-2022-10-06_06-07-58 grouping:off module:CddIpc","KW Issue Link")</f>
        <v>KW Issue Link</v>
      </c>
      <c r="O720" s="2"/>
      <c r="P720" s="2"/>
      <c r="Q720" s="2"/>
      <c r="R720" s="2"/>
      <c r="S720" s="2" t="s">
        <v>154</v>
      </c>
      <c r="T720" s="2"/>
    </row>
    <row r="721" spans="1:20" ht="120" x14ac:dyDescent="0.25">
      <c r="A721" s="2" t="s">
        <v>345</v>
      </c>
      <c r="B721" s="2" t="s">
        <v>704</v>
      </c>
      <c r="C721" s="2" t="s">
        <v>508</v>
      </c>
      <c r="D721" s="2">
        <v>13207</v>
      </c>
      <c r="E721" s="2">
        <v>162</v>
      </c>
      <c r="F721" s="2" t="s">
        <v>739</v>
      </c>
      <c r="G721" s="2" t="s">
        <v>514</v>
      </c>
      <c r="H721" s="2" t="s">
        <v>150</v>
      </c>
      <c r="I721" s="2" t="s">
        <v>123</v>
      </c>
      <c r="J721" s="2">
        <v>4</v>
      </c>
      <c r="K721" s="2" t="s">
        <v>151</v>
      </c>
      <c r="L721" s="2" t="s">
        <v>152</v>
      </c>
      <c r="M721" s="2" t="s">
        <v>153</v>
      </c>
      <c r="N721" s="2" t="str">
        <f>HYPERLINK("https://klocwork.dal.design.ti.com:443/review/insight-review.html#issuedetails_goto:problemid=13207,project=MCUSW_J7_KW_FULL,searchquery=taxonomy:'' build:RS-2022-10-06_06-07-58 grouping:off module:CddIpc","KW Issue Link")</f>
        <v>KW Issue Link</v>
      </c>
      <c r="O721" s="2"/>
      <c r="P721" s="2"/>
      <c r="Q721" s="2"/>
      <c r="R721" s="2"/>
      <c r="S721" s="2" t="s">
        <v>154</v>
      </c>
      <c r="T721" s="2"/>
    </row>
    <row r="722" spans="1:20" ht="120" x14ac:dyDescent="0.25">
      <c r="A722" s="2" t="s">
        <v>206</v>
      </c>
      <c r="B722" s="2" t="s">
        <v>740</v>
      </c>
      <c r="C722" s="2" t="s">
        <v>508</v>
      </c>
      <c r="D722" s="2">
        <v>13208</v>
      </c>
      <c r="E722" s="2">
        <v>183</v>
      </c>
      <c r="F722" s="2" t="s">
        <v>338</v>
      </c>
      <c r="G722" s="2" t="s">
        <v>741</v>
      </c>
      <c r="H722" s="2" t="s">
        <v>150</v>
      </c>
      <c r="I722" s="2" t="s">
        <v>88</v>
      </c>
      <c r="J722" s="2">
        <v>6</v>
      </c>
      <c r="K722" s="2" t="s">
        <v>151</v>
      </c>
      <c r="L722" s="2" t="s">
        <v>152</v>
      </c>
      <c r="M722" s="2" t="s">
        <v>158</v>
      </c>
      <c r="N722" s="2" t="str">
        <f>HYPERLINK("https://klocwork.dal.design.ti.com:443/review/insight-review.html#issuedetails_goto:problemid=13208,project=MCUSW_J7_KW_FULL,searchquery=taxonomy:'' build:RS-2022-10-06_06-07-58 grouping:off module:CddIpc","KW Issue Link")</f>
        <v>KW Issue Link</v>
      </c>
      <c r="O722" s="2" t="s">
        <v>209</v>
      </c>
      <c r="P722" s="2" t="s">
        <v>210</v>
      </c>
      <c r="Q722" s="2" t="s">
        <v>211</v>
      </c>
      <c r="R722" s="2" t="s">
        <v>212</v>
      </c>
      <c r="S722" s="2" t="s">
        <v>154</v>
      </c>
      <c r="T722" s="2"/>
    </row>
    <row r="723" spans="1:20" ht="120" x14ac:dyDescent="0.25">
      <c r="A723" s="2" t="s">
        <v>662</v>
      </c>
      <c r="B723" s="2" t="s">
        <v>663</v>
      </c>
      <c r="C723" s="2" t="s">
        <v>508</v>
      </c>
      <c r="D723" s="2">
        <v>13209</v>
      </c>
      <c r="E723" s="2">
        <v>183</v>
      </c>
      <c r="F723" s="2" t="s">
        <v>742</v>
      </c>
      <c r="G723" s="2" t="s">
        <v>741</v>
      </c>
      <c r="H723" s="2" t="s">
        <v>150</v>
      </c>
      <c r="I723" s="2" t="s">
        <v>123</v>
      </c>
      <c r="J723" s="2">
        <v>4</v>
      </c>
      <c r="K723" s="2" t="s">
        <v>151</v>
      </c>
      <c r="L723" s="2" t="s">
        <v>152</v>
      </c>
      <c r="M723" s="2" t="s">
        <v>153</v>
      </c>
      <c r="N723" s="2" t="str">
        <f>HYPERLINK("https://klocwork.dal.design.ti.com:443/review/insight-review.html#issuedetails_goto:problemid=13209,project=MCUSW_J7_KW_FULL,searchquery=taxonomy:'' build:RS-2022-10-06_06-07-58 grouping:off module:CddIpc","KW Issue Link")</f>
        <v>KW Issue Link</v>
      </c>
      <c r="O723" s="2"/>
      <c r="P723" s="2"/>
      <c r="Q723" s="2"/>
      <c r="R723" s="2"/>
      <c r="S723" s="2" t="s">
        <v>154</v>
      </c>
      <c r="T723" s="2"/>
    </row>
    <row r="724" spans="1:20" ht="105" x14ac:dyDescent="0.25">
      <c r="A724" s="2" t="s">
        <v>415</v>
      </c>
      <c r="B724" s="2" t="s">
        <v>416</v>
      </c>
      <c r="C724" s="2" t="s">
        <v>147</v>
      </c>
      <c r="D724" s="2">
        <v>13422</v>
      </c>
      <c r="E724" s="2">
        <v>493</v>
      </c>
      <c r="F724" s="2" t="s">
        <v>417</v>
      </c>
      <c r="G724" s="2" t="s">
        <v>170</v>
      </c>
      <c r="H724" s="2" t="s">
        <v>150</v>
      </c>
      <c r="I724" s="2" t="s">
        <v>88</v>
      </c>
      <c r="J724" s="2">
        <v>6</v>
      </c>
      <c r="K724" s="2" t="s">
        <v>151</v>
      </c>
      <c r="L724" s="2" t="s">
        <v>152</v>
      </c>
      <c r="M724" s="2" t="s">
        <v>158</v>
      </c>
      <c r="N724" s="2" t="str">
        <f>HYPERLINK("https://klocwork.dal.design.ti.com:443/review/insight-review.html#issuedetails_goto:problemid=13422,project=MCUSW_J7_KW_FULL,searchquery=taxonomy:'' build:RS-2022-10-06_06-07-58 grouping:off module:CddIpc","KW Issue Link")</f>
        <v>KW Issue Link</v>
      </c>
      <c r="O724" s="2" t="s">
        <v>418</v>
      </c>
      <c r="P724" s="2" t="s">
        <v>234</v>
      </c>
      <c r="Q724" s="2" t="s">
        <v>161</v>
      </c>
      <c r="R724" s="2" t="s">
        <v>419</v>
      </c>
      <c r="S724" s="2" t="s">
        <v>154</v>
      </c>
      <c r="T724" s="2"/>
    </row>
    <row r="725" spans="1:20" ht="120" x14ac:dyDescent="0.25">
      <c r="A725" s="2" t="s">
        <v>316</v>
      </c>
      <c r="B725" s="2" t="s">
        <v>317</v>
      </c>
      <c r="C725" s="2" t="s">
        <v>304</v>
      </c>
      <c r="D725" s="2">
        <v>13423</v>
      </c>
      <c r="E725" s="2">
        <v>471</v>
      </c>
      <c r="F725" s="2" t="s">
        <v>326</v>
      </c>
      <c r="G725" s="2" t="s">
        <v>327</v>
      </c>
      <c r="H725" s="2" t="s">
        <v>150</v>
      </c>
      <c r="I725" s="2" t="s">
        <v>89</v>
      </c>
      <c r="J725" s="2">
        <v>7</v>
      </c>
      <c r="K725" s="2" t="s">
        <v>151</v>
      </c>
      <c r="L725" s="2" t="s">
        <v>152</v>
      </c>
      <c r="M725" s="2" t="s">
        <v>158</v>
      </c>
      <c r="N725" s="2" t="str">
        <f>HYPERLINK("https://klocwork.dal.design.ti.com:443/review/insight-review.html#issuedetails_goto:problemid=13423,project=MCUSW_J7_KW_FULL,searchquery=taxonomy:'' build:RS-2022-10-06_06-07-58 grouping:off module:CddIpc","KW Issue Link")</f>
        <v>KW Issue Link</v>
      </c>
      <c r="O725" s="2" t="s">
        <v>320</v>
      </c>
      <c r="P725" s="2" t="s">
        <v>321</v>
      </c>
      <c r="Q725" s="2" t="s">
        <v>161</v>
      </c>
      <c r="R725" s="2" t="s">
        <v>322</v>
      </c>
      <c r="S725" s="2" t="s">
        <v>154</v>
      </c>
      <c r="T725" s="2"/>
    </row>
    <row r="726" spans="1:20" ht="120" x14ac:dyDescent="0.25">
      <c r="A726" s="2" t="s">
        <v>400</v>
      </c>
      <c r="B726" s="2" t="s">
        <v>401</v>
      </c>
      <c r="C726" s="2" t="s">
        <v>304</v>
      </c>
      <c r="D726" s="2">
        <v>13424</v>
      </c>
      <c r="E726" s="2">
        <v>435</v>
      </c>
      <c r="F726" s="2" t="s">
        <v>405</v>
      </c>
      <c r="G726" s="2" t="s">
        <v>335</v>
      </c>
      <c r="H726" s="2" t="s">
        <v>150</v>
      </c>
      <c r="I726" s="2" t="s">
        <v>88</v>
      </c>
      <c r="J726" s="2">
        <v>6</v>
      </c>
      <c r="K726" s="2" t="s">
        <v>151</v>
      </c>
      <c r="L726" s="2" t="s">
        <v>152</v>
      </c>
      <c r="M726" s="2" t="s">
        <v>158</v>
      </c>
      <c r="N726" s="2" t="str">
        <f>HYPERLINK("https://klocwork.dal.design.ti.com:443/review/insight-review.html#issuedetails_goto:problemid=13424,project=MCUSW_J7_KW_FULL,searchquery=taxonomy:'' build:RS-2022-10-06_06-07-58 grouping:off module:CddIpc","KW Issue Link")</f>
        <v>KW Issue Link</v>
      </c>
      <c r="O726" s="2" t="s">
        <v>403</v>
      </c>
      <c r="P726" s="2" t="s">
        <v>267</v>
      </c>
      <c r="Q726" s="2" t="s">
        <v>161</v>
      </c>
      <c r="R726" s="2" t="s">
        <v>404</v>
      </c>
      <c r="S726" s="2" t="s">
        <v>154</v>
      </c>
      <c r="T726" s="2"/>
    </row>
    <row r="727" spans="1:20" ht="105" x14ac:dyDescent="0.25">
      <c r="A727" s="2" t="s">
        <v>316</v>
      </c>
      <c r="B727" s="2" t="s">
        <v>317</v>
      </c>
      <c r="C727" s="2" t="s">
        <v>147</v>
      </c>
      <c r="D727" s="2">
        <v>13429</v>
      </c>
      <c r="E727" s="2">
        <v>488</v>
      </c>
      <c r="F727" s="2" t="s">
        <v>689</v>
      </c>
      <c r="G727" s="2" t="s">
        <v>170</v>
      </c>
      <c r="H727" s="2" t="s">
        <v>150</v>
      </c>
      <c r="I727" s="2" t="s">
        <v>89</v>
      </c>
      <c r="J727" s="2">
        <v>7</v>
      </c>
      <c r="K727" s="2" t="s">
        <v>151</v>
      </c>
      <c r="L727" s="2" t="s">
        <v>152</v>
      </c>
      <c r="M727" s="2" t="s">
        <v>158</v>
      </c>
      <c r="N727" s="2" t="str">
        <f>HYPERLINK("https://klocwork.dal.design.ti.com:443/review/insight-review.html#issuedetails_goto:problemid=13429,project=MCUSW_J7_KW_FULL,searchquery=taxonomy:'' build:RS-2022-10-06_06-07-58 grouping:off module:CddIpc","KW Issue Link")</f>
        <v>KW Issue Link</v>
      </c>
      <c r="O727" s="2" t="s">
        <v>320</v>
      </c>
      <c r="P727" s="2" t="s">
        <v>321</v>
      </c>
      <c r="Q727" s="2" t="s">
        <v>161</v>
      </c>
      <c r="R727" s="2" t="s">
        <v>322</v>
      </c>
      <c r="S727" s="2" t="s">
        <v>154</v>
      </c>
      <c r="T727" s="2"/>
    </row>
    <row r="728" spans="1:20" ht="120" x14ac:dyDescent="0.25">
      <c r="A728" s="2" t="s">
        <v>269</v>
      </c>
      <c r="B728" s="2" t="s">
        <v>270</v>
      </c>
      <c r="C728" s="2" t="s">
        <v>570</v>
      </c>
      <c r="D728" s="2">
        <v>13433</v>
      </c>
      <c r="E728" s="2">
        <v>240</v>
      </c>
      <c r="F728" s="2" t="s">
        <v>743</v>
      </c>
      <c r="G728" s="2" t="s">
        <v>617</v>
      </c>
      <c r="H728" s="2" t="s">
        <v>150</v>
      </c>
      <c r="I728" s="2" t="s">
        <v>123</v>
      </c>
      <c r="J728" s="2">
        <v>4</v>
      </c>
      <c r="K728" s="2" t="s">
        <v>151</v>
      </c>
      <c r="L728" s="2" t="s">
        <v>152</v>
      </c>
      <c r="M728" s="2" t="s">
        <v>153</v>
      </c>
      <c r="N728" s="2" t="str">
        <f>HYPERLINK("https://klocwork.dal.design.ti.com:443/review/insight-review.html#issuedetails_goto:problemid=13433,project=MCUSW_J7_KW_FULL,searchquery=taxonomy:'' build:RS-2022-10-06_06-07-58 grouping:off module:CddIpc","KW Issue Link")</f>
        <v>KW Issue Link</v>
      </c>
      <c r="O728" s="2"/>
      <c r="P728" s="2"/>
      <c r="Q728" s="2"/>
      <c r="R728" s="2"/>
      <c r="S728" s="2" t="s">
        <v>154</v>
      </c>
      <c r="T728" s="2"/>
    </row>
    <row r="729" spans="1:20" ht="120" x14ac:dyDescent="0.25">
      <c r="A729" s="2" t="s">
        <v>269</v>
      </c>
      <c r="B729" s="2" t="s">
        <v>270</v>
      </c>
      <c r="C729" s="2" t="s">
        <v>570</v>
      </c>
      <c r="D729" s="2">
        <v>13434</v>
      </c>
      <c r="E729" s="2">
        <v>270</v>
      </c>
      <c r="F729" s="2" t="s">
        <v>743</v>
      </c>
      <c r="G729" s="2" t="s">
        <v>618</v>
      </c>
      <c r="H729" s="2" t="s">
        <v>150</v>
      </c>
      <c r="I729" s="2" t="s">
        <v>123</v>
      </c>
      <c r="J729" s="2">
        <v>4</v>
      </c>
      <c r="K729" s="2" t="s">
        <v>151</v>
      </c>
      <c r="L729" s="2" t="s">
        <v>152</v>
      </c>
      <c r="M729" s="2" t="s">
        <v>153</v>
      </c>
      <c r="N729" s="2" t="str">
        <f>HYPERLINK("https://klocwork.dal.design.ti.com:443/review/insight-review.html#issuedetails_goto:problemid=13434,project=MCUSW_J7_KW_FULL,searchquery=taxonomy:'' build:RS-2022-10-06_06-07-58 grouping:off module:CddIpc","KW Issue Link")</f>
        <v>KW Issue Link</v>
      </c>
      <c r="O729" s="2"/>
      <c r="P729" s="2"/>
      <c r="Q729" s="2"/>
      <c r="R729" s="2"/>
      <c r="S729" s="2" t="s">
        <v>154</v>
      </c>
      <c r="T729" s="2"/>
    </row>
    <row r="730" spans="1:20" ht="120" x14ac:dyDescent="0.25">
      <c r="A730" s="2" t="s">
        <v>206</v>
      </c>
      <c r="B730" s="2" t="s">
        <v>744</v>
      </c>
      <c r="C730" s="2" t="s">
        <v>570</v>
      </c>
      <c r="D730" s="2">
        <v>13435</v>
      </c>
      <c r="E730" s="2">
        <v>225</v>
      </c>
      <c r="F730" s="2" t="s">
        <v>745</v>
      </c>
      <c r="G730" s="2" t="s">
        <v>617</v>
      </c>
      <c r="H730" s="2" t="s">
        <v>150</v>
      </c>
      <c r="I730" s="2" t="s">
        <v>88</v>
      </c>
      <c r="J730" s="2">
        <v>6</v>
      </c>
      <c r="K730" s="2" t="s">
        <v>151</v>
      </c>
      <c r="L730" s="2" t="s">
        <v>746</v>
      </c>
      <c r="M730" s="2" t="s">
        <v>158</v>
      </c>
      <c r="N730" s="2" t="str">
        <f>HYPERLINK("https://klocwork.dal.design.ti.com:443/review/insight-review.html#issuedetails_goto:problemid=13435,project=MCUSW_J7_KW_FULL,searchquery=taxonomy:'' build:RS-2022-10-06_06-07-58 grouping:off module:CddIpc","KW Issue Link")</f>
        <v>KW Issue Link</v>
      </c>
      <c r="O730" s="2" t="s">
        <v>209</v>
      </c>
      <c r="P730" s="2" t="s">
        <v>210</v>
      </c>
      <c r="Q730" s="2" t="s">
        <v>211</v>
      </c>
      <c r="R730" s="2" t="s">
        <v>212</v>
      </c>
      <c r="S730" s="2" t="s">
        <v>154</v>
      </c>
      <c r="T730" s="2"/>
    </row>
    <row r="731" spans="1:20" ht="120" x14ac:dyDescent="0.25">
      <c r="A731" s="2" t="s">
        <v>206</v>
      </c>
      <c r="B731" s="2" t="s">
        <v>744</v>
      </c>
      <c r="C731" s="2" t="s">
        <v>570</v>
      </c>
      <c r="D731" s="2">
        <v>13436</v>
      </c>
      <c r="E731" s="2">
        <v>244</v>
      </c>
      <c r="F731" s="2" t="s">
        <v>747</v>
      </c>
      <c r="G731" s="2" t="s">
        <v>617</v>
      </c>
      <c r="H731" s="2" t="s">
        <v>150</v>
      </c>
      <c r="I731" s="2" t="s">
        <v>88</v>
      </c>
      <c r="J731" s="2">
        <v>6</v>
      </c>
      <c r="K731" s="2" t="s">
        <v>151</v>
      </c>
      <c r="L731" s="2" t="s">
        <v>746</v>
      </c>
      <c r="M731" s="2" t="s">
        <v>158</v>
      </c>
      <c r="N731" s="2" t="str">
        <f>HYPERLINK("https://klocwork.dal.design.ti.com:443/review/insight-review.html#issuedetails_goto:problemid=13436,project=MCUSW_J7_KW_FULL,searchquery=taxonomy:'' build:RS-2022-10-06_06-07-58 grouping:off module:CddIpc","KW Issue Link")</f>
        <v>KW Issue Link</v>
      </c>
      <c r="O731" s="2" t="s">
        <v>209</v>
      </c>
      <c r="P731" s="2" t="s">
        <v>210</v>
      </c>
      <c r="Q731" s="2" t="s">
        <v>211</v>
      </c>
      <c r="R731" s="2" t="s">
        <v>212</v>
      </c>
      <c r="S731" s="2" t="s">
        <v>154</v>
      </c>
      <c r="T731" s="2"/>
    </row>
    <row r="732" spans="1:20" ht="120" x14ac:dyDescent="0.25">
      <c r="A732" s="2" t="s">
        <v>206</v>
      </c>
      <c r="B732" s="2" t="s">
        <v>744</v>
      </c>
      <c r="C732" s="2" t="s">
        <v>570</v>
      </c>
      <c r="D732" s="2">
        <v>13437</v>
      </c>
      <c r="E732" s="2">
        <v>255</v>
      </c>
      <c r="F732" s="2" t="s">
        <v>745</v>
      </c>
      <c r="G732" s="2" t="s">
        <v>618</v>
      </c>
      <c r="H732" s="2" t="s">
        <v>150</v>
      </c>
      <c r="I732" s="2" t="s">
        <v>88</v>
      </c>
      <c r="J732" s="2">
        <v>6</v>
      </c>
      <c r="K732" s="2" t="s">
        <v>151</v>
      </c>
      <c r="L732" s="2" t="s">
        <v>746</v>
      </c>
      <c r="M732" s="2" t="s">
        <v>158</v>
      </c>
      <c r="N732" s="2" t="str">
        <f>HYPERLINK("https://klocwork.dal.design.ti.com:443/review/insight-review.html#issuedetails_goto:problemid=13437,project=MCUSW_J7_KW_FULL,searchquery=taxonomy:'' build:RS-2022-10-06_06-07-58 grouping:off module:CddIpc","KW Issue Link")</f>
        <v>KW Issue Link</v>
      </c>
      <c r="O732" s="2" t="s">
        <v>209</v>
      </c>
      <c r="P732" s="2" t="s">
        <v>210</v>
      </c>
      <c r="Q732" s="2" t="s">
        <v>211</v>
      </c>
      <c r="R732" s="2" t="s">
        <v>212</v>
      </c>
      <c r="S732" s="2" t="s">
        <v>154</v>
      </c>
      <c r="T732" s="2"/>
    </row>
    <row r="733" spans="1:20" ht="120" x14ac:dyDescent="0.25">
      <c r="A733" s="2" t="s">
        <v>206</v>
      </c>
      <c r="B733" s="2" t="s">
        <v>744</v>
      </c>
      <c r="C733" s="2" t="s">
        <v>570</v>
      </c>
      <c r="D733" s="2">
        <v>13438</v>
      </c>
      <c r="E733" s="2">
        <v>274</v>
      </c>
      <c r="F733" s="2" t="s">
        <v>747</v>
      </c>
      <c r="G733" s="2" t="s">
        <v>618</v>
      </c>
      <c r="H733" s="2" t="s">
        <v>150</v>
      </c>
      <c r="I733" s="2" t="s">
        <v>88</v>
      </c>
      <c r="J733" s="2">
        <v>6</v>
      </c>
      <c r="K733" s="2" t="s">
        <v>151</v>
      </c>
      <c r="L733" s="2" t="s">
        <v>746</v>
      </c>
      <c r="M733" s="2" t="s">
        <v>158</v>
      </c>
      <c r="N733" s="2" t="str">
        <f>HYPERLINK("https://klocwork.dal.design.ti.com:443/review/insight-review.html#issuedetails_goto:problemid=13438,project=MCUSW_J7_KW_FULL,searchquery=taxonomy:'' build:RS-2022-10-06_06-07-58 grouping:off module:CddIpc","KW Issue Link")</f>
        <v>KW Issue Link</v>
      </c>
      <c r="O733" s="2" t="s">
        <v>209</v>
      </c>
      <c r="P733" s="2" t="s">
        <v>210</v>
      </c>
      <c r="Q733" s="2" t="s">
        <v>211</v>
      </c>
      <c r="R733" s="2" t="s">
        <v>212</v>
      </c>
      <c r="S733" s="2" t="s">
        <v>154</v>
      </c>
      <c r="T733" s="2"/>
    </row>
    <row r="734" spans="1:20" ht="120" x14ac:dyDescent="0.25">
      <c r="A734" s="2" t="s">
        <v>662</v>
      </c>
      <c r="B734" s="2" t="s">
        <v>663</v>
      </c>
      <c r="C734" s="2" t="s">
        <v>570</v>
      </c>
      <c r="D734" s="2">
        <v>13439</v>
      </c>
      <c r="E734" s="2">
        <v>244</v>
      </c>
      <c r="F734" s="2" t="s">
        <v>748</v>
      </c>
      <c r="G734" s="2" t="s">
        <v>617</v>
      </c>
      <c r="H734" s="2" t="s">
        <v>150</v>
      </c>
      <c r="I734" s="2" t="s">
        <v>123</v>
      </c>
      <c r="J734" s="2">
        <v>4</v>
      </c>
      <c r="K734" s="2" t="s">
        <v>151</v>
      </c>
      <c r="L734" s="2" t="s">
        <v>152</v>
      </c>
      <c r="M734" s="2" t="s">
        <v>153</v>
      </c>
      <c r="N734" s="2" t="str">
        <f>HYPERLINK("https://klocwork.dal.design.ti.com:443/review/insight-review.html#issuedetails_goto:problemid=13439,project=MCUSW_J7_KW_FULL,searchquery=taxonomy:'' build:RS-2022-10-06_06-07-58 grouping:off module:CddIpc","KW Issue Link")</f>
        <v>KW Issue Link</v>
      </c>
      <c r="O734" s="2"/>
      <c r="P734" s="2"/>
      <c r="Q734" s="2"/>
      <c r="R734" s="2"/>
      <c r="S734" s="2" t="s">
        <v>154</v>
      </c>
      <c r="T734" s="2"/>
    </row>
    <row r="735" spans="1:20" ht="120" x14ac:dyDescent="0.25">
      <c r="A735" s="2" t="s">
        <v>662</v>
      </c>
      <c r="B735" s="2" t="s">
        <v>663</v>
      </c>
      <c r="C735" s="2" t="s">
        <v>570</v>
      </c>
      <c r="D735" s="2">
        <v>13440</v>
      </c>
      <c r="E735" s="2">
        <v>274</v>
      </c>
      <c r="F735" s="2" t="s">
        <v>749</v>
      </c>
      <c r="G735" s="2" t="s">
        <v>618</v>
      </c>
      <c r="H735" s="2" t="s">
        <v>150</v>
      </c>
      <c r="I735" s="2" t="s">
        <v>123</v>
      </c>
      <c r="J735" s="2">
        <v>4</v>
      </c>
      <c r="K735" s="2" t="s">
        <v>151</v>
      </c>
      <c r="L735" s="2" t="s">
        <v>152</v>
      </c>
      <c r="M735" s="2" t="s">
        <v>153</v>
      </c>
      <c r="N735" s="2" t="str">
        <f>HYPERLINK("https://klocwork.dal.design.ti.com:443/review/insight-review.html#issuedetails_goto:problemid=13440,project=MCUSW_J7_KW_FULL,searchquery=taxonomy:'' build:RS-2022-10-06_06-07-58 grouping:off module:CddIpc","KW Issue Link")</f>
        <v>KW Issue Link</v>
      </c>
      <c r="O735" s="2"/>
      <c r="P735" s="2"/>
      <c r="Q735" s="2"/>
      <c r="R735" s="2"/>
      <c r="S735" s="2" t="s">
        <v>154</v>
      </c>
      <c r="T735" s="2"/>
    </row>
    <row r="736" spans="1:20" ht="120" x14ac:dyDescent="0.25">
      <c r="A736" s="2" t="s">
        <v>269</v>
      </c>
      <c r="B736" s="2" t="s">
        <v>270</v>
      </c>
      <c r="C736" s="2" t="s">
        <v>304</v>
      </c>
      <c r="D736" s="2">
        <v>13463</v>
      </c>
      <c r="E736" s="2">
        <v>510</v>
      </c>
      <c r="F736" s="2" t="s">
        <v>750</v>
      </c>
      <c r="G736" s="2" t="s">
        <v>339</v>
      </c>
      <c r="H736" s="2" t="s">
        <v>150</v>
      </c>
      <c r="I736" s="2" t="s">
        <v>123</v>
      </c>
      <c r="J736" s="2">
        <v>4</v>
      </c>
      <c r="K736" s="2" t="s">
        <v>151</v>
      </c>
      <c r="L736" s="2" t="s">
        <v>152</v>
      </c>
      <c r="M736" s="2" t="s">
        <v>153</v>
      </c>
      <c r="N736" s="2" t="str">
        <f>HYPERLINK("https://klocwork.dal.design.ti.com:443/review/insight-review.html#issuedetails_goto:problemid=13463,project=MCUSW_J7_KW_FULL,searchquery=taxonomy:'' build:RS-2022-10-06_06-07-58 grouping:off module:CddIpc","KW Issue Link")</f>
        <v>KW Issue Link</v>
      </c>
      <c r="O736" s="2"/>
      <c r="P736" s="2"/>
      <c r="Q736" s="2"/>
      <c r="R736" s="2"/>
      <c r="S736" s="2" t="s">
        <v>154</v>
      </c>
      <c r="T736" s="2"/>
    </row>
    <row r="737" spans="1:20" ht="120" x14ac:dyDescent="0.25">
      <c r="A737" s="2" t="s">
        <v>269</v>
      </c>
      <c r="B737" s="2" t="s">
        <v>270</v>
      </c>
      <c r="C737" s="2" t="s">
        <v>304</v>
      </c>
      <c r="D737" s="2">
        <v>13464</v>
      </c>
      <c r="E737" s="2">
        <v>712</v>
      </c>
      <c r="F737" s="2" t="s">
        <v>750</v>
      </c>
      <c r="G737" s="2" t="s">
        <v>369</v>
      </c>
      <c r="H737" s="2" t="s">
        <v>150</v>
      </c>
      <c r="I737" s="2" t="s">
        <v>123</v>
      </c>
      <c r="J737" s="2">
        <v>4</v>
      </c>
      <c r="K737" s="2" t="s">
        <v>151</v>
      </c>
      <c r="L737" s="2" t="s">
        <v>152</v>
      </c>
      <c r="M737" s="2" t="s">
        <v>153</v>
      </c>
      <c r="N737" s="2" t="str">
        <f>HYPERLINK("https://klocwork.dal.design.ti.com:443/review/insight-review.html#issuedetails_goto:problemid=13464,project=MCUSW_J7_KW_FULL,searchquery=taxonomy:'' build:RS-2022-10-06_06-07-58 grouping:off module:CddIpc","KW Issue Link")</f>
        <v>KW Issue Link</v>
      </c>
      <c r="O737" s="2"/>
      <c r="P737" s="2"/>
      <c r="Q737" s="2"/>
      <c r="R737" s="2"/>
      <c r="S737" s="2" t="s">
        <v>154</v>
      </c>
      <c r="T737" s="2"/>
    </row>
    <row r="738" spans="1:20" ht="120" x14ac:dyDescent="0.25">
      <c r="A738" s="2" t="s">
        <v>196</v>
      </c>
      <c r="B738" s="2" t="s">
        <v>270</v>
      </c>
      <c r="C738" s="2" t="s">
        <v>304</v>
      </c>
      <c r="D738" s="2">
        <v>13465</v>
      </c>
      <c r="E738" s="2">
        <v>510</v>
      </c>
      <c r="F738" s="2" t="s">
        <v>751</v>
      </c>
      <c r="G738" s="2" t="s">
        <v>339</v>
      </c>
      <c r="H738" s="2" t="s">
        <v>150</v>
      </c>
      <c r="I738" s="2" t="s">
        <v>123</v>
      </c>
      <c r="J738" s="2">
        <v>4</v>
      </c>
      <c r="K738" s="2" t="s">
        <v>151</v>
      </c>
      <c r="L738" s="2" t="s">
        <v>152</v>
      </c>
      <c r="M738" s="2" t="s">
        <v>153</v>
      </c>
      <c r="N738" s="2" t="str">
        <f>HYPERLINK("https://klocwork.dal.design.ti.com:443/review/insight-review.html#issuedetails_goto:problemid=13465,project=MCUSW_J7_KW_FULL,searchquery=taxonomy:'' build:RS-2022-10-06_06-07-58 grouping:off module:CddIpc","KW Issue Link")</f>
        <v>KW Issue Link</v>
      </c>
      <c r="O738" s="2"/>
      <c r="P738" s="2"/>
      <c r="Q738" s="2"/>
      <c r="R738" s="2"/>
      <c r="S738" s="2" t="s">
        <v>154</v>
      </c>
      <c r="T738" s="2"/>
    </row>
    <row r="739" spans="1:20" ht="120" x14ac:dyDescent="0.25">
      <c r="A739" s="2" t="s">
        <v>196</v>
      </c>
      <c r="B739" s="2" t="s">
        <v>270</v>
      </c>
      <c r="C739" s="2" t="s">
        <v>304</v>
      </c>
      <c r="D739" s="2">
        <v>13466</v>
      </c>
      <c r="E739" s="2">
        <v>712</v>
      </c>
      <c r="F739" s="2" t="s">
        <v>751</v>
      </c>
      <c r="G739" s="2" t="s">
        <v>369</v>
      </c>
      <c r="H739" s="2" t="s">
        <v>150</v>
      </c>
      <c r="I739" s="2" t="s">
        <v>123</v>
      </c>
      <c r="J739" s="2">
        <v>4</v>
      </c>
      <c r="K739" s="2" t="s">
        <v>151</v>
      </c>
      <c r="L739" s="2" t="s">
        <v>152</v>
      </c>
      <c r="M739" s="2" t="s">
        <v>153</v>
      </c>
      <c r="N739" s="2" t="str">
        <f>HYPERLINK("https://klocwork.dal.design.ti.com:443/review/insight-review.html#issuedetails_goto:problemid=13466,project=MCUSW_J7_KW_FULL,searchquery=taxonomy:'' build:RS-2022-10-06_06-07-58 grouping:off module:CddIpc","KW Issue Link")</f>
        <v>KW Issue Link</v>
      </c>
      <c r="O739" s="2"/>
      <c r="P739" s="2"/>
      <c r="Q739" s="2"/>
      <c r="R739" s="2"/>
      <c r="S739" s="2" t="s">
        <v>154</v>
      </c>
      <c r="T739" s="2"/>
    </row>
    <row r="740" spans="1:20" ht="120" x14ac:dyDescent="0.25">
      <c r="A740" s="2" t="s">
        <v>499</v>
      </c>
      <c r="B740" s="2" t="s">
        <v>752</v>
      </c>
      <c r="C740" s="2" t="s">
        <v>304</v>
      </c>
      <c r="D740" s="2">
        <v>13470</v>
      </c>
      <c r="E740" s="2">
        <v>511</v>
      </c>
      <c r="F740" s="2" t="s">
        <v>753</v>
      </c>
      <c r="G740" s="2" t="s">
        <v>339</v>
      </c>
      <c r="H740" s="2" t="s">
        <v>150</v>
      </c>
      <c r="I740" s="2" t="s">
        <v>88</v>
      </c>
      <c r="J740" s="2">
        <v>6</v>
      </c>
      <c r="K740" s="2" t="s">
        <v>151</v>
      </c>
      <c r="L740" s="2" t="s">
        <v>746</v>
      </c>
      <c r="M740" s="2" t="s">
        <v>153</v>
      </c>
      <c r="N740" s="2" t="str">
        <f>HYPERLINK("https://klocwork.dal.design.ti.com:443/review/insight-review.html#issuedetails_goto:problemid=13470,project=MCUSW_J7_KW_FULL,searchquery=taxonomy:'' build:RS-2022-10-06_06-07-58 grouping:off module:CddIpc","KW Issue Link")</f>
        <v>KW Issue Link</v>
      </c>
      <c r="O740" s="2" t="s">
        <v>502</v>
      </c>
      <c r="P740" s="2" t="s">
        <v>281</v>
      </c>
      <c r="Q740" s="2" t="s">
        <v>219</v>
      </c>
      <c r="R740" s="2" t="s">
        <v>282</v>
      </c>
      <c r="S740" s="2" t="s">
        <v>154</v>
      </c>
      <c r="T740" s="2"/>
    </row>
    <row r="741" spans="1:20" ht="120" x14ac:dyDescent="0.25">
      <c r="A741" s="2" t="s">
        <v>499</v>
      </c>
      <c r="B741" s="2" t="s">
        <v>752</v>
      </c>
      <c r="C741" s="2" t="s">
        <v>304</v>
      </c>
      <c r="D741" s="2">
        <v>13471</v>
      </c>
      <c r="E741" s="2">
        <v>713</v>
      </c>
      <c r="F741" s="2" t="s">
        <v>753</v>
      </c>
      <c r="G741" s="2" t="s">
        <v>369</v>
      </c>
      <c r="H741" s="2" t="s">
        <v>150</v>
      </c>
      <c r="I741" s="2" t="s">
        <v>88</v>
      </c>
      <c r="J741" s="2">
        <v>6</v>
      </c>
      <c r="K741" s="2" t="s">
        <v>151</v>
      </c>
      <c r="L741" s="2" t="s">
        <v>746</v>
      </c>
      <c r="M741" s="2" t="s">
        <v>153</v>
      </c>
      <c r="N741" s="2" t="str">
        <f>HYPERLINK("https://klocwork.dal.design.ti.com:443/review/insight-review.html#issuedetails_goto:problemid=13471,project=MCUSW_J7_KW_FULL,searchquery=taxonomy:'' build:RS-2022-10-06_06-07-58 grouping:off module:CddIpc","KW Issue Link")</f>
        <v>KW Issue Link</v>
      </c>
      <c r="O741" s="2" t="s">
        <v>502</v>
      </c>
      <c r="P741" s="2" t="s">
        <v>281</v>
      </c>
      <c r="Q741" s="2" t="s">
        <v>219</v>
      </c>
      <c r="R741" s="2" t="s">
        <v>282</v>
      </c>
      <c r="S741" s="2" t="s">
        <v>154</v>
      </c>
      <c r="T741" s="2"/>
    </row>
    <row r="742" spans="1:20" ht="120" x14ac:dyDescent="0.25">
      <c r="A742" s="2" t="s">
        <v>196</v>
      </c>
      <c r="B742" s="2" t="s">
        <v>270</v>
      </c>
      <c r="C742" s="2" t="s">
        <v>508</v>
      </c>
      <c r="D742" s="2">
        <v>13475</v>
      </c>
      <c r="E742" s="2">
        <v>125</v>
      </c>
      <c r="F742" s="2" t="s">
        <v>751</v>
      </c>
      <c r="G742" s="2" t="s">
        <v>513</v>
      </c>
      <c r="H742" s="2" t="s">
        <v>150</v>
      </c>
      <c r="I742" s="2" t="s">
        <v>123</v>
      </c>
      <c r="J742" s="2">
        <v>4</v>
      </c>
      <c r="K742" s="2" t="s">
        <v>151</v>
      </c>
      <c r="L742" s="2" t="s">
        <v>152</v>
      </c>
      <c r="M742" s="2" t="s">
        <v>153</v>
      </c>
      <c r="N742" s="2" t="str">
        <f>HYPERLINK("https://klocwork.dal.design.ti.com:443/review/insight-review.html#issuedetails_goto:problemid=13475,project=MCUSW_J7_KW_FULL,searchquery=taxonomy:'' build:RS-2022-10-06_06-07-58 grouping:off module:CddIpc","KW Issue Link")</f>
        <v>KW Issue Link</v>
      </c>
      <c r="O742" s="2"/>
      <c r="P742" s="2"/>
      <c r="Q742" s="2"/>
      <c r="R742" s="2"/>
      <c r="S742" s="2" t="s">
        <v>154</v>
      </c>
      <c r="T742" s="2"/>
    </row>
    <row r="743" spans="1:20" ht="120" x14ac:dyDescent="0.25">
      <c r="A743" s="2" t="s">
        <v>754</v>
      </c>
      <c r="B743" s="2" t="s">
        <v>755</v>
      </c>
      <c r="C743" s="2" t="s">
        <v>526</v>
      </c>
      <c r="D743" s="2">
        <v>13516</v>
      </c>
      <c r="E743" s="2">
        <v>330</v>
      </c>
      <c r="F743" s="2" t="s">
        <v>756</v>
      </c>
      <c r="G743" s="2" t="s">
        <v>757</v>
      </c>
      <c r="H743" s="2" t="s">
        <v>150</v>
      </c>
      <c r="I743" s="2" t="s">
        <v>89</v>
      </c>
      <c r="J743" s="2">
        <v>7</v>
      </c>
      <c r="K743" s="2" t="s">
        <v>151</v>
      </c>
      <c r="L743" s="2" t="s">
        <v>152</v>
      </c>
      <c r="M743" s="2" t="s">
        <v>158</v>
      </c>
      <c r="N743" s="2" t="str">
        <f>HYPERLINK("https://klocwork.dal.design.ti.com:443/review/insight-review.html#issuedetails_goto:problemid=13516,project=MCUSW_J7_KW_FULL,searchquery=taxonomy:'' build:RS-2022-10-06_06-07-58 grouping:off module:CddIpc","KW Issue Link")</f>
        <v>KW Issue Link</v>
      </c>
      <c r="O743" s="2" t="s">
        <v>758</v>
      </c>
      <c r="P743" s="2" t="s">
        <v>160</v>
      </c>
      <c r="Q743" s="2" t="s">
        <v>161</v>
      </c>
      <c r="R743" s="2" t="s">
        <v>759</v>
      </c>
      <c r="S743" s="2" t="s">
        <v>154</v>
      </c>
      <c r="T743" s="2"/>
    </row>
    <row r="744" spans="1:20" ht="120" x14ac:dyDescent="0.25">
      <c r="A744" s="2" t="s">
        <v>754</v>
      </c>
      <c r="B744" s="2" t="s">
        <v>755</v>
      </c>
      <c r="C744" s="2" t="s">
        <v>760</v>
      </c>
      <c r="D744" s="2">
        <v>13519</v>
      </c>
      <c r="E744" s="2">
        <v>279</v>
      </c>
      <c r="F744" s="2" t="s">
        <v>756</v>
      </c>
      <c r="G744" s="2" t="s">
        <v>761</v>
      </c>
      <c r="H744" s="2" t="s">
        <v>150</v>
      </c>
      <c r="I744" s="2" t="s">
        <v>89</v>
      </c>
      <c r="J744" s="2">
        <v>7</v>
      </c>
      <c r="K744" s="2" t="s">
        <v>151</v>
      </c>
      <c r="L744" s="2" t="s">
        <v>152</v>
      </c>
      <c r="M744" s="2" t="s">
        <v>158</v>
      </c>
      <c r="N744" s="2" t="str">
        <f>HYPERLINK("https://klocwork.dal.design.ti.com:443/review/insight-review.html#issuedetails_goto:problemid=13519,project=MCUSW_J7_KW_FULL,searchquery=taxonomy:'' build:RS-2022-10-06_06-07-58 grouping:off module:CddIpc","KW Issue Link")</f>
        <v>KW Issue Link</v>
      </c>
      <c r="O744" s="2" t="s">
        <v>758</v>
      </c>
      <c r="P744" s="2" t="s">
        <v>160</v>
      </c>
      <c r="Q744" s="2" t="s">
        <v>161</v>
      </c>
      <c r="R744" s="2" t="s">
        <v>759</v>
      </c>
      <c r="S744" s="2" t="s">
        <v>154</v>
      </c>
      <c r="T744" s="2"/>
    </row>
    <row r="745" spans="1:20" ht="120" x14ac:dyDescent="0.25">
      <c r="A745" s="2" t="s">
        <v>246</v>
      </c>
      <c r="B745" s="2" t="s">
        <v>247</v>
      </c>
      <c r="C745" s="2" t="s">
        <v>526</v>
      </c>
      <c r="D745" s="2">
        <v>13527</v>
      </c>
      <c r="E745" s="2">
        <v>335</v>
      </c>
      <c r="F745" s="2" t="s">
        <v>762</v>
      </c>
      <c r="G745" s="2" t="s">
        <v>757</v>
      </c>
      <c r="H745" s="2" t="s">
        <v>150</v>
      </c>
      <c r="I745" s="2" t="s">
        <v>123</v>
      </c>
      <c r="J745" s="2">
        <v>4</v>
      </c>
      <c r="K745" s="2" t="s">
        <v>151</v>
      </c>
      <c r="L745" s="2" t="s">
        <v>152</v>
      </c>
      <c r="M745" s="2" t="s">
        <v>153</v>
      </c>
      <c r="N745" s="2" t="str">
        <f>HYPERLINK("https://klocwork.dal.design.ti.com:443/review/insight-review.html#issuedetails_goto:problemid=13527,project=MCUSW_J7_KW_FULL,searchquery=taxonomy:'' build:RS-2022-10-06_06-07-58 grouping:off module:CddIpc","KW Issue Link")</f>
        <v>KW Issue Link</v>
      </c>
      <c r="O745" s="2"/>
      <c r="P745" s="2"/>
      <c r="Q745" s="2"/>
      <c r="R745" s="2"/>
      <c r="S745" s="2" t="s">
        <v>154</v>
      </c>
      <c r="T745" s="2"/>
    </row>
    <row r="746" spans="1:20" ht="120" x14ac:dyDescent="0.25">
      <c r="A746" s="2" t="s">
        <v>499</v>
      </c>
      <c r="B746" s="2" t="s">
        <v>752</v>
      </c>
      <c r="C746" s="2" t="s">
        <v>570</v>
      </c>
      <c r="D746" s="2">
        <v>13529</v>
      </c>
      <c r="E746" s="2">
        <v>572</v>
      </c>
      <c r="F746" s="2" t="s">
        <v>763</v>
      </c>
      <c r="G746" s="2" t="s">
        <v>670</v>
      </c>
      <c r="H746" s="2" t="s">
        <v>150</v>
      </c>
      <c r="I746" s="2" t="s">
        <v>88</v>
      </c>
      <c r="J746" s="2">
        <v>6</v>
      </c>
      <c r="K746" s="2" t="s">
        <v>151</v>
      </c>
      <c r="L746" s="2" t="s">
        <v>746</v>
      </c>
      <c r="M746" s="2" t="s">
        <v>153</v>
      </c>
      <c r="N746" s="2" t="str">
        <f>HYPERLINK("https://klocwork.dal.design.ti.com:443/review/insight-review.html#issuedetails_goto:problemid=13529,project=MCUSW_J7_KW_FULL,searchquery=taxonomy:'' build:RS-2022-10-06_06-07-58 grouping:off module:CddIpc","KW Issue Link")</f>
        <v>KW Issue Link</v>
      </c>
      <c r="O746" s="2" t="s">
        <v>502</v>
      </c>
      <c r="P746" s="2" t="s">
        <v>281</v>
      </c>
      <c r="Q746" s="2" t="s">
        <v>219</v>
      </c>
      <c r="R746" s="2" t="s">
        <v>282</v>
      </c>
      <c r="S746" s="2" t="s">
        <v>154</v>
      </c>
      <c r="T746" s="2"/>
    </row>
    <row r="747" spans="1:20" ht="120" x14ac:dyDescent="0.25">
      <c r="A747" s="2" t="s">
        <v>499</v>
      </c>
      <c r="B747" s="2" t="s">
        <v>752</v>
      </c>
      <c r="C747" s="2" t="s">
        <v>570</v>
      </c>
      <c r="D747" s="2">
        <v>13532</v>
      </c>
      <c r="E747" s="2">
        <v>572</v>
      </c>
      <c r="F747" s="2" t="s">
        <v>764</v>
      </c>
      <c r="G747" s="2" t="s">
        <v>670</v>
      </c>
      <c r="H747" s="2" t="s">
        <v>150</v>
      </c>
      <c r="I747" s="2" t="s">
        <v>88</v>
      </c>
      <c r="J747" s="2">
        <v>6</v>
      </c>
      <c r="K747" s="2" t="s">
        <v>151</v>
      </c>
      <c r="L747" s="2" t="s">
        <v>746</v>
      </c>
      <c r="M747" s="2" t="s">
        <v>153</v>
      </c>
      <c r="N747" s="2" t="str">
        <f>HYPERLINK("https://klocwork.dal.design.ti.com:443/review/insight-review.html#issuedetails_goto:problemid=13532,project=MCUSW_J7_KW_FULL,searchquery=taxonomy:'' build:RS-2022-10-06_06-07-58 grouping:off module:CddIpc","KW Issue Link")</f>
        <v>KW Issue Link</v>
      </c>
      <c r="O747" s="2" t="s">
        <v>502</v>
      </c>
      <c r="P747" s="2" t="s">
        <v>281</v>
      </c>
      <c r="Q747" s="2" t="s">
        <v>219</v>
      </c>
      <c r="R747" s="2" t="s">
        <v>282</v>
      </c>
      <c r="S747" s="2" t="s">
        <v>154</v>
      </c>
      <c r="T747" s="2"/>
    </row>
    <row r="748" spans="1:20" ht="120" x14ac:dyDescent="0.25">
      <c r="A748" s="2" t="s">
        <v>242</v>
      </c>
      <c r="B748" s="2" t="s">
        <v>243</v>
      </c>
      <c r="C748" s="2" t="s">
        <v>304</v>
      </c>
      <c r="D748" s="2">
        <v>13535</v>
      </c>
      <c r="E748" s="2">
        <v>1253</v>
      </c>
      <c r="F748" s="2" t="s">
        <v>765</v>
      </c>
      <c r="G748" s="2" t="s">
        <v>333</v>
      </c>
      <c r="H748" s="2" t="s">
        <v>150</v>
      </c>
      <c r="I748" s="2" t="s">
        <v>123</v>
      </c>
      <c r="J748" s="2">
        <v>4</v>
      </c>
      <c r="K748" s="2" t="s">
        <v>151</v>
      </c>
      <c r="L748" s="2" t="s">
        <v>152</v>
      </c>
      <c r="M748" s="2" t="s">
        <v>153</v>
      </c>
      <c r="N748" s="2" t="str">
        <f>HYPERLINK("https://klocwork.dal.design.ti.com:443/review/insight-review.html#issuedetails_goto:problemid=13535,project=MCUSW_J7_KW_FULL,searchquery=taxonomy:'' build:RS-2022-10-06_06-07-58 grouping:off module:CddIpc","KW Issue Link")</f>
        <v>KW Issue Link</v>
      </c>
      <c r="O748" s="2"/>
      <c r="P748" s="2"/>
      <c r="Q748" s="2"/>
      <c r="R748" s="2"/>
      <c r="S748" s="2" t="s">
        <v>154</v>
      </c>
      <c r="T748" s="2"/>
    </row>
    <row r="749" spans="1:20" ht="120" x14ac:dyDescent="0.25">
      <c r="A749" s="2" t="s">
        <v>436</v>
      </c>
      <c r="B749" s="2" t="s">
        <v>437</v>
      </c>
      <c r="C749" s="2" t="s">
        <v>526</v>
      </c>
      <c r="D749" s="2">
        <v>13536</v>
      </c>
      <c r="E749" s="2">
        <v>337</v>
      </c>
      <c r="F749" s="2" t="s">
        <v>766</v>
      </c>
      <c r="G749" s="2" t="s">
        <v>757</v>
      </c>
      <c r="H749" s="2" t="s">
        <v>150</v>
      </c>
      <c r="I749" s="2" t="s">
        <v>123</v>
      </c>
      <c r="J749" s="2">
        <v>4</v>
      </c>
      <c r="K749" s="2" t="s">
        <v>151</v>
      </c>
      <c r="L749" s="2" t="s">
        <v>152</v>
      </c>
      <c r="M749" s="2" t="s">
        <v>153</v>
      </c>
      <c r="N749" s="2" t="str">
        <f>HYPERLINK("https://klocwork.dal.design.ti.com:443/review/insight-review.html#issuedetails_goto:problemid=13536,project=MCUSW_J7_KW_FULL,searchquery=taxonomy:'' build:RS-2022-10-06_06-07-58 grouping:off module:CddIpc","KW Issue Link")</f>
        <v>KW Issue Link</v>
      </c>
      <c r="O749" s="2"/>
      <c r="P749" s="2"/>
      <c r="Q749" s="2"/>
      <c r="R749" s="2"/>
      <c r="S749" s="2" t="s">
        <v>154</v>
      </c>
      <c r="T749" s="2"/>
    </row>
    <row r="750" spans="1:20" ht="120" x14ac:dyDescent="0.25">
      <c r="A750" s="2" t="s">
        <v>345</v>
      </c>
      <c r="B750" s="2" t="s">
        <v>704</v>
      </c>
      <c r="C750" s="2" t="s">
        <v>304</v>
      </c>
      <c r="D750" s="2">
        <v>13557</v>
      </c>
      <c r="E750" s="2">
        <v>1191</v>
      </c>
      <c r="F750" s="2" t="s">
        <v>347</v>
      </c>
      <c r="G750" s="2" t="s">
        <v>353</v>
      </c>
      <c r="H750" s="2" t="s">
        <v>150</v>
      </c>
      <c r="I750" s="2" t="s">
        <v>123</v>
      </c>
      <c r="J750" s="2">
        <v>4</v>
      </c>
      <c r="K750" s="2" t="s">
        <v>151</v>
      </c>
      <c r="L750" s="2" t="s">
        <v>152</v>
      </c>
      <c r="M750" s="2" t="s">
        <v>153</v>
      </c>
      <c r="N750" s="2" t="str">
        <f>HYPERLINK("https://klocwork.dal.design.ti.com:443/review/insight-review.html#issuedetails_goto:problemid=13557,project=MCUSW_J7_KW_FULL,searchquery=taxonomy:'' build:RS-2022-10-06_06-07-58 grouping:off module:CddIpc","KW Issue Link")</f>
        <v>KW Issue Link</v>
      </c>
      <c r="O750" s="2"/>
      <c r="P750" s="2"/>
      <c r="Q750" s="2"/>
      <c r="R750" s="2"/>
      <c r="S750" s="2" t="s">
        <v>154</v>
      </c>
      <c r="T750" s="2"/>
    </row>
    <row r="751" spans="1:20" ht="120" x14ac:dyDescent="0.25">
      <c r="A751" s="2" t="s">
        <v>415</v>
      </c>
      <c r="B751" s="2" t="s">
        <v>416</v>
      </c>
      <c r="C751" s="2" t="s">
        <v>304</v>
      </c>
      <c r="D751" s="2">
        <v>13558</v>
      </c>
      <c r="E751" s="2">
        <v>1188</v>
      </c>
      <c r="F751" s="2" t="s">
        <v>767</v>
      </c>
      <c r="G751" s="2" t="s">
        <v>353</v>
      </c>
      <c r="H751" s="2" t="s">
        <v>150</v>
      </c>
      <c r="I751" s="2" t="s">
        <v>88</v>
      </c>
      <c r="J751" s="2">
        <v>6</v>
      </c>
      <c r="K751" s="2" t="s">
        <v>151</v>
      </c>
      <c r="L751" s="2" t="s">
        <v>152</v>
      </c>
      <c r="M751" s="2" t="s">
        <v>158</v>
      </c>
      <c r="N751" s="2" t="str">
        <f>HYPERLINK("https://klocwork.dal.design.ti.com:443/review/insight-review.html#issuedetails_goto:problemid=13558,project=MCUSW_J7_KW_FULL,searchquery=taxonomy:'' build:RS-2022-10-06_06-07-58 grouping:off module:CddIpc","KW Issue Link")</f>
        <v>KW Issue Link</v>
      </c>
      <c r="O751" s="2" t="s">
        <v>418</v>
      </c>
      <c r="P751" s="2" t="s">
        <v>234</v>
      </c>
      <c r="Q751" s="2" t="s">
        <v>161</v>
      </c>
      <c r="R751" s="2" t="s">
        <v>419</v>
      </c>
      <c r="S751" s="2" t="s">
        <v>154</v>
      </c>
      <c r="T751" s="2"/>
    </row>
  </sheetData>
  <autoFilter ref="A1:T751" xr:uid="{00000000-0009-0000-0000-00000A000000}"/>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255"/>
  <sheetViews>
    <sheetView workbookViewId="0"/>
  </sheetViews>
  <sheetFormatPr defaultRowHeight="15" x14ac:dyDescent="0.25"/>
  <cols>
    <col min="1" max="3" width="10" customWidth="1"/>
    <col min="4" max="4" width="24" customWidth="1"/>
    <col min="5" max="5" width="28" customWidth="1"/>
    <col min="6" max="7" width="18" customWidth="1"/>
    <col min="8" max="8" width="24" customWidth="1"/>
    <col min="9" max="9" width="38" customWidth="1"/>
  </cols>
  <sheetData>
    <row r="1" spans="1:9" ht="30" x14ac:dyDescent="0.25">
      <c r="A1" s="13" t="s">
        <v>142</v>
      </c>
      <c r="B1" s="13" t="s">
        <v>63</v>
      </c>
      <c r="C1" s="13" t="s">
        <v>768</v>
      </c>
      <c r="D1" s="13" t="s">
        <v>769</v>
      </c>
      <c r="E1" s="13" t="s">
        <v>770</v>
      </c>
      <c r="F1" s="13" t="s">
        <v>771</v>
      </c>
      <c r="G1" s="13" t="s">
        <v>772</v>
      </c>
      <c r="H1" s="3" t="s">
        <v>139</v>
      </c>
      <c r="I1" s="3" t="s">
        <v>773</v>
      </c>
    </row>
    <row r="2" spans="1:9" ht="90" x14ac:dyDescent="0.25">
      <c r="A2" s="2" t="s">
        <v>774</v>
      </c>
      <c r="B2" s="2" t="s">
        <v>68</v>
      </c>
      <c r="C2" s="2" t="s">
        <v>775</v>
      </c>
      <c r="D2" s="2" t="s">
        <v>776</v>
      </c>
      <c r="E2" s="2"/>
      <c r="F2" s="2"/>
      <c r="G2" s="2"/>
      <c r="H2" s="2"/>
      <c r="I2" s="2"/>
    </row>
    <row r="3" spans="1:9" ht="45" x14ac:dyDescent="0.25">
      <c r="A3" s="2" t="s">
        <v>777</v>
      </c>
      <c r="B3" s="2" t="s">
        <v>68</v>
      </c>
      <c r="C3" s="2" t="s">
        <v>775</v>
      </c>
      <c r="D3" s="2" t="s">
        <v>778</v>
      </c>
      <c r="E3" s="2"/>
      <c r="F3" s="2" t="s">
        <v>779</v>
      </c>
      <c r="G3" s="2"/>
      <c r="H3" s="2"/>
      <c r="I3" s="2"/>
    </row>
    <row r="4" spans="1:9" ht="45" x14ac:dyDescent="0.25">
      <c r="A4" s="2" t="s">
        <v>780</v>
      </c>
      <c r="B4" s="2" t="s">
        <v>68</v>
      </c>
      <c r="C4" s="2" t="s">
        <v>775</v>
      </c>
      <c r="D4" s="2" t="s">
        <v>781</v>
      </c>
      <c r="E4" s="2"/>
      <c r="F4" s="2"/>
      <c r="G4" s="2"/>
      <c r="H4" s="2"/>
      <c r="I4" s="2"/>
    </row>
    <row r="5" spans="1:9" ht="30" x14ac:dyDescent="0.25">
      <c r="A5" s="2" t="s">
        <v>782</v>
      </c>
      <c r="B5" s="2" t="s">
        <v>68</v>
      </c>
      <c r="C5" s="2" t="s">
        <v>775</v>
      </c>
      <c r="D5" s="2" t="s">
        <v>783</v>
      </c>
      <c r="E5" s="2"/>
      <c r="F5" s="2"/>
      <c r="G5" s="2"/>
      <c r="H5" s="2"/>
      <c r="I5" s="2"/>
    </row>
    <row r="6" spans="1:9" ht="75" x14ac:dyDescent="0.25">
      <c r="A6" s="2" t="s">
        <v>784</v>
      </c>
      <c r="B6" s="2" t="s">
        <v>68</v>
      </c>
      <c r="C6" s="2" t="s">
        <v>775</v>
      </c>
      <c r="D6" s="2" t="s">
        <v>785</v>
      </c>
      <c r="E6" s="2" t="s">
        <v>786</v>
      </c>
      <c r="F6" s="2"/>
      <c r="G6" s="2"/>
      <c r="H6" s="2" t="s">
        <v>787</v>
      </c>
      <c r="I6" s="2" t="s">
        <v>788</v>
      </c>
    </row>
    <row r="7" spans="1:9" ht="60" x14ac:dyDescent="0.25">
      <c r="A7" s="2" t="s">
        <v>789</v>
      </c>
      <c r="B7" s="2" t="s">
        <v>68</v>
      </c>
      <c r="C7" s="2" t="s">
        <v>775</v>
      </c>
      <c r="D7" s="2" t="s">
        <v>790</v>
      </c>
      <c r="E7" s="2"/>
      <c r="F7" s="2"/>
      <c r="G7" s="2"/>
      <c r="H7" s="2"/>
      <c r="I7" s="2"/>
    </row>
    <row r="8" spans="1:9" ht="45" x14ac:dyDescent="0.25">
      <c r="A8" s="2" t="s">
        <v>791</v>
      </c>
      <c r="B8" s="2" t="s">
        <v>68</v>
      </c>
      <c r="C8" s="2" t="s">
        <v>775</v>
      </c>
      <c r="D8" s="2" t="s">
        <v>792</v>
      </c>
      <c r="E8" s="2"/>
      <c r="F8" s="2"/>
      <c r="G8" s="2"/>
      <c r="H8" s="2"/>
      <c r="I8" s="2"/>
    </row>
    <row r="9" spans="1:9" ht="75" x14ac:dyDescent="0.25">
      <c r="A9" s="2" t="s">
        <v>793</v>
      </c>
      <c r="B9" s="2" t="s">
        <v>794</v>
      </c>
      <c r="C9" s="2" t="s">
        <v>775</v>
      </c>
      <c r="D9" s="2" t="s">
        <v>795</v>
      </c>
      <c r="E9" s="2"/>
      <c r="F9" s="2"/>
      <c r="G9" s="2"/>
      <c r="H9" s="2" t="s">
        <v>796</v>
      </c>
      <c r="I9" s="2" t="s">
        <v>797</v>
      </c>
    </row>
    <row r="10" spans="1:9" ht="45" x14ac:dyDescent="0.25">
      <c r="A10" s="2" t="s">
        <v>798</v>
      </c>
      <c r="B10" s="2" t="s">
        <v>68</v>
      </c>
      <c r="C10" s="2" t="s">
        <v>775</v>
      </c>
      <c r="D10" s="2" t="s">
        <v>799</v>
      </c>
      <c r="E10" s="2" t="s">
        <v>800</v>
      </c>
      <c r="F10" s="2"/>
      <c r="G10" s="2"/>
      <c r="H10" s="2"/>
      <c r="I10" s="2"/>
    </row>
    <row r="11" spans="1:9" ht="45" x14ac:dyDescent="0.25">
      <c r="A11" s="2" t="s">
        <v>798</v>
      </c>
      <c r="B11" s="2" t="s">
        <v>68</v>
      </c>
      <c r="C11" s="2" t="s">
        <v>775</v>
      </c>
      <c r="D11" s="2" t="s">
        <v>799</v>
      </c>
      <c r="E11" s="2" t="s">
        <v>801</v>
      </c>
      <c r="F11" s="2"/>
      <c r="G11" s="2"/>
      <c r="H11" s="2"/>
      <c r="I11" s="2"/>
    </row>
    <row r="12" spans="1:9" ht="45" x14ac:dyDescent="0.25">
      <c r="A12" s="2" t="s">
        <v>798</v>
      </c>
      <c r="B12" s="2" t="s">
        <v>68</v>
      </c>
      <c r="C12" s="2" t="s">
        <v>775</v>
      </c>
      <c r="D12" s="2" t="s">
        <v>799</v>
      </c>
      <c r="E12" s="2" t="s">
        <v>802</v>
      </c>
      <c r="F12" s="2"/>
      <c r="G12" s="2"/>
      <c r="H12" s="2"/>
      <c r="I12" s="2"/>
    </row>
    <row r="13" spans="1:9" ht="45" x14ac:dyDescent="0.25">
      <c r="A13" s="2" t="s">
        <v>798</v>
      </c>
      <c r="B13" s="2" t="s">
        <v>68</v>
      </c>
      <c r="C13" s="2" t="s">
        <v>775</v>
      </c>
      <c r="D13" s="2" t="s">
        <v>799</v>
      </c>
      <c r="E13" s="2" t="s">
        <v>803</v>
      </c>
      <c r="F13" s="2"/>
      <c r="G13" s="2"/>
      <c r="H13" s="2"/>
      <c r="I13" s="2"/>
    </row>
    <row r="14" spans="1:9" ht="45" x14ac:dyDescent="0.25">
      <c r="A14" s="2" t="s">
        <v>798</v>
      </c>
      <c r="B14" s="2" t="s">
        <v>68</v>
      </c>
      <c r="C14" s="2" t="s">
        <v>775</v>
      </c>
      <c r="D14" s="2" t="s">
        <v>799</v>
      </c>
      <c r="E14" s="2" t="s">
        <v>804</v>
      </c>
      <c r="F14" s="2"/>
      <c r="G14" s="2"/>
      <c r="H14" s="2"/>
      <c r="I14" s="2"/>
    </row>
    <row r="15" spans="1:9" ht="45" x14ac:dyDescent="0.25">
      <c r="A15" s="2" t="s">
        <v>798</v>
      </c>
      <c r="B15" s="2" t="s">
        <v>68</v>
      </c>
      <c r="C15" s="2" t="s">
        <v>775</v>
      </c>
      <c r="D15" s="2" t="s">
        <v>799</v>
      </c>
      <c r="E15" s="2" t="s">
        <v>805</v>
      </c>
      <c r="F15" s="2"/>
      <c r="G15" s="2"/>
      <c r="H15" s="2"/>
      <c r="I15" s="2"/>
    </row>
    <row r="16" spans="1:9" ht="45" x14ac:dyDescent="0.25">
      <c r="A16" s="2" t="s">
        <v>798</v>
      </c>
      <c r="B16" s="2" t="s">
        <v>68</v>
      </c>
      <c r="C16" s="2" t="s">
        <v>775</v>
      </c>
      <c r="D16" s="2" t="s">
        <v>799</v>
      </c>
      <c r="E16" s="2" t="s">
        <v>806</v>
      </c>
      <c r="F16" s="2"/>
      <c r="G16" s="2"/>
      <c r="H16" s="2"/>
      <c r="I16" s="2"/>
    </row>
    <row r="17" spans="1:9" ht="45" x14ac:dyDescent="0.25">
      <c r="A17" s="2" t="s">
        <v>798</v>
      </c>
      <c r="B17" s="2" t="s">
        <v>68</v>
      </c>
      <c r="C17" s="2" t="s">
        <v>775</v>
      </c>
      <c r="D17" s="2" t="s">
        <v>799</v>
      </c>
      <c r="E17" s="2" t="s">
        <v>807</v>
      </c>
      <c r="F17" s="2"/>
      <c r="G17" s="2"/>
      <c r="H17" s="2"/>
      <c r="I17" s="2"/>
    </row>
    <row r="18" spans="1:9" ht="45" x14ac:dyDescent="0.25">
      <c r="A18" s="2" t="s">
        <v>798</v>
      </c>
      <c r="B18" s="2" t="s">
        <v>68</v>
      </c>
      <c r="C18" s="2" t="s">
        <v>775</v>
      </c>
      <c r="D18" s="2" t="s">
        <v>799</v>
      </c>
      <c r="E18" s="2" t="s">
        <v>808</v>
      </c>
      <c r="F18" s="2"/>
      <c r="G18" s="2"/>
      <c r="H18" s="2"/>
      <c r="I18" s="2"/>
    </row>
    <row r="19" spans="1:9" ht="45" x14ac:dyDescent="0.25">
      <c r="A19" s="2" t="s">
        <v>798</v>
      </c>
      <c r="B19" s="2" t="s">
        <v>68</v>
      </c>
      <c r="C19" s="2" t="s">
        <v>775</v>
      </c>
      <c r="D19" s="2" t="s">
        <v>799</v>
      </c>
      <c r="E19" s="2" t="s">
        <v>809</v>
      </c>
      <c r="F19" s="2"/>
      <c r="G19" s="2"/>
      <c r="H19" s="2"/>
      <c r="I19" s="2"/>
    </row>
    <row r="20" spans="1:9" ht="45" x14ac:dyDescent="0.25">
      <c r="A20" s="2" t="s">
        <v>798</v>
      </c>
      <c r="B20" s="2" t="s">
        <v>68</v>
      </c>
      <c r="C20" s="2" t="s">
        <v>775</v>
      </c>
      <c r="D20" s="2" t="s">
        <v>799</v>
      </c>
      <c r="E20" s="2" t="s">
        <v>810</v>
      </c>
      <c r="F20" s="2"/>
      <c r="G20" s="2"/>
      <c r="H20" s="2"/>
      <c r="I20" s="2"/>
    </row>
    <row r="21" spans="1:9" ht="45" x14ac:dyDescent="0.25">
      <c r="A21" s="2" t="s">
        <v>798</v>
      </c>
      <c r="B21" s="2" t="s">
        <v>68</v>
      </c>
      <c r="C21" s="2" t="s">
        <v>775</v>
      </c>
      <c r="D21" s="2" t="s">
        <v>799</v>
      </c>
      <c r="E21" s="2" t="s">
        <v>811</v>
      </c>
      <c r="F21" s="2"/>
      <c r="G21" s="2"/>
      <c r="H21" s="2"/>
      <c r="I21" s="2"/>
    </row>
    <row r="22" spans="1:9" ht="45" x14ac:dyDescent="0.25">
      <c r="A22" s="2" t="s">
        <v>798</v>
      </c>
      <c r="B22" s="2" t="s">
        <v>68</v>
      </c>
      <c r="C22" s="2" t="s">
        <v>775</v>
      </c>
      <c r="D22" s="2" t="s">
        <v>799</v>
      </c>
      <c r="E22" s="2" t="s">
        <v>812</v>
      </c>
      <c r="F22" s="2"/>
      <c r="G22" s="2"/>
      <c r="H22" s="2"/>
      <c r="I22" s="2"/>
    </row>
    <row r="23" spans="1:9" ht="45" x14ac:dyDescent="0.25">
      <c r="A23" s="2" t="s">
        <v>798</v>
      </c>
      <c r="B23" s="2" t="s">
        <v>68</v>
      </c>
      <c r="C23" s="2" t="s">
        <v>775</v>
      </c>
      <c r="D23" s="2" t="s">
        <v>799</v>
      </c>
      <c r="E23" s="2" t="s">
        <v>813</v>
      </c>
      <c r="F23" s="2"/>
      <c r="G23" s="2"/>
      <c r="H23" s="2"/>
      <c r="I23" s="2"/>
    </row>
    <row r="24" spans="1:9" ht="45" x14ac:dyDescent="0.25">
      <c r="A24" s="2" t="s">
        <v>798</v>
      </c>
      <c r="B24" s="2" t="s">
        <v>68</v>
      </c>
      <c r="C24" s="2" t="s">
        <v>775</v>
      </c>
      <c r="D24" s="2" t="s">
        <v>799</v>
      </c>
      <c r="E24" s="2" t="s">
        <v>814</v>
      </c>
      <c r="F24" s="2"/>
      <c r="G24" s="2"/>
      <c r="H24" s="2"/>
      <c r="I24" s="2"/>
    </row>
    <row r="25" spans="1:9" ht="45" x14ac:dyDescent="0.25">
      <c r="A25" s="2" t="s">
        <v>815</v>
      </c>
      <c r="B25" s="2" t="s">
        <v>794</v>
      </c>
      <c r="C25" s="2" t="s">
        <v>775</v>
      </c>
      <c r="D25" s="2" t="s">
        <v>816</v>
      </c>
      <c r="E25" s="2"/>
      <c r="F25" s="2"/>
      <c r="G25" s="2"/>
      <c r="H25" s="2" t="s">
        <v>817</v>
      </c>
      <c r="I25" s="2" t="s">
        <v>818</v>
      </c>
    </row>
    <row r="26" spans="1:9" ht="45" x14ac:dyDescent="0.25">
      <c r="A26" s="2" t="s">
        <v>819</v>
      </c>
      <c r="B26" s="2" t="s">
        <v>68</v>
      </c>
      <c r="C26" s="2" t="s">
        <v>775</v>
      </c>
      <c r="D26" s="2" t="s">
        <v>820</v>
      </c>
      <c r="E26" s="2" t="s">
        <v>821</v>
      </c>
      <c r="F26" s="2"/>
      <c r="G26" s="2"/>
      <c r="H26" s="2"/>
      <c r="I26" s="2"/>
    </row>
    <row r="27" spans="1:9" ht="30" x14ac:dyDescent="0.25">
      <c r="A27" s="2" t="s">
        <v>822</v>
      </c>
      <c r="B27" s="2" t="s">
        <v>794</v>
      </c>
      <c r="C27" s="2" t="s">
        <v>775</v>
      </c>
      <c r="D27" s="2" t="s">
        <v>823</v>
      </c>
      <c r="E27" s="2"/>
      <c r="F27" s="2"/>
      <c r="G27" s="2"/>
      <c r="H27" s="2"/>
      <c r="I27" s="2"/>
    </row>
    <row r="28" spans="1:9" ht="90" x14ac:dyDescent="0.25">
      <c r="A28" s="2" t="s">
        <v>824</v>
      </c>
      <c r="B28" s="2" t="s">
        <v>794</v>
      </c>
      <c r="C28" s="2" t="s">
        <v>775</v>
      </c>
      <c r="D28" s="2" t="s">
        <v>825</v>
      </c>
      <c r="E28" s="2"/>
      <c r="F28" s="2"/>
      <c r="G28" s="2"/>
      <c r="H28" s="2" t="s">
        <v>826</v>
      </c>
      <c r="I28" s="2" t="s">
        <v>827</v>
      </c>
    </row>
    <row r="29" spans="1:9" ht="75" x14ac:dyDescent="0.25">
      <c r="A29" s="2" t="s">
        <v>759</v>
      </c>
      <c r="B29" s="2" t="s">
        <v>794</v>
      </c>
      <c r="C29" s="2" t="s">
        <v>775</v>
      </c>
      <c r="D29" s="2" t="s">
        <v>828</v>
      </c>
      <c r="E29" s="2" t="s">
        <v>754</v>
      </c>
      <c r="F29" s="2"/>
      <c r="G29" s="2"/>
      <c r="H29" s="2" t="s">
        <v>758</v>
      </c>
      <c r="I29" s="2" t="s">
        <v>829</v>
      </c>
    </row>
    <row r="30" spans="1:9" ht="60" x14ac:dyDescent="0.25">
      <c r="A30" s="2" t="s">
        <v>830</v>
      </c>
      <c r="B30" s="2" t="s">
        <v>68</v>
      </c>
      <c r="C30" s="2" t="s">
        <v>775</v>
      </c>
      <c r="D30" s="2" t="s">
        <v>831</v>
      </c>
      <c r="E30" s="2"/>
      <c r="F30" s="2"/>
      <c r="G30" s="2"/>
      <c r="H30" s="2"/>
      <c r="I30" s="2"/>
    </row>
    <row r="31" spans="1:9" ht="90" x14ac:dyDescent="0.25">
      <c r="A31" s="2" t="s">
        <v>832</v>
      </c>
      <c r="B31" s="2" t="s">
        <v>794</v>
      </c>
      <c r="C31" s="2" t="s">
        <v>775</v>
      </c>
      <c r="D31" s="2" t="s">
        <v>833</v>
      </c>
      <c r="E31" s="2"/>
      <c r="F31" s="2"/>
      <c r="G31" s="2"/>
      <c r="H31" s="2" t="s">
        <v>834</v>
      </c>
      <c r="I31" s="2" t="s">
        <v>835</v>
      </c>
    </row>
    <row r="32" spans="1:9" ht="75" x14ac:dyDescent="0.25">
      <c r="A32" s="2" t="s">
        <v>836</v>
      </c>
      <c r="B32" s="2" t="s">
        <v>794</v>
      </c>
      <c r="C32" s="2" t="s">
        <v>775</v>
      </c>
      <c r="D32" s="2" t="s">
        <v>837</v>
      </c>
      <c r="E32" s="2" t="s">
        <v>587</v>
      </c>
      <c r="F32" s="2"/>
      <c r="G32" s="2"/>
      <c r="H32" s="2" t="s">
        <v>838</v>
      </c>
      <c r="I32" s="2" t="s">
        <v>839</v>
      </c>
    </row>
    <row r="33" spans="1:9" ht="105" x14ac:dyDescent="0.25">
      <c r="A33" s="2" t="s">
        <v>840</v>
      </c>
      <c r="B33" s="2" t="s">
        <v>68</v>
      </c>
      <c r="C33" s="2" t="s">
        <v>841</v>
      </c>
      <c r="D33" s="2" t="s">
        <v>842</v>
      </c>
      <c r="E33" s="2"/>
      <c r="F33" s="2" t="s">
        <v>779</v>
      </c>
      <c r="G33" s="2"/>
      <c r="H33" s="2"/>
      <c r="I33" s="2"/>
    </row>
    <row r="34" spans="1:9" ht="30" x14ac:dyDescent="0.25">
      <c r="A34" s="2" t="s">
        <v>843</v>
      </c>
      <c r="B34" s="2" t="s">
        <v>794</v>
      </c>
      <c r="C34" s="2" t="s">
        <v>775</v>
      </c>
      <c r="D34" s="2" t="s">
        <v>844</v>
      </c>
      <c r="E34" s="2"/>
      <c r="F34" s="2"/>
      <c r="G34" s="2"/>
      <c r="H34" s="2" t="s">
        <v>845</v>
      </c>
      <c r="I34" s="2" t="s">
        <v>846</v>
      </c>
    </row>
    <row r="35" spans="1:9" ht="60" x14ac:dyDescent="0.25">
      <c r="A35" s="2" t="s">
        <v>847</v>
      </c>
      <c r="B35" s="2" t="s">
        <v>68</v>
      </c>
      <c r="C35" s="2" t="s">
        <v>775</v>
      </c>
      <c r="D35" s="2" t="s">
        <v>848</v>
      </c>
      <c r="E35" s="2"/>
      <c r="F35" s="2"/>
      <c r="G35" s="2"/>
      <c r="H35" s="2"/>
      <c r="I35" s="2"/>
    </row>
    <row r="36" spans="1:9" ht="45" x14ac:dyDescent="0.25">
      <c r="A36" s="2" t="s">
        <v>849</v>
      </c>
      <c r="B36" s="2" t="s">
        <v>68</v>
      </c>
      <c r="C36" s="2" t="s">
        <v>841</v>
      </c>
      <c r="D36" s="2" t="s">
        <v>850</v>
      </c>
      <c r="E36" s="2" t="s">
        <v>851</v>
      </c>
      <c r="F36" s="2"/>
      <c r="G36" s="2"/>
      <c r="H36" s="2"/>
      <c r="I36" s="2"/>
    </row>
    <row r="37" spans="1:9" ht="45" x14ac:dyDescent="0.25">
      <c r="A37" s="2" t="s">
        <v>849</v>
      </c>
      <c r="B37" s="2" t="s">
        <v>68</v>
      </c>
      <c r="C37" s="2" t="s">
        <v>841</v>
      </c>
      <c r="D37" s="2" t="s">
        <v>850</v>
      </c>
      <c r="E37" s="2" t="s">
        <v>852</v>
      </c>
      <c r="F37" s="2"/>
      <c r="G37" s="2"/>
      <c r="H37" s="2"/>
      <c r="I37" s="2"/>
    </row>
    <row r="38" spans="1:9" ht="45" x14ac:dyDescent="0.25">
      <c r="A38" s="2" t="s">
        <v>849</v>
      </c>
      <c r="B38" s="2" t="s">
        <v>68</v>
      </c>
      <c r="C38" s="2" t="s">
        <v>841</v>
      </c>
      <c r="D38" s="2" t="s">
        <v>850</v>
      </c>
      <c r="E38" s="2" t="s">
        <v>853</v>
      </c>
      <c r="F38" s="2"/>
      <c r="G38" s="2"/>
      <c r="H38" s="2"/>
      <c r="I38" s="2"/>
    </row>
    <row r="39" spans="1:9" ht="45" x14ac:dyDescent="0.25">
      <c r="A39" s="2" t="s">
        <v>849</v>
      </c>
      <c r="B39" s="2" t="s">
        <v>68</v>
      </c>
      <c r="C39" s="2" t="s">
        <v>841</v>
      </c>
      <c r="D39" s="2" t="s">
        <v>850</v>
      </c>
      <c r="E39" s="2" t="s">
        <v>854</v>
      </c>
      <c r="F39" s="2"/>
      <c r="G39" s="2"/>
      <c r="H39" s="2"/>
      <c r="I39" s="2"/>
    </row>
    <row r="40" spans="1:9" ht="90" x14ac:dyDescent="0.25">
      <c r="A40" s="2" t="s">
        <v>855</v>
      </c>
      <c r="B40" s="2" t="s">
        <v>68</v>
      </c>
      <c r="C40" s="2" t="s">
        <v>841</v>
      </c>
      <c r="D40" s="2" t="s">
        <v>856</v>
      </c>
      <c r="E40" s="2" t="s">
        <v>857</v>
      </c>
      <c r="F40" s="2"/>
      <c r="G40" s="2"/>
      <c r="H40" s="2"/>
      <c r="I40" s="2"/>
    </row>
    <row r="41" spans="1:9" ht="90" x14ac:dyDescent="0.25">
      <c r="A41" s="2" t="s">
        <v>858</v>
      </c>
      <c r="B41" s="2" t="s">
        <v>68</v>
      </c>
      <c r="C41" s="2" t="s">
        <v>841</v>
      </c>
      <c r="D41" s="2" t="s">
        <v>859</v>
      </c>
      <c r="E41" s="2" t="s">
        <v>206</v>
      </c>
      <c r="F41" s="2"/>
      <c r="G41" s="2"/>
      <c r="H41" s="2" t="s">
        <v>860</v>
      </c>
      <c r="I41" s="2" t="s">
        <v>861</v>
      </c>
    </row>
    <row r="42" spans="1:9" ht="105" x14ac:dyDescent="0.25">
      <c r="A42" s="2" t="s">
        <v>862</v>
      </c>
      <c r="B42" s="2" t="s">
        <v>68</v>
      </c>
      <c r="C42" s="2" t="s">
        <v>841</v>
      </c>
      <c r="D42" s="2" t="s">
        <v>863</v>
      </c>
      <c r="E42" s="2" t="s">
        <v>864</v>
      </c>
      <c r="F42" s="2"/>
      <c r="G42" s="2"/>
      <c r="H42" s="2"/>
      <c r="I42" s="2"/>
    </row>
    <row r="43" spans="1:9" ht="60" x14ac:dyDescent="0.25">
      <c r="A43" s="2" t="s">
        <v>865</v>
      </c>
      <c r="B43" s="2" t="s">
        <v>794</v>
      </c>
      <c r="C43" s="2" t="s">
        <v>841</v>
      </c>
      <c r="D43" s="2" t="s">
        <v>866</v>
      </c>
      <c r="E43" s="2" t="s">
        <v>867</v>
      </c>
      <c r="F43" s="2"/>
      <c r="G43" s="2"/>
      <c r="H43" s="2"/>
      <c r="I43" s="2"/>
    </row>
    <row r="44" spans="1:9" ht="60" x14ac:dyDescent="0.25">
      <c r="A44" s="2" t="s">
        <v>868</v>
      </c>
      <c r="B44" s="2" t="s">
        <v>68</v>
      </c>
      <c r="C44" s="2" t="s">
        <v>841</v>
      </c>
      <c r="D44" s="2" t="s">
        <v>869</v>
      </c>
      <c r="E44" s="2" t="s">
        <v>870</v>
      </c>
      <c r="F44" s="2"/>
      <c r="G44" s="2"/>
      <c r="H44" s="2"/>
      <c r="I44" s="2"/>
    </row>
    <row r="45" spans="1:9" ht="135" x14ac:dyDescent="0.25">
      <c r="A45" s="2" t="s">
        <v>871</v>
      </c>
      <c r="B45" s="2" t="s">
        <v>68</v>
      </c>
      <c r="C45" s="2" t="s">
        <v>841</v>
      </c>
      <c r="D45" s="2" t="s">
        <v>872</v>
      </c>
      <c r="E45" s="2" t="s">
        <v>873</v>
      </c>
      <c r="F45" s="2"/>
      <c r="G45" s="2"/>
      <c r="H45" s="2" t="s">
        <v>874</v>
      </c>
      <c r="I45" s="2" t="s">
        <v>875</v>
      </c>
    </row>
    <row r="46" spans="1:9" ht="75" x14ac:dyDescent="0.25">
      <c r="A46" s="2" t="s">
        <v>876</v>
      </c>
      <c r="B46" s="2" t="s">
        <v>68</v>
      </c>
      <c r="C46" s="2" t="s">
        <v>841</v>
      </c>
      <c r="D46" s="2" t="s">
        <v>877</v>
      </c>
      <c r="E46" s="2" t="s">
        <v>878</v>
      </c>
      <c r="F46" s="2"/>
      <c r="G46" s="2"/>
      <c r="H46" s="2"/>
      <c r="I46" s="2"/>
    </row>
    <row r="47" spans="1:9" ht="75" x14ac:dyDescent="0.25">
      <c r="A47" s="2" t="s">
        <v>876</v>
      </c>
      <c r="B47" s="2" t="s">
        <v>68</v>
      </c>
      <c r="C47" s="2" t="s">
        <v>841</v>
      </c>
      <c r="D47" s="2" t="s">
        <v>877</v>
      </c>
      <c r="E47" s="2" t="s">
        <v>879</v>
      </c>
      <c r="F47" s="2"/>
      <c r="G47" s="2"/>
      <c r="H47" s="2"/>
      <c r="I47" s="2"/>
    </row>
    <row r="48" spans="1:9" ht="60" x14ac:dyDescent="0.25">
      <c r="A48" s="2" t="s">
        <v>880</v>
      </c>
      <c r="B48" s="2" t="s">
        <v>68</v>
      </c>
      <c r="C48" s="2" t="s">
        <v>841</v>
      </c>
      <c r="D48" s="2" t="s">
        <v>881</v>
      </c>
      <c r="E48" s="2" t="s">
        <v>882</v>
      </c>
      <c r="F48" s="2"/>
      <c r="G48" s="2"/>
      <c r="H48" s="2"/>
      <c r="I48" s="2"/>
    </row>
    <row r="49" spans="1:9" ht="60" x14ac:dyDescent="0.25">
      <c r="A49" s="2" t="s">
        <v>883</v>
      </c>
      <c r="B49" s="2" t="s">
        <v>68</v>
      </c>
      <c r="C49" s="2" t="s">
        <v>841</v>
      </c>
      <c r="D49" s="2" t="s">
        <v>884</v>
      </c>
      <c r="E49" s="2" t="s">
        <v>885</v>
      </c>
      <c r="F49" s="2"/>
      <c r="G49" s="2"/>
      <c r="H49" s="2"/>
      <c r="I49" s="2"/>
    </row>
    <row r="50" spans="1:9" ht="75" x14ac:dyDescent="0.25">
      <c r="A50" s="2" t="s">
        <v>404</v>
      </c>
      <c r="B50" s="2" t="s">
        <v>68</v>
      </c>
      <c r="C50" s="2" t="s">
        <v>841</v>
      </c>
      <c r="D50" s="2" t="s">
        <v>886</v>
      </c>
      <c r="E50" s="2" t="s">
        <v>400</v>
      </c>
      <c r="F50" s="2"/>
      <c r="G50" s="2"/>
      <c r="H50" s="2" t="s">
        <v>403</v>
      </c>
      <c r="I50" s="2" t="s">
        <v>887</v>
      </c>
    </row>
    <row r="51" spans="1:9" ht="60" x14ac:dyDescent="0.25">
      <c r="A51" s="2" t="s">
        <v>448</v>
      </c>
      <c r="B51" s="2" t="s">
        <v>794</v>
      </c>
      <c r="C51" s="2" t="s">
        <v>841</v>
      </c>
      <c r="D51" s="2" t="s">
        <v>888</v>
      </c>
      <c r="E51" s="2" t="s">
        <v>445</v>
      </c>
      <c r="F51" s="2"/>
      <c r="G51" s="2"/>
      <c r="H51" s="2" t="s">
        <v>447</v>
      </c>
      <c r="I51" s="2" t="s">
        <v>889</v>
      </c>
    </row>
    <row r="52" spans="1:9" ht="60" x14ac:dyDescent="0.25">
      <c r="A52" s="2" t="s">
        <v>322</v>
      </c>
      <c r="B52" s="2" t="s">
        <v>794</v>
      </c>
      <c r="C52" s="2" t="s">
        <v>841</v>
      </c>
      <c r="D52" s="2" t="s">
        <v>890</v>
      </c>
      <c r="E52" s="2" t="s">
        <v>316</v>
      </c>
      <c r="F52" s="2"/>
      <c r="G52" s="2"/>
      <c r="H52" s="2" t="s">
        <v>320</v>
      </c>
      <c r="I52" s="2" t="s">
        <v>891</v>
      </c>
    </row>
    <row r="53" spans="1:9" ht="60" x14ac:dyDescent="0.25">
      <c r="A53" s="2" t="s">
        <v>268</v>
      </c>
      <c r="B53" s="2" t="s">
        <v>68</v>
      </c>
      <c r="C53" s="2" t="s">
        <v>841</v>
      </c>
      <c r="D53" s="2" t="s">
        <v>892</v>
      </c>
      <c r="E53" s="2" t="s">
        <v>263</v>
      </c>
      <c r="F53" s="2"/>
      <c r="G53" s="2"/>
      <c r="H53" s="2" t="s">
        <v>266</v>
      </c>
      <c r="I53" s="2" t="s">
        <v>893</v>
      </c>
    </row>
    <row r="54" spans="1:9" ht="75" x14ac:dyDescent="0.25">
      <c r="A54" s="2" t="s">
        <v>894</v>
      </c>
      <c r="B54" s="2" t="s">
        <v>68</v>
      </c>
      <c r="C54" s="2" t="s">
        <v>841</v>
      </c>
      <c r="D54" s="2" t="s">
        <v>895</v>
      </c>
      <c r="E54" s="2" t="s">
        <v>896</v>
      </c>
      <c r="F54" s="2"/>
      <c r="G54" s="2"/>
      <c r="H54" s="2"/>
      <c r="I54" s="2"/>
    </row>
    <row r="55" spans="1:9" ht="75" x14ac:dyDescent="0.25">
      <c r="A55" s="2" t="s">
        <v>205</v>
      </c>
      <c r="B55" s="2" t="s">
        <v>68</v>
      </c>
      <c r="C55" s="2" t="s">
        <v>841</v>
      </c>
      <c r="D55" s="2" t="s">
        <v>897</v>
      </c>
      <c r="E55" s="2" t="s">
        <v>200</v>
      </c>
      <c r="F55" s="2"/>
      <c r="G55" s="2"/>
      <c r="H55" s="2" t="s">
        <v>203</v>
      </c>
      <c r="I55" s="2" t="s">
        <v>898</v>
      </c>
    </row>
    <row r="56" spans="1:9" ht="60" x14ac:dyDescent="0.25">
      <c r="A56" s="2" t="s">
        <v>899</v>
      </c>
      <c r="B56" s="2" t="s">
        <v>68</v>
      </c>
      <c r="C56" s="2" t="s">
        <v>841</v>
      </c>
      <c r="D56" s="2" t="s">
        <v>900</v>
      </c>
      <c r="E56" s="2" t="s">
        <v>214</v>
      </c>
      <c r="F56" s="2"/>
      <c r="G56" s="2"/>
      <c r="H56" s="2" t="s">
        <v>901</v>
      </c>
      <c r="I56" s="2" t="s">
        <v>902</v>
      </c>
    </row>
    <row r="57" spans="1:9" ht="60" x14ac:dyDescent="0.25">
      <c r="A57" s="2" t="s">
        <v>903</v>
      </c>
      <c r="B57" s="2" t="s">
        <v>794</v>
      </c>
      <c r="C57" s="2" t="s">
        <v>841</v>
      </c>
      <c r="D57" s="2" t="s">
        <v>904</v>
      </c>
      <c r="E57" s="2" t="s">
        <v>905</v>
      </c>
      <c r="F57" s="2"/>
      <c r="G57" s="2"/>
      <c r="H57" s="2"/>
      <c r="I57" s="2"/>
    </row>
    <row r="58" spans="1:9" ht="60" x14ac:dyDescent="0.25">
      <c r="A58" s="2" t="s">
        <v>903</v>
      </c>
      <c r="B58" s="2" t="s">
        <v>794</v>
      </c>
      <c r="C58" s="2" t="s">
        <v>841</v>
      </c>
      <c r="D58" s="2" t="s">
        <v>904</v>
      </c>
      <c r="E58" s="2" t="s">
        <v>906</v>
      </c>
      <c r="F58" s="2"/>
      <c r="G58" s="2"/>
      <c r="H58" s="2"/>
      <c r="I58" s="2"/>
    </row>
    <row r="59" spans="1:9" ht="105" x14ac:dyDescent="0.25">
      <c r="A59" s="2" t="s">
        <v>907</v>
      </c>
      <c r="B59" s="2" t="s">
        <v>68</v>
      </c>
      <c r="C59" s="2" t="s">
        <v>775</v>
      </c>
      <c r="D59" s="2" t="s">
        <v>908</v>
      </c>
      <c r="E59" s="2" t="s">
        <v>909</v>
      </c>
      <c r="F59" s="2"/>
      <c r="G59" s="2"/>
      <c r="H59" s="2" t="s">
        <v>910</v>
      </c>
      <c r="I59" s="2" t="s">
        <v>911</v>
      </c>
    </row>
    <row r="60" spans="1:9" ht="30" x14ac:dyDescent="0.25">
      <c r="A60" s="2" t="s">
        <v>912</v>
      </c>
      <c r="B60" s="2" t="s">
        <v>794</v>
      </c>
      <c r="C60" s="2" t="s">
        <v>841</v>
      </c>
      <c r="D60" s="2" t="s">
        <v>913</v>
      </c>
      <c r="E60" s="2" t="s">
        <v>914</v>
      </c>
      <c r="F60" s="2"/>
      <c r="G60" s="2"/>
      <c r="H60" s="2"/>
      <c r="I60" s="2"/>
    </row>
    <row r="61" spans="1:9" ht="60" x14ac:dyDescent="0.25">
      <c r="A61" s="2" t="s">
        <v>915</v>
      </c>
      <c r="B61" s="2" t="s">
        <v>794</v>
      </c>
      <c r="C61" s="2" t="s">
        <v>841</v>
      </c>
      <c r="D61" s="2" t="s">
        <v>916</v>
      </c>
      <c r="E61" s="2" t="s">
        <v>917</v>
      </c>
      <c r="F61" s="2"/>
      <c r="G61" s="2"/>
      <c r="H61" s="2" t="s">
        <v>918</v>
      </c>
      <c r="I61" s="2" t="s">
        <v>919</v>
      </c>
    </row>
    <row r="62" spans="1:9" ht="75" x14ac:dyDescent="0.25">
      <c r="A62" s="2" t="s">
        <v>920</v>
      </c>
      <c r="B62" s="2" t="s">
        <v>921</v>
      </c>
      <c r="C62" s="2" t="s">
        <v>841</v>
      </c>
      <c r="D62" s="2" t="s">
        <v>922</v>
      </c>
      <c r="E62" s="2" t="s">
        <v>923</v>
      </c>
      <c r="F62" s="2"/>
      <c r="G62" s="2"/>
      <c r="H62" s="2"/>
      <c r="I62" s="2"/>
    </row>
    <row r="63" spans="1:9" ht="45" x14ac:dyDescent="0.25">
      <c r="A63" s="2" t="s">
        <v>924</v>
      </c>
      <c r="B63" s="2" t="s">
        <v>68</v>
      </c>
      <c r="C63" s="2" t="s">
        <v>775</v>
      </c>
      <c r="D63" s="2" t="s">
        <v>925</v>
      </c>
      <c r="E63" s="2"/>
      <c r="F63" s="2"/>
      <c r="G63" s="2"/>
      <c r="H63" s="2"/>
      <c r="I63" s="2"/>
    </row>
    <row r="64" spans="1:9" ht="90" x14ac:dyDescent="0.25">
      <c r="A64" s="2" t="s">
        <v>926</v>
      </c>
      <c r="B64" s="2" t="s">
        <v>68</v>
      </c>
      <c r="C64" s="2" t="s">
        <v>775</v>
      </c>
      <c r="D64" s="2" t="s">
        <v>927</v>
      </c>
      <c r="E64" s="2" t="s">
        <v>928</v>
      </c>
      <c r="F64" s="2"/>
      <c r="G64" s="2"/>
      <c r="H64" s="2"/>
      <c r="I64" s="2"/>
    </row>
    <row r="65" spans="1:9" ht="120" x14ac:dyDescent="0.25">
      <c r="A65" s="2" t="s">
        <v>929</v>
      </c>
      <c r="B65" s="2" t="s">
        <v>794</v>
      </c>
      <c r="C65" s="2" t="s">
        <v>841</v>
      </c>
      <c r="D65" s="2" t="s">
        <v>930</v>
      </c>
      <c r="E65" s="2" t="s">
        <v>931</v>
      </c>
      <c r="F65" s="2"/>
      <c r="G65" s="2"/>
      <c r="H65" s="2"/>
      <c r="I65" s="2"/>
    </row>
    <row r="66" spans="1:9" ht="45" x14ac:dyDescent="0.25">
      <c r="A66" s="2" t="s">
        <v>932</v>
      </c>
      <c r="B66" s="2" t="s">
        <v>794</v>
      </c>
      <c r="C66" s="2" t="s">
        <v>841</v>
      </c>
      <c r="D66" s="2" t="s">
        <v>933</v>
      </c>
      <c r="E66" s="2" t="s">
        <v>934</v>
      </c>
      <c r="F66" s="2"/>
      <c r="G66" s="2"/>
      <c r="H66" s="2"/>
      <c r="I66" s="2"/>
    </row>
    <row r="67" spans="1:9" ht="75" x14ac:dyDescent="0.25">
      <c r="A67" s="2" t="s">
        <v>935</v>
      </c>
      <c r="B67" s="2" t="s">
        <v>68</v>
      </c>
      <c r="C67" s="2" t="s">
        <v>775</v>
      </c>
      <c r="D67" s="2" t="s">
        <v>936</v>
      </c>
      <c r="E67" s="2" t="s">
        <v>937</v>
      </c>
      <c r="F67" s="2"/>
      <c r="G67" s="2"/>
      <c r="H67" s="2"/>
      <c r="I67" s="2"/>
    </row>
    <row r="68" spans="1:9" ht="75" x14ac:dyDescent="0.25">
      <c r="A68" s="2" t="s">
        <v>938</v>
      </c>
      <c r="B68" s="2" t="s">
        <v>921</v>
      </c>
      <c r="C68" s="2" t="s">
        <v>841</v>
      </c>
      <c r="D68" s="2" t="s">
        <v>939</v>
      </c>
      <c r="E68" s="2" t="s">
        <v>940</v>
      </c>
      <c r="F68" s="2"/>
      <c r="G68" s="2"/>
      <c r="H68" s="2"/>
      <c r="I68" s="2"/>
    </row>
    <row r="69" spans="1:9" ht="45" x14ac:dyDescent="0.25">
      <c r="A69" s="2" t="s">
        <v>941</v>
      </c>
      <c r="B69" s="2" t="s">
        <v>68</v>
      </c>
      <c r="C69" s="2" t="s">
        <v>775</v>
      </c>
      <c r="D69" s="2" t="s">
        <v>942</v>
      </c>
      <c r="E69" s="2" t="s">
        <v>943</v>
      </c>
      <c r="F69" s="2"/>
      <c r="G69" s="2"/>
      <c r="H69" s="2"/>
      <c r="I69" s="2"/>
    </row>
    <row r="70" spans="1:9" ht="30" x14ac:dyDescent="0.25">
      <c r="A70" s="2" t="s">
        <v>944</v>
      </c>
      <c r="B70" s="2" t="s">
        <v>68</v>
      </c>
      <c r="C70" s="2" t="s">
        <v>775</v>
      </c>
      <c r="D70" s="2" t="s">
        <v>945</v>
      </c>
      <c r="E70" s="2"/>
      <c r="F70" s="2"/>
      <c r="G70" s="2"/>
      <c r="H70" s="2"/>
      <c r="I70" s="2"/>
    </row>
    <row r="71" spans="1:9" ht="60" x14ac:dyDescent="0.25">
      <c r="A71" s="2" t="s">
        <v>946</v>
      </c>
      <c r="B71" s="2" t="s">
        <v>68</v>
      </c>
      <c r="C71" s="2" t="s">
        <v>775</v>
      </c>
      <c r="D71" s="2" t="s">
        <v>947</v>
      </c>
      <c r="E71" s="2" t="s">
        <v>277</v>
      </c>
      <c r="F71" s="2"/>
      <c r="G71" s="2"/>
      <c r="H71" s="2" t="s">
        <v>948</v>
      </c>
      <c r="I71" s="2" t="s">
        <v>949</v>
      </c>
    </row>
    <row r="72" spans="1:9" ht="60" x14ac:dyDescent="0.25">
      <c r="A72" s="2" t="s">
        <v>946</v>
      </c>
      <c r="B72" s="2" t="s">
        <v>68</v>
      </c>
      <c r="C72" s="2" t="s">
        <v>775</v>
      </c>
      <c r="D72" s="2" t="s">
        <v>947</v>
      </c>
      <c r="E72" s="2" t="s">
        <v>499</v>
      </c>
      <c r="F72" s="2"/>
      <c r="G72" s="2"/>
      <c r="H72" s="2" t="s">
        <v>950</v>
      </c>
      <c r="I72" s="2" t="s">
        <v>951</v>
      </c>
    </row>
    <row r="73" spans="1:9" ht="105" x14ac:dyDescent="0.25">
      <c r="A73" s="2" t="s">
        <v>952</v>
      </c>
      <c r="B73" s="2" t="s">
        <v>68</v>
      </c>
      <c r="C73" s="2" t="s">
        <v>841</v>
      </c>
      <c r="D73" s="2" t="s">
        <v>953</v>
      </c>
      <c r="E73" s="2" t="s">
        <v>954</v>
      </c>
      <c r="F73" s="2"/>
      <c r="G73" s="2"/>
      <c r="H73" s="2"/>
      <c r="I73" s="2"/>
    </row>
    <row r="74" spans="1:9" ht="30" x14ac:dyDescent="0.25">
      <c r="A74" s="2" t="s">
        <v>955</v>
      </c>
      <c r="B74" s="2" t="s">
        <v>794</v>
      </c>
      <c r="C74" s="2" t="s">
        <v>841</v>
      </c>
      <c r="D74" s="2" t="s">
        <v>956</v>
      </c>
      <c r="E74" s="2" t="s">
        <v>957</v>
      </c>
      <c r="F74" s="2"/>
      <c r="G74" s="2"/>
      <c r="H74" s="2"/>
      <c r="I74" s="2"/>
    </row>
    <row r="75" spans="1:9" ht="60" x14ac:dyDescent="0.25">
      <c r="A75" s="2" t="s">
        <v>958</v>
      </c>
      <c r="B75" s="2" t="s">
        <v>68</v>
      </c>
      <c r="C75" s="2" t="s">
        <v>841</v>
      </c>
      <c r="D75" s="2" t="s">
        <v>959</v>
      </c>
      <c r="E75" s="2" t="s">
        <v>960</v>
      </c>
      <c r="F75" s="2"/>
      <c r="G75" s="2"/>
      <c r="H75" s="2"/>
      <c r="I75" s="2"/>
    </row>
    <row r="76" spans="1:9" ht="90" x14ac:dyDescent="0.25">
      <c r="A76" s="2" t="s">
        <v>961</v>
      </c>
      <c r="B76" s="2" t="s">
        <v>68</v>
      </c>
      <c r="C76" s="2" t="s">
        <v>841</v>
      </c>
      <c r="D76" s="2" t="s">
        <v>962</v>
      </c>
      <c r="E76" s="2" t="s">
        <v>963</v>
      </c>
      <c r="F76" s="2"/>
      <c r="G76" s="2"/>
      <c r="H76" s="2"/>
      <c r="I76" s="2"/>
    </row>
    <row r="77" spans="1:9" ht="75" x14ac:dyDescent="0.25">
      <c r="A77" s="2" t="s">
        <v>964</v>
      </c>
      <c r="B77" s="2" t="s">
        <v>794</v>
      </c>
      <c r="C77" s="2" t="s">
        <v>841</v>
      </c>
      <c r="D77" s="2" t="s">
        <v>965</v>
      </c>
      <c r="E77" s="2" t="s">
        <v>966</v>
      </c>
      <c r="F77" s="2"/>
      <c r="G77" s="2"/>
      <c r="H77" s="2"/>
      <c r="I77" s="2"/>
    </row>
    <row r="78" spans="1:9" ht="45" x14ac:dyDescent="0.25">
      <c r="A78" s="2" t="s">
        <v>967</v>
      </c>
      <c r="B78" s="2" t="s">
        <v>794</v>
      </c>
      <c r="C78" s="2" t="s">
        <v>841</v>
      </c>
      <c r="D78" s="2" t="s">
        <v>968</v>
      </c>
      <c r="E78" s="2" t="s">
        <v>969</v>
      </c>
      <c r="F78" s="2"/>
      <c r="G78" s="2"/>
      <c r="H78" s="2"/>
      <c r="I78" s="2"/>
    </row>
    <row r="79" spans="1:9" ht="60" x14ac:dyDescent="0.25">
      <c r="A79" s="2" t="s">
        <v>970</v>
      </c>
      <c r="B79" s="2" t="s">
        <v>68</v>
      </c>
      <c r="C79" s="2" t="s">
        <v>841</v>
      </c>
      <c r="D79" s="2" t="s">
        <v>971</v>
      </c>
      <c r="E79" s="2" t="s">
        <v>972</v>
      </c>
      <c r="F79" s="2"/>
      <c r="G79" s="2"/>
      <c r="H79" s="2"/>
      <c r="I79" s="2"/>
    </row>
    <row r="80" spans="1:9" ht="60" x14ac:dyDescent="0.25">
      <c r="A80" s="2" t="s">
        <v>970</v>
      </c>
      <c r="B80" s="2" t="s">
        <v>68</v>
      </c>
      <c r="C80" s="2" t="s">
        <v>841</v>
      </c>
      <c r="D80" s="2" t="s">
        <v>971</v>
      </c>
      <c r="E80" s="2" t="s">
        <v>973</v>
      </c>
      <c r="F80" s="2"/>
      <c r="G80" s="2"/>
      <c r="H80" s="2"/>
      <c r="I80" s="2"/>
    </row>
    <row r="81" spans="1:9" ht="45" x14ac:dyDescent="0.25">
      <c r="A81" s="2" t="s">
        <v>974</v>
      </c>
      <c r="B81" s="2" t="s">
        <v>68</v>
      </c>
      <c r="C81" s="2" t="s">
        <v>841</v>
      </c>
      <c r="D81" s="2" t="s">
        <v>975</v>
      </c>
      <c r="E81" s="2" t="s">
        <v>976</v>
      </c>
      <c r="F81" s="2"/>
      <c r="G81" s="2"/>
      <c r="H81" s="2"/>
      <c r="I81" s="2"/>
    </row>
    <row r="82" spans="1:9" ht="30" x14ac:dyDescent="0.25">
      <c r="A82" s="2" t="s">
        <v>977</v>
      </c>
      <c r="B82" s="2" t="s">
        <v>68</v>
      </c>
      <c r="C82" s="2" t="s">
        <v>841</v>
      </c>
      <c r="D82" s="2" t="s">
        <v>978</v>
      </c>
      <c r="E82" s="2" t="s">
        <v>979</v>
      </c>
      <c r="F82" s="2"/>
      <c r="G82" s="2"/>
      <c r="H82" s="2"/>
      <c r="I82" s="2"/>
    </row>
    <row r="83" spans="1:9" ht="90" x14ac:dyDescent="0.25">
      <c r="A83" s="2" t="s">
        <v>980</v>
      </c>
      <c r="B83" s="2" t="s">
        <v>68</v>
      </c>
      <c r="C83" s="2" t="s">
        <v>841</v>
      </c>
      <c r="D83" s="2" t="s">
        <v>981</v>
      </c>
      <c r="E83" s="2" t="s">
        <v>982</v>
      </c>
      <c r="F83" s="2"/>
      <c r="G83" s="2"/>
      <c r="H83" s="2"/>
      <c r="I83" s="2"/>
    </row>
    <row r="84" spans="1:9" ht="60" x14ac:dyDescent="0.25">
      <c r="A84" s="2" t="s">
        <v>983</v>
      </c>
      <c r="B84" s="2" t="s">
        <v>68</v>
      </c>
      <c r="C84" s="2" t="s">
        <v>841</v>
      </c>
      <c r="D84" s="2" t="s">
        <v>984</v>
      </c>
      <c r="E84" s="2" t="s">
        <v>985</v>
      </c>
      <c r="F84" s="2"/>
      <c r="G84" s="2"/>
      <c r="H84" s="2"/>
      <c r="I84" s="2"/>
    </row>
    <row r="85" spans="1:9" ht="30" x14ac:dyDescent="0.25">
      <c r="A85" s="2" t="s">
        <v>986</v>
      </c>
      <c r="B85" s="2" t="s">
        <v>68</v>
      </c>
      <c r="C85" s="2" t="s">
        <v>841</v>
      </c>
      <c r="D85" s="2" t="s">
        <v>987</v>
      </c>
      <c r="E85" s="2" t="s">
        <v>988</v>
      </c>
      <c r="F85" s="2"/>
      <c r="G85" s="2"/>
      <c r="H85" s="2"/>
      <c r="I85" s="2"/>
    </row>
    <row r="86" spans="1:9" ht="60" x14ac:dyDescent="0.25">
      <c r="A86" s="2" t="s">
        <v>989</v>
      </c>
      <c r="B86" s="2" t="s">
        <v>68</v>
      </c>
      <c r="C86" s="2" t="s">
        <v>841</v>
      </c>
      <c r="D86" s="2" t="s">
        <v>990</v>
      </c>
      <c r="E86" s="2" t="s">
        <v>991</v>
      </c>
      <c r="F86" s="2"/>
      <c r="G86" s="2"/>
      <c r="H86" s="2"/>
      <c r="I86" s="2"/>
    </row>
    <row r="87" spans="1:9" ht="45" x14ac:dyDescent="0.25">
      <c r="A87" s="2" t="s">
        <v>992</v>
      </c>
      <c r="B87" s="2" t="s">
        <v>68</v>
      </c>
      <c r="C87" s="2" t="s">
        <v>841</v>
      </c>
      <c r="D87" s="2" t="s">
        <v>993</v>
      </c>
      <c r="E87" s="2" t="s">
        <v>994</v>
      </c>
      <c r="F87" s="2"/>
      <c r="G87" s="2"/>
      <c r="H87" s="2"/>
      <c r="I87" s="2"/>
    </row>
    <row r="88" spans="1:9" ht="45" x14ac:dyDescent="0.25">
      <c r="A88" s="2" t="s">
        <v>995</v>
      </c>
      <c r="B88" s="2" t="s">
        <v>68</v>
      </c>
      <c r="C88" s="2" t="s">
        <v>841</v>
      </c>
      <c r="D88" s="2" t="s">
        <v>996</v>
      </c>
      <c r="E88" s="2" t="s">
        <v>997</v>
      </c>
      <c r="F88" s="2"/>
      <c r="G88" s="2"/>
      <c r="H88" s="2"/>
      <c r="I88" s="2"/>
    </row>
    <row r="89" spans="1:9" ht="45" x14ac:dyDescent="0.25">
      <c r="A89" s="2" t="s">
        <v>469</v>
      </c>
      <c r="B89" s="2" t="s">
        <v>68</v>
      </c>
      <c r="C89" s="2" t="s">
        <v>841</v>
      </c>
      <c r="D89" s="2" t="s">
        <v>998</v>
      </c>
      <c r="E89" s="2" t="s">
        <v>465</v>
      </c>
      <c r="F89" s="2"/>
      <c r="G89" s="2"/>
      <c r="H89" s="2" t="s">
        <v>468</v>
      </c>
      <c r="I89" s="2" t="s">
        <v>999</v>
      </c>
    </row>
    <row r="90" spans="1:9" ht="45" x14ac:dyDescent="0.25">
      <c r="A90" s="2" t="s">
        <v>1000</v>
      </c>
      <c r="B90" s="2" t="s">
        <v>68</v>
      </c>
      <c r="C90" s="2" t="s">
        <v>775</v>
      </c>
      <c r="D90" s="2" t="s">
        <v>1001</v>
      </c>
      <c r="E90" s="2" t="s">
        <v>1002</v>
      </c>
      <c r="F90" s="2"/>
      <c r="G90" s="2"/>
      <c r="H90" s="2"/>
      <c r="I90" s="2"/>
    </row>
    <row r="91" spans="1:9" ht="30" x14ac:dyDescent="0.25">
      <c r="A91" s="2" t="s">
        <v>1003</v>
      </c>
      <c r="B91" s="2" t="s">
        <v>921</v>
      </c>
      <c r="C91" s="2" t="s">
        <v>841</v>
      </c>
      <c r="D91" s="2" t="s">
        <v>1004</v>
      </c>
      <c r="E91" s="2" t="s">
        <v>1005</v>
      </c>
      <c r="F91" s="2"/>
      <c r="G91" s="2"/>
      <c r="H91" s="2"/>
      <c r="I91" s="2"/>
    </row>
    <row r="92" spans="1:9" ht="75" x14ac:dyDescent="0.25">
      <c r="A92" s="2" t="s">
        <v>1006</v>
      </c>
      <c r="B92" s="2" t="s">
        <v>921</v>
      </c>
      <c r="C92" s="2" t="s">
        <v>841</v>
      </c>
      <c r="D92" s="2" t="s">
        <v>1007</v>
      </c>
      <c r="E92" s="2" t="s">
        <v>1008</v>
      </c>
      <c r="F92" s="2"/>
      <c r="G92" s="2"/>
      <c r="H92" s="2"/>
      <c r="I92" s="2"/>
    </row>
    <row r="93" spans="1:9" ht="75" x14ac:dyDescent="0.25">
      <c r="A93" s="2" t="s">
        <v>1006</v>
      </c>
      <c r="B93" s="2" t="s">
        <v>921</v>
      </c>
      <c r="C93" s="2" t="s">
        <v>841</v>
      </c>
      <c r="D93" s="2" t="s">
        <v>1007</v>
      </c>
      <c r="E93" s="2" t="s">
        <v>1009</v>
      </c>
      <c r="F93" s="2"/>
      <c r="G93" s="2"/>
      <c r="H93" s="2"/>
      <c r="I93" s="2"/>
    </row>
    <row r="94" spans="1:9" ht="90" x14ac:dyDescent="0.25">
      <c r="A94" s="2" t="s">
        <v>1010</v>
      </c>
      <c r="B94" s="2" t="s">
        <v>794</v>
      </c>
      <c r="C94" s="2" t="s">
        <v>775</v>
      </c>
      <c r="D94" s="2" t="s">
        <v>1011</v>
      </c>
      <c r="E94" s="2"/>
      <c r="F94" s="2"/>
      <c r="G94" s="2"/>
      <c r="H94" s="2" t="s">
        <v>1012</v>
      </c>
      <c r="I94" s="2" t="s">
        <v>1013</v>
      </c>
    </row>
    <row r="95" spans="1:9" ht="60" x14ac:dyDescent="0.25">
      <c r="A95" s="2" t="s">
        <v>1014</v>
      </c>
      <c r="B95" s="2" t="s">
        <v>921</v>
      </c>
      <c r="C95" s="2" t="s">
        <v>841</v>
      </c>
      <c r="D95" s="2" t="s">
        <v>1015</v>
      </c>
      <c r="E95" s="2" t="s">
        <v>1016</v>
      </c>
      <c r="F95" s="2"/>
      <c r="G95" s="2"/>
      <c r="H95" s="2"/>
      <c r="I95" s="2"/>
    </row>
    <row r="96" spans="1:9" ht="45" x14ac:dyDescent="0.25">
      <c r="A96" s="2" t="s">
        <v>419</v>
      </c>
      <c r="B96" s="2" t="s">
        <v>68</v>
      </c>
      <c r="C96" s="2" t="s">
        <v>841</v>
      </c>
      <c r="D96" s="2" t="s">
        <v>1017</v>
      </c>
      <c r="E96" s="2" t="s">
        <v>415</v>
      </c>
      <c r="F96" s="2"/>
      <c r="G96" s="2"/>
      <c r="H96" s="2" t="s">
        <v>418</v>
      </c>
      <c r="I96" s="2" t="s">
        <v>1018</v>
      </c>
    </row>
    <row r="97" spans="1:9" ht="30" x14ac:dyDescent="0.25">
      <c r="A97" s="2" t="s">
        <v>1019</v>
      </c>
      <c r="B97" s="2" t="s">
        <v>794</v>
      </c>
      <c r="C97" s="2" t="s">
        <v>775</v>
      </c>
      <c r="D97" s="2" t="s">
        <v>1020</v>
      </c>
      <c r="E97" s="2" t="s">
        <v>1021</v>
      </c>
      <c r="F97" s="2"/>
      <c r="G97" s="2"/>
      <c r="H97" s="2"/>
      <c r="I97" s="2"/>
    </row>
    <row r="98" spans="1:9" ht="90" x14ac:dyDescent="0.25">
      <c r="A98" s="2" t="s">
        <v>1022</v>
      </c>
      <c r="B98" s="2" t="s">
        <v>68</v>
      </c>
      <c r="C98" s="2" t="s">
        <v>775</v>
      </c>
      <c r="D98" s="2" t="s">
        <v>1023</v>
      </c>
      <c r="E98" s="2"/>
      <c r="F98" s="2"/>
      <c r="G98" s="2"/>
      <c r="H98" s="2"/>
      <c r="I98" s="2"/>
    </row>
    <row r="99" spans="1:9" ht="75" x14ac:dyDescent="0.25">
      <c r="A99" s="2" t="s">
        <v>1024</v>
      </c>
      <c r="B99" s="2" t="s">
        <v>68</v>
      </c>
      <c r="C99" s="2" t="s">
        <v>775</v>
      </c>
      <c r="D99" s="2" t="s">
        <v>1025</v>
      </c>
      <c r="E99" s="2"/>
      <c r="F99" s="2"/>
      <c r="G99" s="2"/>
      <c r="H99" s="2"/>
      <c r="I99" s="2"/>
    </row>
    <row r="100" spans="1:9" ht="90" x14ac:dyDescent="0.25">
      <c r="A100" s="2" t="s">
        <v>1026</v>
      </c>
      <c r="B100" s="2" t="s">
        <v>68</v>
      </c>
      <c r="C100" s="2" t="s">
        <v>775</v>
      </c>
      <c r="D100" s="2" t="s">
        <v>1027</v>
      </c>
      <c r="E100" s="2"/>
      <c r="F100" s="2"/>
      <c r="G100" s="2"/>
      <c r="H100" s="2"/>
      <c r="I100" s="2"/>
    </row>
    <row r="101" spans="1:9" ht="60" x14ac:dyDescent="0.25">
      <c r="A101" s="2" t="s">
        <v>552</v>
      </c>
      <c r="B101" s="2" t="s">
        <v>794</v>
      </c>
      <c r="C101" s="2" t="s">
        <v>841</v>
      </c>
      <c r="D101" s="2" t="s">
        <v>1028</v>
      </c>
      <c r="E101" s="2" t="s">
        <v>547</v>
      </c>
      <c r="F101" s="2"/>
      <c r="G101" s="2"/>
      <c r="H101" s="2" t="s">
        <v>550</v>
      </c>
      <c r="I101" s="2" t="s">
        <v>1029</v>
      </c>
    </row>
    <row r="102" spans="1:9" ht="60" x14ac:dyDescent="0.25">
      <c r="A102" s="2" t="s">
        <v>1030</v>
      </c>
      <c r="B102" s="2" t="s">
        <v>794</v>
      </c>
      <c r="C102" s="2" t="s">
        <v>841</v>
      </c>
      <c r="D102" s="2" t="s">
        <v>1031</v>
      </c>
      <c r="E102" s="2" t="s">
        <v>1032</v>
      </c>
      <c r="F102" s="2"/>
      <c r="G102" s="2"/>
      <c r="H102" s="2"/>
      <c r="I102" s="2"/>
    </row>
    <row r="103" spans="1:9" ht="90" x14ac:dyDescent="0.25">
      <c r="A103" s="2" t="s">
        <v>1033</v>
      </c>
      <c r="B103" s="2" t="s">
        <v>68</v>
      </c>
      <c r="C103" s="2" t="s">
        <v>775</v>
      </c>
      <c r="D103" s="2" t="s">
        <v>1034</v>
      </c>
      <c r="E103" s="2" t="s">
        <v>1035</v>
      </c>
      <c r="F103" s="2"/>
      <c r="G103" s="2"/>
      <c r="H103" s="2"/>
      <c r="I103" s="2"/>
    </row>
    <row r="104" spans="1:9" ht="90" x14ac:dyDescent="0.25">
      <c r="A104" s="2" t="s">
        <v>1033</v>
      </c>
      <c r="B104" s="2" t="s">
        <v>68</v>
      </c>
      <c r="C104" s="2" t="s">
        <v>775</v>
      </c>
      <c r="D104" s="2" t="s">
        <v>1034</v>
      </c>
      <c r="E104" s="2" t="s">
        <v>1036</v>
      </c>
      <c r="F104" s="2"/>
      <c r="G104" s="2"/>
      <c r="H104" s="2"/>
      <c r="I104" s="2"/>
    </row>
    <row r="105" spans="1:9" ht="90" x14ac:dyDescent="0.25">
      <c r="A105" s="2" t="s">
        <v>1033</v>
      </c>
      <c r="B105" s="2" t="s">
        <v>68</v>
      </c>
      <c r="C105" s="2" t="s">
        <v>775</v>
      </c>
      <c r="D105" s="2" t="s">
        <v>1034</v>
      </c>
      <c r="E105" s="2" t="s">
        <v>1037</v>
      </c>
      <c r="F105" s="2"/>
      <c r="G105" s="2"/>
      <c r="H105" s="2"/>
      <c r="I105" s="2"/>
    </row>
    <row r="106" spans="1:9" ht="30" x14ac:dyDescent="0.25">
      <c r="A106" s="2" t="s">
        <v>1038</v>
      </c>
      <c r="B106" s="2" t="s">
        <v>68</v>
      </c>
      <c r="C106" s="2" t="s">
        <v>841</v>
      </c>
      <c r="D106" s="2" t="s">
        <v>1039</v>
      </c>
      <c r="E106" s="2" t="s">
        <v>307</v>
      </c>
      <c r="F106" s="2"/>
      <c r="G106" s="2"/>
      <c r="H106" s="2"/>
      <c r="I106" s="2"/>
    </row>
    <row r="107" spans="1:9" ht="30" x14ac:dyDescent="0.25">
      <c r="A107" s="2" t="s">
        <v>1040</v>
      </c>
      <c r="B107" s="2" t="s">
        <v>68</v>
      </c>
      <c r="C107" s="2" t="s">
        <v>841</v>
      </c>
      <c r="D107" s="2" t="s">
        <v>1041</v>
      </c>
      <c r="E107" s="2" t="s">
        <v>1042</v>
      </c>
      <c r="F107" s="2"/>
      <c r="G107" s="2"/>
      <c r="H107" s="2" t="s">
        <v>1043</v>
      </c>
      <c r="I107" s="2" t="s">
        <v>1044</v>
      </c>
    </row>
    <row r="108" spans="1:9" ht="45" x14ac:dyDescent="0.25">
      <c r="A108" s="2" t="s">
        <v>1045</v>
      </c>
      <c r="B108" s="2" t="s">
        <v>921</v>
      </c>
      <c r="C108" s="2" t="s">
        <v>841</v>
      </c>
      <c r="D108" s="2" t="s">
        <v>1046</v>
      </c>
      <c r="E108" s="2" t="s">
        <v>1047</v>
      </c>
      <c r="F108" s="2"/>
      <c r="G108" s="2"/>
      <c r="H108" s="2"/>
      <c r="I108" s="2"/>
    </row>
    <row r="109" spans="1:9" ht="30" x14ac:dyDescent="0.25">
      <c r="A109" s="2" t="s">
        <v>1048</v>
      </c>
      <c r="B109" s="2" t="s">
        <v>794</v>
      </c>
      <c r="C109" s="2" t="s">
        <v>841</v>
      </c>
      <c r="D109" s="2" t="s">
        <v>1049</v>
      </c>
      <c r="E109" s="2" t="s">
        <v>1050</v>
      </c>
      <c r="F109" s="2"/>
      <c r="G109" s="2"/>
      <c r="H109" s="2" t="s">
        <v>1051</v>
      </c>
      <c r="I109" s="2" t="s">
        <v>1052</v>
      </c>
    </row>
    <row r="110" spans="1:9" ht="45" x14ac:dyDescent="0.25">
      <c r="A110" s="2" t="s">
        <v>1053</v>
      </c>
      <c r="B110" s="2" t="s">
        <v>68</v>
      </c>
      <c r="C110" s="2" t="s">
        <v>775</v>
      </c>
      <c r="D110" s="2" t="s">
        <v>1054</v>
      </c>
      <c r="E110" s="2" t="s">
        <v>1055</v>
      </c>
      <c r="F110" s="2"/>
      <c r="G110" s="2"/>
      <c r="H110" s="2"/>
      <c r="I110" s="2"/>
    </row>
    <row r="111" spans="1:9" ht="60" x14ac:dyDescent="0.25">
      <c r="A111" s="2" t="s">
        <v>1053</v>
      </c>
      <c r="B111" s="2" t="s">
        <v>68</v>
      </c>
      <c r="C111" s="2" t="s">
        <v>775</v>
      </c>
      <c r="D111" s="2" t="s">
        <v>1054</v>
      </c>
      <c r="E111" s="2" t="s">
        <v>284</v>
      </c>
      <c r="F111" s="2"/>
      <c r="G111" s="2"/>
      <c r="H111" s="2" t="s">
        <v>1056</v>
      </c>
      <c r="I111" s="2" t="s">
        <v>1057</v>
      </c>
    </row>
    <row r="112" spans="1:9" ht="30" x14ac:dyDescent="0.25">
      <c r="A112" s="2" t="s">
        <v>1058</v>
      </c>
      <c r="B112" s="2" t="s">
        <v>68</v>
      </c>
      <c r="C112" s="2" t="s">
        <v>775</v>
      </c>
      <c r="D112" s="2" t="s">
        <v>1059</v>
      </c>
      <c r="E112" s="2" t="s">
        <v>1060</v>
      </c>
      <c r="F112" s="2"/>
      <c r="G112" s="2"/>
      <c r="H112" s="2"/>
      <c r="I112" s="2"/>
    </row>
    <row r="113" spans="1:9" ht="60" x14ac:dyDescent="0.25">
      <c r="A113" s="2" t="s">
        <v>1058</v>
      </c>
      <c r="B113" s="2" t="s">
        <v>68</v>
      </c>
      <c r="C113" s="2" t="s">
        <v>775</v>
      </c>
      <c r="D113" s="2" t="s">
        <v>1059</v>
      </c>
      <c r="E113" s="2" t="s">
        <v>1061</v>
      </c>
      <c r="F113" s="2"/>
      <c r="G113" s="2"/>
      <c r="H113" s="2" t="s">
        <v>1062</v>
      </c>
      <c r="I113" s="2" t="s">
        <v>1063</v>
      </c>
    </row>
    <row r="114" spans="1:9" ht="30" x14ac:dyDescent="0.25">
      <c r="A114" s="2" t="s">
        <v>1058</v>
      </c>
      <c r="B114" s="2" t="s">
        <v>68</v>
      </c>
      <c r="C114" s="2" t="s">
        <v>775</v>
      </c>
      <c r="D114" s="2" t="s">
        <v>1059</v>
      </c>
      <c r="E114" s="2" t="s">
        <v>1064</v>
      </c>
      <c r="F114" s="2"/>
      <c r="G114" s="2"/>
      <c r="H114" s="2" t="s">
        <v>1065</v>
      </c>
      <c r="I114" s="2" t="s">
        <v>1066</v>
      </c>
    </row>
    <row r="115" spans="1:9" ht="30" x14ac:dyDescent="0.25">
      <c r="A115" s="2" t="s">
        <v>1058</v>
      </c>
      <c r="B115" s="2" t="s">
        <v>68</v>
      </c>
      <c r="C115" s="2" t="s">
        <v>775</v>
      </c>
      <c r="D115" s="2" t="s">
        <v>1059</v>
      </c>
      <c r="E115" s="2" t="s">
        <v>1067</v>
      </c>
      <c r="F115" s="2"/>
      <c r="G115" s="2"/>
      <c r="H115" s="2"/>
      <c r="I115" s="2"/>
    </row>
    <row r="116" spans="1:9" ht="45" x14ac:dyDescent="0.25">
      <c r="A116" s="2" t="s">
        <v>1068</v>
      </c>
      <c r="B116" s="2" t="s">
        <v>794</v>
      </c>
      <c r="C116" s="2" t="s">
        <v>841</v>
      </c>
      <c r="D116" s="2" t="s">
        <v>1069</v>
      </c>
      <c r="E116" s="2"/>
      <c r="F116" s="2"/>
      <c r="G116" s="2"/>
      <c r="H116" s="2" t="s">
        <v>1070</v>
      </c>
      <c r="I116" s="2" t="s">
        <v>1071</v>
      </c>
    </row>
    <row r="117" spans="1:9" ht="45" x14ac:dyDescent="0.25">
      <c r="A117" s="2" t="s">
        <v>1072</v>
      </c>
      <c r="B117" s="2" t="s">
        <v>794</v>
      </c>
      <c r="C117" s="2" t="s">
        <v>841</v>
      </c>
      <c r="D117" s="2" t="s">
        <v>1073</v>
      </c>
      <c r="E117" s="2"/>
      <c r="F117" s="2"/>
      <c r="G117" s="2"/>
      <c r="H117" s="2" t="s">
        <v>1074</v>
      </c>
      <c r="I117" s="2" t="s">
        <v>1075</v>
      </c>
    </row>
    <row r="118" spans="1:9" ht="45" x14ac:dyDescent="0.25">
      <c r="A118" s="2" t="s">
        <v>1076</v>
      </c>
      <c r="B118" s="2" t="s">
        <v>794</v>
      </c>
      <c r="C118" s="2" t="s">
        <v>841</v>
      </c>
      <c r="D118" s="2" t="s">
        <v>1077</v>
      </c>
      <c r="E118" s="2"/>
      <c r="F118" s="2"/>
      <c r="G118" s="2"/>
      <c r="H118" s="2" t="s">
        <v>1078</v>
      </c>
      <c r="I118" s="2" t="s">
        <v>1079</v>
      </c>
    </row>
    <row r="119" spans="1:9" ht="45" x14ac:dyDescent="0.25">
      <c r="A119" s="2" t="s">
        <v>1080</v>
      </c>
      <c r="B119" s="2" t="s">
        <v>794</v>
      </c>
      <c r="C119" s="2" t="s">
        <v>841</v>
      </c>
      <c r="D119" s="2" t="s">
        <v>1081</v>
      </c>
      <c r="E119" s="2" t="s">
        <v>1082</v>
      </c>
      <c r="F119" s="2"/>
      <c r="G119" s="2"/>
      <c r="H119" s="2"/>
      <c r="I119" s="2"/>
    </row>
    <row r="120" spans="1:9" ht="45" x14ac:dyDescent="0.25">
      <c r="A120" s="2" t="s">
        <v>235</v>
      </c>
      <c r="B120" s="2" t="s">
        <v>794</v>
      </c>
      <c r="C120" s="2" t="s">
        <v>841</v>
      </c>
      <c r="D120" s="2" t="s">
        <v>1083</v>
      </c>
      <c r="E120" s="2" t="s">
        <v>229</v>
      </c>
      <c r="F120" s="2"/>
      <c r="G120" s="2"/>
      <c r="H120" s="2" t="s">
        <v>233</v>
      </c>
      <c r="I120" s="2" t="s">
        <v>1084</v>
      </c>
    </row>
    <row r="121" spans="1:9" ht="60" x14ac:dyDescent="0.25">
      <c r="A121" s="2" t="s">
        <v>162</v>
      </c>
      <c r="B121" s="2" t="s">
        <v>794</v>
      </c>
      <c r="C121" s="2" t="s">
        <v>841</v>
      </c>
      <c r="D121" s="2" t="s">
        <v>1085</v>
      </c>
      <c r="E121" s="2" t="s">
        <v>155</v>
      </c>
      <c r="F121" s="2"/>
      <c r="G121" s="2"/>
      <c r="H121" s="2" t="s">
        <v>159</v>
      </c>
      <c r="I121" s="2" t="s">
        <v>1086</v>
      </c>
    </row>
    <row r="122" spans="1:9" ht="45" x14ac:dyDescent="0.25">
      <c r="A122" s="2" t="s">
        <v>1087</v>
      </c>
      <c r="B122" s="2" t="s">
        <v>794</v>
      </c>
      <c r="C122" s="2" t="s">
        <v>841</v>
      </c>
      <c r="D122" s="2" t="s">
        <v>1088</v>
      </c>
      <c r="E122" s="2" t="s">
        <v>1089</v>
      </c>
      <c r="F122" s="2"/>
      <c r="G122" s="2"/>
      <c r="H122" s="2" t="s">
        <v>1090</v>
      </c>
      <c r="I122" s="2" t="s">
        <v>1091</v>
      </c>
    </row>
    <row r="123" spans="1:9" ht="75" x14ac:dyDescent="0.25">
      <c r="A123" s="2" t="s">
        <v>1092</v>
      </c>
      <c r="B123" s="2" t="s">
        <v>68</v>
      </c>
      <c r="C123" s="2" t="s">
        <v>841</v>
      </c>
      <c r="D123" s="2" t="s">
        <v>1093</v>
      </c>
      <c r="E123" s="2" t="s">
        <v>1094</v>
      </c>
      <c r="F123" s="2"/>
      <c r="G123" s="2"/>
      <c r="H123" s="2"/>
      <c r="I123" s="2"/>
    </row>
    <row r="124" spans="1:9" ht="120" x14ac:dyDescent="0.25">
      <c r="A124" s="2" t="s">
        <v>1095</v>
      </c>
      <c r="B124" s="2" t="s">
        <v>68</v>
      </c>
      <c r="C124" s="2" t="s">
        <v>841</v>
      </c>
      <c r="D124" s="2" t="s">
        <v>1096</v>
      </c>
      <c r="E124" s="2" t="s">
        <v>1097</v>
      </c>
      <c r="F124" s="2"/>
      <c r="G124" s="2"/>
      <c r="H124" s="2"/>
      <c r="I124" s="2"/>
    </row>
    <row r="125" spans="1:9" ht="45" x14ac:dyDescent="0.25">
      <c r="A125" s="2" t="s">
        <v>1098</v>
      </c>
      <c r="B125" s="2" t="s">
        <v>68</v>
      </c>
      <c r="C125" s="2" t="s">
        <v>841</v>
      </c>
      <c r="D125" s="2" t="s">
        <v>1099</v>
      </c>
      <c r="E125" s="2" t="s">
        <v>1100</v>
      </c>
      <c r="F125" s="2"/>
      <c r="G125" s="2"/>
      <c r="H125" s="2"/>
      <c r="I125" s="2"/>
    </row>
    <row r="126" spans="1:9" ht="90" x14ac:dyDescent="0.25">
      <c r="A126" s="2" t="s">
        <v>1101</v>
      </c>
      <c r="B126" s="2" t="s">
        <v>68</v>
      </c>
      <c r="C126" s="2" t="s">
        <v>841</v>
      </c>
      <c r="D126" s="2" t="s">
        <v>1102</v>
      </c>
      <c r="E126" s="2" t="s">
        <v>1103</v>
      </c>
      <c r="F126" s="2"/>
      <c r="G126" s="2"/>
      <c r="H126" s="2"/>
      <c r="I126" s="2"/>
    </row>
    <row r="127" spans="1:9" ht="90" x14ac:dyDescent="0.25">
      <c r="A127" s="2" t="s">
        <v>1101</v>
      </c>
      <c r="B127" s="2" t="s">
        <v>68</v>
      </c>
      <c r="C127" s="2" t="s">
        <v>841</v>
      </c>
      <c r="D127" s="2" t="s">
        <v>1102</v>
      </c>
      <c r="E127" s="2" t="s">
        <v>1104</v>
      </c>
      <c r="F127" s="2"/>
      <c r="G127" s="2"/>
      <c r="H127" s="2"/>
      <c r="I127" s="2"/>
    </row>
    <row r="128" spans="1:9" ht="90" x14ac:dyDescent="0.25">
      <c r="A128" s="2" t="s">
        <v>1101</v>
      </c>
      <c r="B128" s="2" t="s">
        <v>68</v>
      </c>
      <c r="C128" s="2" t="s">
        <v>841</v>
      </c>
      <c r="D128" s="2" t="s">
        <v>1102</v>
      </c>
      <c r="E128" s="2" t="s">
        <v>1105</v>
      </c>
      <c r="F128" s="2"/>
      <c r="G128" s="2"/>
      <c r="H128" s="2"/>
      <c r="I128" s="2"/>
    </row>
    <row r="129" spans="1:9" ht="60" x14ac:dyDescent="0.25">
      <c r="A129" s="2" t="s">
        <v>1106</v>
      </c>
      <c r="B129" s="2" t="s">
        <v>68</v>
      </c>
      <c r="C129" s="2" t="s">
        <v>841</v>
      </c>
      <c r="D129" s="2" t="s">
        <v>1107</v>
      </c>
      <c r="E129" s="2" t="s">
        <v>1108</v>
      </c>
      <c r="F129" s="2"/>
      <c r="G129" s="2"/>
      <c r="H129" s="2"/>
      <c r="I129" s="2"/>
    </row>
    <row r="130" spans="1:9" ht="60" x14ac:dyDescent="0.25">
      <c r="A130" s="2" t="s">
        <v>1109</v>
      </c>
      <c r="B130" s="2" t="s">
        <v>68</v>
      </c>
      <c r="C130" s="2" t="s">
        <v>841</v>
      </c>
      <c r="D130" s="2" t="s">
        <v>1110</v>
      </c>
      <c r="E130" s="2" t="s">
        <v>1111</v>
      </c>
      <c r="F130" s="2"/>
      <c r="G130" s="2"/>
      <c r="H130" s="2"/>
      <c r="I130" s="2"/>
    </row>
    <row r="131" spans="1:9" ht="45" x14ac:dyDescent="0.25">
      <c r="A131" s="2" t="s">
        <v>1112</v>
      </c>
      <c r="B131" s="2" t="s">
        <v>68</v>
      </c>
      <c r="C131" s="2" t="s">
        <v>841</v>
      </c>
      <c r="D131" s="2" t="s">
        <v>1113</v>
      </c>
      <c r="E131" s="2" t="s">
        <v>1114</v>
      </c>
      <c r="F131" s="2"/>
      <c r="G131" s="2"/>
      <c r="H131" s="2"/>
      <c r="I131" s="2"/>
    </row>
    <row r="132" spans="1:9" ht="30" x14ac:dyDescent="0.25">
      <c r="A132" s="2" t="s">
        <v>1112</v>
      </c>
      <c r="B132" s="2" t="s">
        <v>68</v>
      </c>
      <c r="C132" s="2" t="s">
        <v>775</v>
      </c>
      <c r="D132" s="2" t="s">
        <v>1115</v>
      </c>
      <c r="E132" s="2" t="s">
        <v>1116</v>
      </c>
      <c r="F132" s="2"/>
      <c r="G132" s="2"/>
      <c r="H132" s="2"/>
      <c r="I132" s="2"/>
    </row>
    <row r="133" spans="1:9" ht="30" x14ac:dyDescent="0.25">
      <c r="A133" s="2" t="s">
        <v>1117</v>
      </c>
      <c r="B133" s="2" t="s">
        <v>794</v>
      </c>
      <c r="C133" s="2" t="s">
        <v>841</v>
      </c>
      <c r="D133" s="2" t="s">
        <v>1118</v>
      </c>
      <c r="E133" s="2" t="s">
        <v>1119</v>
      </c>
      <c r="F133" s="2"/>
      <c r="G133" s="2"/>
      <c r="H133" s="2" t="s">
        <v>1120</v>
      </c>
      <c r="I133" s="2" t="s">
        <v>1121</v>
      </c>
    </row>
    <row r="134" spans="1:9" ht="60" x14ac:dyDescent="0.25">
      <c r="A134" s="2" t="s">
        <v>1122</v>
      </c>
      <c r="B134" s="2" t="s">
        <v>68</v>
      </c>
      <c r="C134" s="2" t="s">
        <v>841</v>
      </c>
      <c r="D134" s="2" t="s">
        <v>1123</v>
      </c>
      <c r="E134" s="2" t="s">
        <v>1124</v>
      </c>
      <c r="F134" s="2"/>
      <c r="G134" s="2"/>
      <c r="H134" s="2"/>
      <c r="I134" s="2"/>
    </row>
    <row r="135" spans="1:9" ht="75" x14ac:dyDescent="0.25">
      <c r="A135" s="2" t="s">
        <v>1125</v>
      </c>
      <c r="B135" s="2" t="s">
        <v>68</v>
      </c>
      <c r="C135" s="2" t="s">
        <v>841</v>
      </c>
      <c r="D135" s="2" t="s">
        <v>1126</v>
      </c>
      <c r="E135" s="2"/>
      <c r="F135" s="2"/>
      <c r="G135" s="2"/>
      <c r="H135" s="2" t="s">
        <v>1127</v>
      </c>
      <c r="I135" s="2" t="s">
        <v>1128</v>
      </c>
    </row>
    <row r="136" spans="1:9" ht="75" x14ac:dyDescent="0.25">
      <c r="A136" s="2" t="s">
        <v>1129</v>
      </c>
      <c r="B136" s="2" t="s">
        <v>68</v>
      </c>
      <c r="C136" s="2" t="s">
        <v>841</v>
      </c>
      <c r="D136" s="2" t="s">
        <v>1130</v>
      </c>
      <c r="E136" s="2" t="s">
        <v>1131</v>
      </c>
      <c r="F136" s="2"/>
      <c r="G136" s="2"/>
      <c r="H136" s="2"/>
      <c r="I136" s="2"/>
    </row>
    <row r="137" spans="1:9" ht="75" x14ac:dyDescent="0.25">
      <c r="A137" s="2" t="s">
        <v>1129</v>
      </c>
      <c r="B137" s="2" t="s">
        <v>68</v>
      </c>
      <c r="C137" s="2" t="s">
        <v>841</v>
      </c>
      <c r="D137" s="2" t="s">
        <v>1130</v>
      </c>
      <c r="E137" s="2" t="s">
        <v>1132</v>
      </c>
      <c r="F137" s="2"/>
      <c r="G137" s="2"/>
      <c r="H137" s="2"/>
      <c r="I137" s="2"/>
    </row>
    <row r="138" spans="1:9" ht="90" x14ac:dyDescent="0.25">
      <c r="A138" s="2" t="s">
        <v>414</v>
      </c>
      <c r="B138" s="2" t="s">
        <v>68</v>
      </c>
      <c r="C138" s="2" t="s">
        <v>841</v>
      </c>
      <c r="D138" s="2" t="s">
        <v>1133</v>
      </c>
      <c r="E138" s="2" t="s">
        <v>410</v>
      </c>
      <c r="F138" s="2"/>
      <c r="G138" s="2"/>
      <c r="H138" s="2" t="s">
        <v>413</v>
      </c>
      <c r="I138" s="2" t="s">
        <v>1134</v>
      </c>
    </row>
    <row r="139" spans="1:9" ht="90" x14ac:dyDescent="0.25">
      <c r="A139" s="2" t="s">
        <v>414</v>
      </c>
      <c r="B139" s="2" t="s">
        <v>68</v>
      </c>
      <c r="C139" s="2" t="s">
        <v>841</v>
      </c>
      <c r="D139" s="2" t="s">
        <v>1133</v>
      </c>
      <c r="E139" s="2" t="s">
        <v>1135</v>
      </c>
      <c r="F139" s="2"/>
      <c r="G139" s="2"/>
      <c r="H139" s="2" t="s">
        <v>1136</v>
      </c>
      <c r="I139" s="2" t="s">
        <v>1137</v>
      </c>
    </row>
    <row r="140" spans="1:9" ht="60" x14ac:dyDescent="0.25">
      <c r="A140" s="2" t="s">
        <v>1138</v>
      </c>
      <c r="B140" s="2" t="s">
        <v>68</v>
      </c>
      <c r="C140" s="2" t="s">
        <v>841</v>
      </c>
      <c r="D140" s="2" t="s">
        <v>1139</v>
      </c>
      <c r="E140" s="2" t="s">
        <v>1140</v>
      </c>
      <c r="F140" s="2"/>
      <c r="G140" s="2"/>
      <c r="H140" s="2"/>
      <c r="I140" s="2"/>
    </row>
    <row r="141" spans="1:9" ht="60" x14ac:dyDescent="0.25">
      <c r="A141" s="2" t="s">
        <v>1138</v>
      </c>
      <c r="B141" s="2" t="s">
        <v>68</v>
      </c>
      <c r="C141" s="2" t="s">
        <v>841</v>
      </c>
      <c r="D141" s="2" t="s">
        <v>1139</v>
      </c>
      <c r="E141" s="2" t="s">
        <v>1141</v>
      </c>
      <c r="F141" s="2"/>
      <c r="G141" s="2"/>
      <c r="H141" s="2"/>
      <c r="I141" s="2"/>
    </row>
    <row r="142" spans="1:9" ht="60" x14ac:dyDescent="0.25">
      <c r="A142" s="2" t="s">
        <v>1138</v>
      </c>
      <c r="B142" s="2" t="s">
        <v>68</v>
      </c>
      <c r="C142" s="2" t="s">
        <v>841</v>
      </c>
      <c r="D142" s="2" t="s">
        <v>1139</v>
      </c>
      <c r="E142" s="2" t="s">
        <v>1142</v>
      </c>
      <c r="F142" s="2"/>
      <c r="G142" s="2"/>
      <c r="H142" s="2" t="s">
        <v>1143</v>
      </c>
      <c r="I142" s="2" t="s">
        <v>1144</v>
      </c>
    </row>
    <row r="143" spans="1:9" ht="60" x14ac:dyDescent="0.25">
      <c r="A143" s="2" t="s">
        <v>1138</v>
      </c>
      <c r="B143" s="2" t="s">
        <v>68</v>
      </c>
      <c r="C143" s="2" t="s">
        <v>841</v>
      </c>
      <c r="D143" s="2" t="s">
        <v>1139</v>
      </c>
      <c r="E143" s="2" t="s">
        <v>1145</v>
      </c>
      <c r="F143" s="2"/>
      <c r="G143" s="2"/>
      <c r="H143" s="2" t="s">
        <v>1146</v>
      </c>
      <c r="I143" s="2" t="s">
        <v>1147</v>
      </c>
    </row>
    <row r="144" spans="1:9" ht="45" x14ac:dyDescent="0.25">
      <c r="A144" s="2" t="s">
        <v>1148</v>
      </c>
      <c r="B144" s="2" t="s">
        <v>68</v>
      </c>
      <c r="C144" s="2" t="s">
        <v>841</v>
      </c>
      <c r="D144" s="2" t="s">
        <v>1149</v>
      </c>
      <c r="E144" s="2" t="s">
        <v>1150</v>
      </c>
      <c r="F144" s="2"/>
      <c r="G144" s="2"/>
      <c r="H144" s="2"/>
      <c r="I144" s="2"/>
    </row>
    <row r="145" spans="1:9" ht="45" x14ac:dyDescent="0.25">
      <c r="A145" s="2" t="s">
        <v>1148</v>
      </c>
      <c r="B145" s="2" t="s">
        <v>68</v>
      </c>
      <c r="C145" s="2" t="s">
        <v>841</v>
      </c>
      <c r="D145" s="2" t="s">
        <v>1149</v>
      </c>
      <c r="E145" s="2" t="s">
        <v>1151</v>
      </c>
      <c r="F145" s="2"/>
      <c r="G145" s="2"/>
      <c r="H145" s="2"/>
      <c r="I145" s="2"/>
    </row>
    <row r="146" spans="1:9" ht="45" x14ac:dyDescent="0.25">
      <c r="A146" s="2" t="s">
        <v>1148</v>
      </c>
      <c r="B146" s="2" t="s">
        <v>68</v>
      </c>
      <c r="C146" s="2" t="s">
        <v>841</v>
      </c>
      <c r="D146" s="2" t="s">
        <v>1149</v>
      </c>
      <c r="E146" s="2" t="s">
        <v>1152</v>
      </c>
      <c r="F146" s="2"/>
      <c r="G146" s="2"/>
      <c r="H146" s="2"/>
      <c r="I146" s="2"/>
    </row>
    <row r="147" spans="1:9" ht="45" x14ac:dyDescent="0.25">
      <c r="A147" s="2" t="s">
        <v>1148</v>
      </c>
      <c r="B147" s="2" t="s">
        <v>68</v>
      </c>
      <c r="C147" s="2" t="s">
        <v>841</v>
      </c>
      <c r="D147" s="2" t="s">
        <v>1149</v>
      </c>
      <c r="E147" s="2" t="s">
        <v>1153</v>
      </c>
      <c r="F147" s="2"/>
      <c r="G147" s="2"/>
      <c r="H147" s="2"/>
      <c r="I147" s="2"/>
    </row>
    <row r="148" spans="1:9" ht="45" x14ac:dyDescent="0.25">
      <c r="A148" s="2" t="s">
        <v>1154</v>
      </c>
      <c r="B148" s="2" t="s">
        <v>68</v>
      </c>
      <c r="C148" s="2" t="s">
        <v>841</v>
      </c>
      <c r="D148" s="2" t="s">
        <v>1155</v>
      </c>
      <c r="E148" s="2" t="s">
        <v>1156</v>
      </c>
      <c r="F148" s="2"/>
      <c r="G148" s="2"/>
      <c r="H148" s="2"/>
      <c r="I148" s="2"/>
    </row>
    <row r="149" spans="1:9" ht="60" x14ac:dyDescent="0.25">
      <c r="A149" s="2" t="s">
        <v>1157</v>
      </c>
      <c r="B149" s="2" t="s">
        <v>794</v>
      </c>
      <c r="C149" s="2" t="s">
        <v>841</v>
      </c>
      <c r="D149" s="2" t="s">
        <v>1158</v>
      </c>
      <c r="E149" s="2" t="s">
        <v>1159</v>
      </c>
      <c r="F149" s="2"/>
      <c r="G149" s="2"/>
      <c r="H149" s="2"/>
      <c r="I149" s="2"/>
    </row>
    <row r="150" spans="1:9" ht="60" x14ac:dyDescent="0.25">
      <c r="A150" s="2" t="s">
        <v>1157</v>
      </c>
      <c r="B150" s="2" t="s">
        <v>794</v>
      </c>
      <c r="C150" s="2" t="s">
        <v>841</v>
      </c>
      <c r="D150" s="2" t="s">
        <v>1158</v>
      </c>
      <c r="E150" s="2" t="s">
        <v>1160</v>
      </c>
      <c r="F150" s="2"/>
      <c r="G150" s="2"/>
      <c r="H150" s="2"/>
      <c r="I150" s="2"/>
    </row>
    <row r="151" spans="1:9" ht="90" x14ac:dyDescent="0.25">
      <c r="A151" s="2" t="s">
        <v>1161</v>
      </c>
      <c r="B151" s="2" t="s">
        <v>921</v>
      </c>
      <c r="C151" s="2" t="s">
        <v>775</v>
      </c>
      <c r="D151" s="2" t="s">
        <v>1162</v>
      </c>
      <c r="E151" s="2"/>
      <c r="F151" s="2"/>
      <c r="G151" s="2"/>
      <c r="H151" s="2"/>
      <c r="I151" s="2"/>
    </row>
    <row r="152" spans="1:9" ht="60" x14ac:dyDescent="0.25">
      <c r="A152" s="2" t="s">
        <v>1163</v>
      </c>
      <c r="B152" s="2" t="s">
        <v>68</v>
      </c>
      <c r="C152" s="2" t="s">
        <v>775</v>
      </c>
      <c r="D152" s="2" t="s">
        <v>1164</v>
      </c>
      <c r="E152" s="2"/>
      <c r="F152" s="2"/>
      <c r="G152" s="2"/>
      <c r="H152" s="2"/>
      <c r="I152" s="2"/>
    </row>
    <row r="153" spans="1:9" ht="120" x14ac:dyDescent="0.25">
      <c r="A153" s="2" t="s">
        <v>1165</v>
      </c>
      <c r="B153" s="2" t="s">
        <v>68</v>
      </c>
      <c r="C153" s="2" t="s">
        <v>841</v>
      </c>
      <c r="D153" s="2" t="s">
        <v>1166</v>
      </c>
      <c r="E153" s="2" t="s">
        <v>1167</v>
      </c>
      <c r="F153" s="2"/>
      <c r="G153" s="2"/>
      <c r="H153" s="2"/>
      <c r="I153" s="2"/>
    </row>
    <row r="154" spans="1:9" ht="150" x14ac:dyDescent="0.25">
      <c r="A154" s="2" t="s">
        <v>1168</v>
      </c>
      <c r="B154" s="2" t="s">
        <v>68</v>
      </c>
      <c r="C154" s="2" t="s">
        <v>841</v>
      </c>
      <c r="D154" s="2" t="s">
        <v>1169</v>
      </c>
      <c r="E154" s="2"/>
      <c r="F154" s="2"/>
      <c r="G154" s="2"/>
      <c r="H154" s="2"/>
      <c r="I154" s="2"/>
    </row>
    <row r="155" spans="1:9" ht="105" x14ac:dyDescent="0.25">
      <c r="A155" s="2" t="s">
        <v>1170</v>
      </c>
      <c r="B155" s="2" t="s">
        <v>921</v>
      </c>
      <c r="C155" s="2" t="s">
        <v>775</v>
      </c>
      <c r="D155" s="2" t="s">
        <v>1171</v>
      </c>
      <c r="E155" s="2" t="s">
        <v>1172</v>
      </c>
      <c r="F155" s="2"/>
      <c r="G155" s="2"/>
      <c r="H155" s="2"/>
      <c r="I155" s="2"/>
    </row>
    <row r="156" spans="1:9" ht="105" x14ac:dyDescent="0.25">
      <c r="A156" s="2" t="s">
        <v>1170</v>
      </c>
      <c r="B156" s="2" t="s">
        <v>921</v>
      </c>
      <c r="C156" s="2" t="s">
        <v>775</v>
      </c>
      <c r="D156" s="2" t="s">
        <v>1171</v>
      </c>
      <c r="E156" s="2" t="s">
        <v>1173</v>
      </c>
      <c r="F156" s="2"/>
      <c r="G156" s="2"/>
      <c r="H156" s="2"/>
      <c r="I156" s="2"/>
    </row>
    <row r="157" spans="1:9" ht="105" x14ac:dyDescent="0.25">
      <c r="A157" s="2" t="s">
        <v>1170</v>
      </c>
      <c r="B157" s="2" t="s">
        <v>921</v>
      </c>
      <c r="C157" s="2" t="s">
        <v>775</v>
      </c>
      <c r="D157" s="2" t="s">
        <v>1171</v>
      </c>
      <c r="E157" s="2" t="s">
        <v>1174</v>
      </c>
      <c r="F157" s="2"/>
      <c r="G157" s="2"/>
      <c r="H157" s="2"/>
      <c r="I157" s="2"/>
    </row>
    <row r="158" spans="1:9" ht="105" x14ac:dyDescent="0.25">
      <c r="A158" s="2" t="s">
        <v>1170</v>
      </c>
      <c r="B158" s="2" t="s">
        <v>921</v>
      </c>
      <c r="C158" s="2" t="s">
        <v>775</v>
      </c>
      <c r="D158" s="2" t="s">
        <v>1171</v>
      </c>
      <c r="E158" s="2" t="s">
        <v>459</v>
      </c>
      <c r="F158" s="2"/>
      <c r="G158" s="2"/>
      <c r="H158" s="2"/>
      <c r="I158" s="2"/>
    </row>
    <row r="159" spans="1:9" ht="105" x14ac:dyDescent="0.25">
      <c r="A159" s="2" t="s">
        <v>1170</v>
      </c>
      <c r="B159" s="2" t="s">
        <v>921</v>
      </c>
      <c r="C159" s="2" t="s">
        <v>775</v>
      </c>
      <c r="D159" s="2" t="s">
        <v>1171</v>
      </c>
      <c r="E159" s="2" t="s">
        <v>1175</v>
      </c>
      <c r="F159" s="2"/>
      <c r="G159" s="2"/>
      <c r="H159" s="2"/>
      <c r="I159" s="2"/>
    </row>
    <row r="160" spans="1:9" ht="105" x14ac:dyDescent="0.25">
      <c r="A160" s="2" t="s">
        <v>1170</v>
      </c>
      <c r="B160" s="2" t="s">
        <v>921</v>
      </c>
      <c r="C160" s="2" t="s">
        <v>775</v>
      </c>
      <c r="D160" s="2" t="s">
        <v>1171</v>
      </c>
      <c r="E160" s="2" t="s">
        <v>1176</v>
      </c>
      <c r="F160" s="2"/>
      <c r="G160" s="2"/>
      <c r="H160" s="2"/>
      <c r="I160" s="2"/>
    </row>
    <row r="161" spans="1:9" ht="105" x14ac:dyDescent="0.25">
      <c r="A161" s="2" t="s">
        <v>1170</v>
      </c>
      <c r="B161" s="2" t="s">
        <v>921</v>
      </c>
      <c r="C161" s="2" t="s">
        <v>775</v>
      </c>
      <c r="D161" s="2" t="s">
        <v>1171</v>
      </c>
      <c r="E161" s="2" t="s">
        <v>1177</v>
      </c>
      <c r="F161" s="2"/>
      <c r="G161" s="2"/>
      <c r="H161" s="2"/>
      <c r="I161" s="2"/>
    </row>
    <row r="162" spans="1:9" ht="75" x14ac:dyDescent="0.25">
      <c r="A162" s="2" t="s">
        <v>1178</v>
      </c>
      <c r="B162" s="2" t="s">
        <v>921</v>
      </c>
      <c r="C162" s="2" t="s">
        <v>775</v>
      </c>
      <c r="D162" s="2" t="s">
        <v>1179</v>
      </c>
      <c r="E162" s="2" t="s">
        <v>1176</v>
      </c>
      <c r="F162" s="2"/>
      <c r="G162" s="2"/>
      <c r="H162" s="2"/>
      <c r="I162" s="2"/>
    </row>
    <row r="163" spans="1:9" ht="75" x14ac:dyDescent="0.25">
      <c r="A163" s="2" t="s">
        <v>1178</v>
      </c>
      <c r="B163" s="2" t="s">
        <v>921</v>
      </c>
      <c r="C163" s="2" t="s">
        <v>775</v>
      </c>
      <c r="D163" s="2" t="s">
        <v>1179</v>
      </c>
      <c r="E163" s="2" t="s">
        <v>1173</v>
      </c>
      <c r="F163" s="2"/>
      <c r="G163" s="2"/>
      <c r="H163" s="2"/>
      <c r="I163" s="2"/>
    </row>
    <row r="164" spans="1:9" ht="75" x14ac:dyDescent="0.25">
      <c r="A164" s="2" t="s">
        <v>1178</v>
      </c>
      <c r="B164" s="2" t="s">
        <v>921</v>
      </c>
      <c r="C164" s="2" t="s">
        <v>775</v>
      </c>
      <c r="D164" s="2" t="s">
        <v>1179</v>
      </c>
      <c r="E164" s="2" t="s">
        <v>1174</v>
      </c>
      <c r="F164" s="2"/>
      <c r="G164" s="2"/>
      <c r="H164" s="2"/>
      <c r="I164" s="2"/>
    </row>
    <row r="165" spans="1:9" ht="75" x14ac:dyDescent="0.25">
      <c r="A165" s="2" t="s">
        <v>1178</v>
      </c>
      <c r="B165" s="2" t="s">
        <v>921</v>
      </c>
      <c r="C165" s="2" t="s">
        <v>775</v>
      </c>
      <c r="D165" s="2" t="s">
        <v>1179</v>
      </c>
      <c r="E165" s="2" t="s">
        <v>1175</v>
      </c>
      <c r="F165" s="2"/>
      <c r="G165" s="2"/>
      <c r="H165" s="2"/>
      <c r="I165" s="2"/>
    </row>
    <row r="166" spans="1:9" ht="75" x14ac:dyDescent="0.25">
      <c r="A166" s="2" t="s">
        <v>1178</v>
      </c>
      <c r="B166" s="2" t="s">
        <v>921</v>
      </c>
      <c r="C166" s="2" t="s">
        <v>775</v>
      </c>
      <c r="D166" s="2" t="s">
        <v>1179</v>
      </c>
      <c r="E166" s="2" t="s">
        <v>459</v>
      </c>
      <c r="F166" s="2"/>
      <c r="G166" s="2"/>
      <c r="H166" s="2"/>
      <c r="I166" s="2"/>
    </row>
    <row r="167" spans="1:9" ht="105" x14ac:dyDescent="0.25">
      <c r="A167" s="2" t="s">
        <v>1180</v>
      </c>
      <c r="B167" s="2" t="s">
        <v>921</v>
      </c>
      <c r="C167" s="2" t="s">
        <v>775</v>
      </c>
      <c r="D167" s="2" t="s">
        <v>1181</v>
      </c>
      <c r="E167" s="2"/>
      <c r="F167" s="2"/>
      <c r="G167" s="2"/>
      <c r="H167" s="2"/>
      <c r="I167" s="2"/>
    </row>
    <row r="168" spans="1:9" ht="45" x14ac:dyDescent="0.25">
      <c r="A168" s="2" t="s">
        <v>1182</v>
      </c>
      <c r="B168" s="2" t="s">
        <v>68</v>
      </c>
      <c r="C168" s="2" t="s">
        <v>841</v>
      </c>
      <c r="D168" s="2" t="s">
        <v>1183</v>
      </c>
      <c r="E168" s="2" t="s">
        <v>1184</v>
      </c>
      <c r="F168" s="2"/>
      <c r="G168" s="2"/>
      <c r="H168" s="2" t="s">
        <v>1185</v>
      </c>
      <c r="I168" s="2" t="s">
        <v>1186</v>
      </c>
    </row>
    <row r="169" spans="1:9" ht="45" x14ac:dyDescent="0.25">
      <c r="A169" s="2" t="s">
        <v>1182</v>
      </c>
      <c r="B169" s="2" t="s">
        <v>68</v>
      </c>
      <c r="C169" s="2" t="s">
        <v>841</v>
      </c>
      <c r="D169" s="2" t="s">
        <v>1183</v>
      </c>
      <c r="E169" s="2" t="s">
        <v>1187</v>
      </c>
      <c r="F169" s="2"/>
      <c r="G169" s="2"/>
      <c r="H169" s="2"/>
      <c r="I169" s="2"/>
    </row>
    <row r="170" spans="1:9" ht="135" x14ac:dyDescent="0.25">
      <c r="A170" s="2" t="s">
        <v>1188</v>
      </c>
      <c r="B170" s="2" t="s">
        <v>921</v>
      </c>
      <c r="C170" s="2" t="s">
        <v>775</v>
      </c>
      <c r="D170" s="2" t="s">
        <v>1189</v>
      </c>
      <c r="E170" s="2"/>
      <c r="F170" s="2"/>
      <c r="G170" s="2"/>
      <c r="H170" s="2"/>
      <c r="I170" s="2"/>
    </row>
    <row r="171" spans="1:9" ht="135" x14ac:dyDescent="0.25">
      <c r="A171" s="2" t="s">
        <v>1188</v>
      </c>
      <c r="B171" s="2" t="s">
        <v>921</v>
      </c>
      <c r="C171" s="2" t="s">
        <v>775</v>
      </c>
      <c r="D171" s="2" t="s">
        <v>1190</v>
      </c>
      <c r="E171" s="2" t="s">
        <v>1191</v>
      </c>
      <c r="F171" s="2"/>
      <c r="G171" s="2"/>
      <c r="H171" s="2"/>
      <c r="I171" s="2"/>
    </row>
    <row r="172" spans="1:9" ht="75" x14ac:dyDescent="0.25">
      <c r="A172" s="2" t="s">
        <v>1192</v>
      </c>
      <c r="B172" s="2" t="s">
        <v>68</v>
      </c>
      <c r="C172" s="2" t="s">
        <v>841</v>
      </c>
      <c r="D172" s="2" t="s">
        <v>1193</v>
      </c>
      <c r="E172" s="2" t="s">
        <v>1194</v>
      </c>
      <c r="F172" s="2"/>
      <c r="G172" s="2"/>
      <c r="H172" s="2"/>
      <c r="I172" s="2"/>
    </row>
    <row r="173" spans="1:9" ht="45" x14ac:dyDescent="0.25">
      <c r="A173" s="2" t="s">
        <v>1195</v>
      </c>
      <c r="B173" s="2" t="s">
        <v>68</v>
      </c>
      <c r="C173" s="2" t="s">
        <v>841</v>
      </c>
      <c r="D173" s="2" t="s">
        <v>1196</v>
      </c>
      <c r="E173" s="2" t="s">
        <v>1197</v>
      </c>
      <c r="F173" s="2"/>
      <c r="G173" s="2"/>
      <c r="H173" s="2"/>
      <c r="I173" s="2"/>
    </row>
    <row r="174" spans="1:9" ht="45" x14ac:dyDescent="0.25">
      <c r="A174" s="2" t="s">
        <v>1198</v>
      </c>
      <c r="B174" s="2" t="s">
        <v>68</v>
      </c>
      <c r="C174" s="2" t="s">
        <v>841</v>
      </c>
      <c r="D174" s="2" t="s">
        <v>1199</v>
      </c>
      <c r="E174" s="2" t="s">
        <v>1200</v>
      </c>
      <c r="F174" s="2"/>
      <c r="G174" s="2"/>
      <c r="H174" s="2"/>
      <c r="I174" s="2"/>
    </row>
    <row r="175" spans="1:9" ht="45" x14ac:dyDescent="0.25">
      <c r="A175" s="2" t="s">
        <v>1198</v>
      </c>
      <c r="B175" s="2" t="s">
        <v>68</v>
      </c>
      <c r="C175" s="2" t="s">
        <v>841</v>
      </c>
      <c r="D175" s="2" t="s">
        <v>1199</v>
      </c>
      <c r="E175" s="2" t="s">
        <v>1201</v>
      </c>
      <c r="F175" s="2"/>
      <c r="G175" s="2"/>
      <c r="H175" s="2"/>
      <c r="I175" s="2"/>
    </row>
    <row r="176" spans="1:9" ht="45" x14ac:dyDescent="0.25">
      <c r="A176" s="2" t="s">
        <v>1202</v>
      </c>
      <c r="B176" s="2" t="s">
        <v>68</v>
      </c>
      <c r="C176" s="2" t="s">
        <v>841</v>
      </c>
      <c r="D176" s="2" t="s">
        <v>1203</v>
      </c>
      <c r="E176" s="2" t="s">
        <v>1204</v>
      </c>
      <c r="F176" s="2"/>
      <c r="G176" s="2"/>
      <c r="H176" s="2"/>
      <c r="I176" s="2"/>
    </row>
    <row r="177" spans="1:9" ht="45" x14ac:dyDescent="0.25">
      <c r="A177" s="2" t="s">
        <v>1202</v>
      </c>
      <c r="B177" s="2" t="s">
        <v>68</v>
      </c>
      <c r="C177" s="2" t="s">
        <v>841</v>
      </c>
      <c r="D177" s="2" t="s">
        <v>1203</v>
      </c>
      <c r="E177" s="2" t="s">
        <v>1205</v>
      </c>
      <c r="F177" s="2"/>
      <c r="G177" s="2"/>
      <c r="H177" s="2"/>
      <c r="I177" s="2"/>
    </row>
    <row r="178" spans="1:9" ht="45" x14ac:dyDescent="0.25">
      <c r="A178" s="2" t="s">
        <v>1202</v>
      </c>
      <c r="B178" s="2" t="s">
        <v>68</v>
      </c>
      <c r="C178" s="2" t="s">
        <v>841</v>
      </c>
      <c r="D178" s="2" t="s">
        <v>1203</v>
      </c>
      <c r="E178" s="2" t="s">
        <v>1206</v>
      </c>
      <c r="F178" s="2"/>
      <c r="G178" s="2"/>
      <c r="H178" s="2" t="s">
        <v>1207</v>
      </c>
      <c r="I178" s="2" t="s">
        <v>1208</v>
      </c>
    </row>
    <row r="179" spans="1:9" ht="45" x14ac:dyDescent="0.25">
      <c r="A179" s="2" t="s">
        <v>1202</v>
      </c>
      <c r="B179" s="2" t="s">
        <v>68</v>
      </c>
      <c r="C179" s="2" t="s">
        <v>841</v>
      </c>
      <c r="D179" s="2" t="s">
        <v>1203</v>
      </c>
      <c r="E179" s="2" t="s">
        <v>1209</v>
      </c>
      <c r="F179" s="2"/>
      <c r="G179" s="2"/>
      <c r="H179" s="2" t="s">
        <v>1210</v>
      </c>
      <c r="I179" s="2" t="s">
        <v>1211</v>
      </c>
    </row>
    <row r="180" spans="1:9" ht="60" x14ac:dyDescent="0.25">
      <c r="A180" s="2" t="s">
        <v>1212</v>
      </c>
      <c r="B180" s="2" t="s">
        <v>68</v>
      </c>
      <c r="C180" s="2" t="s">
        <v>841</v>
      </c>
      <c r="D180" s="2" t="s">
        <v>1213</v>
      </c>
      <c r="E180" s="2" t="s">
        <v>1214</v>
      </c>
      <c r="F180" s="2"/>
      <c r="G180" s="2"/>
      <c r="H180" s="2"/>
      <c r="I180" s="2"/>
    </row>
    <row r="181" spans="1:9" ht="75" x14ac:dyDescent="0.25">
      <c r="A181" s="2" t="s">
        <v>1215</v>
      </c>
      <c r="B181" s="2" t="s">
        <v>68</v>
      </c>
      <c r="C181" s="2" t="s">
        <v>841</v>
      </c>
      <c r="D181" s="2" t="s">
        <v>1216</v>
      </c>
      <c r="E181" s="2" t="s">
        <v>1217</v>
      </c>
      <c r="F181" s="2"/>
      <c r="G181" s="2"/>
      <c r="H181" s="2"/>
      <c r="I181" s="2"/>
    </row>
    <row r="182" spans="1:9" ht="60" x14ac:dyDescent="0.25">
      <c r="A182" s="2" t="s">
        <v>1218</v>
      </c>
      <c r="B182" s="2" t="s">
        <v>68</v>
      </c>
      <c r="C182" s="2" t="s">
        <v>841</v>
      </c>
      <c r="D182" s="2" t="s">
        <v>1219</v>
      </c>
      <c r="E182" s="2" t="s">
        <v>1220</v>
      </c>
      <c r="F182" s="2"/>
      <c r="G182" s="2"/>
      <c r="H182" s="2"/>
      <c r="I182" s="2"/>
    </row>
    <row r="183" spans="1:9" ht="75" x14ac:dyDescent="0.25">
      <c r="A183" s="2" t="s">
        <v>1221</v>
      </c>
      <c r="B183" s="2" t="s">
        <v>68</v>
      </c>
      <c r="C183" s="2" t="s">
        <v>775</v>
      </c>
      <c r="D183" s="2" t="s">
        <v>1222</v>
      </c>
      <c r="E183" s="2" t="s">
        <v>1223</v>
      </c>
      <c r="F183" s="2"/>
      <c r="G183" s="2"/>
      <c r="H183" s="2"/>
      <c r="I183" s="2"/>
    </row>
    <row r="184" spans="1:9" ht="75" x14ac:dyDescent="0.25">
      <c r="A184" s="2" t="s">
        <v>1221</v>
      </c>
      <c r="B184" s="2" t="s">
        <v>68</v>
      </c>
      <c r="C184" s="2" t="s">
        <v>775</v>
      </c>
      <c r="D184" s="2" t="s">
        <v>1222</v>
      </c>
      <c r="E184" s="2" t="s">
        <v>1224</v>
      </c>
      <c r="F184" s="2"/>
      <c r="G184" s="2"/>
      <c r="H184" s="2"/>
      <c r="I184" s="2"/>
    </row>
    <row r="185" spans="1:9" ht="75" x14ac:dyDescent="0.25">
      <c r="A185" s="2" t="s">
        <v>1221</v>
      </c>
      <c r="B185" s="2" t="s">
        <v>68</v>
      </c>
      <c r="C185" s="2" t="s">
        <v>775</v>
      </c>
      <c r="D185" s="2" t="s">
        <v>1222</v>
      </c>
      <c r="E185" s="2" t="s">
        <v>1225</v>
      </c>
      <c r="F185" s="2"/>
      <c r="G185" s="2"/>
      <c r="H185" s="2"/>
      <c r="I185" s="2"/>
    </row>
    <row r="186" spans="1:9" ht="75" x14ac:dyDescent="0.25">
      <c r="A186" s="2" t="s">
        <v>1221</v>
      </c>
      <c r="B186" s="2" t="s">
        <v>68</v>
      </c>
      <c r="C186" s="2" t="s">
        <v>775</v>
      </c>
      <c r="D186" s="2" t="s">
        <v>1222</v>
      </c>
      <c r="E186" s="2" t="s">
        <v>1226</v>
      </c>
      <c r="F186" s="2"/>
      <c r="G186" s="2"/>
      <c r="H186" s="2"/>
      <c r="I186" s="2"/>
    </row>
    <row r="187" spans="1:9" ht="75" x14ac:dyDescent="0.25">
      <c r="A187" s="2" t="s">
        <v>1221</v>
      </c>
      <c r="B187" s="2" t="s">
        <v>68</v>
      </c>
      <c r="C187" s="2" t="s">
        <v>775</v>
      </c>
      <c r="D187" s="2" t="s">
        <v>1222</v>
      </c>
      <c r="E187" s="2" t="s">
        <v>1227</v>
      </c>
      <c r="F187" s="2"/>
      <c r="G187" s="2"/>
      <c r="H187" s="2"/>
      <c r="I187" s="2"/>
    </row>
    <row r="188" spans="1:9" ht="75" x14ac:dyDescent="0.25">
      <c r="A188" s="2" t="s">
        <v>1221</v>
      </c>
      <c r="B188" s="2" t="s">
        <v>68</v>
      </c>
      <c r="C188" s="2" t="s">
        <v>775</v>
      </c>
      <c r="D188" s="2" t="s">
        <v>1222</v>
      </c>
      <c r="E188" s="2" t="s">
        <v>1228</v>
      </c>
      <c r="F188" s="2"/>
      <c r="G188" s="2"/>
      <c r="H188" s="2"/>
      <c r="I188" s="2"/>
    </row>
    <row r="189" spans="1:9" ht="75" x14ac:dyDescent="0.25">
      <c r="A189" s="2" t="s">
        <v>1229</v>
      </c>
      <c r="B189" s="2" t="s">
        <v>68</v>
      </c>
      <c r="C189" s="2" t="s">
        <v>775</v>
      </c>
      <c r="D189" s="2" t="s">
        <v>1230</v>
      </c>
      <c r="E189" s="2"/>
      <c r="F189" s="2"/>
      <c r="G189" s="2"/>
      <c r="H189" s="2"/>
      <c r="I189" s="2"/>
    </row>
    <row r="190" spans="1:9" ht="60" x14ac:dyDescent="0.25">
      <c r="A190" s="2" t="s">
        <v>1231</v>
      </c>
      <c r="B190" s="2" t="s">
        <v>921</v>
      </c>
      <c r="C190" s="2" t="s">
        <v>775</v>
      </c>
      <c r="D190" s="2" t="s">
        <v>1232</v>
      </c>
      <c r="E190" s="2" t="s">
        <v>1233</v>
      </c>
      <c r="F190" s="2"/>
      <c r="G190" s="2"/>
      <c r="H190" s="2"/>
      <c r="I190" s="2"/>
    </row>
    <row r="191" spans="1:9" ht="60" x14ac:dyDescent="0.25">
      <c r="A191" s="2" t="s">
        <v>1231</v>
      </c>
      <c r="B191" s="2" t="s">
        <v>921</v>
      </c>
      <c r="C191" s="2" t="s">
        <v>775</v>
      </c>
      <c r="D191" s="2" t="s">
        <v>1232</v>
      </c>
      <c r="E191" s="2" t="s">
        <v>1234</v>
      </c>
      <c r="F191" s="2"/>
      <c r="G191" s="2"/>
      <c r="H191" s="2"/>
      <c r="I191" s="2"/>
    </row>
    <row r="192" spans="1:9" ht="60" x14ac:dyDescent="0.25">
      <c r="A192" s="2" t="s">
        <v>1231</v>
      </c>
      <c r="B192" s="2" t="s">
        <v>921</v>
      </c>
      <c r="C192" s="2" t="s">
        <v>775</v>
      </c>
      <c r="D192" s="2" t="s">
        <v>1232</v>
      </c>
      <c r="E192" s="2" t="s">
        <v>1235</v>
      </c>
      <c r="F192" s="2"/>
      <c r="G192" s="2"/>
      <c r="H192" s="2"/>
      <c r="I192" s="2"/>
    </row>
    <row r="193" spans="1:9" ht="60" x14ac:dyDescent="0.25">
      <c r="A193" s="2" t="s">
        <v>1231</v>
      </c>
      <c r="B193" s="2" t="s">
        <v>921</v>
      </c>
      <c r="C193" s="2" t="s">
        <v>775</v>
      </c>
      <c r="D193" s="2" t="s">
        <v>1232</v>
      </c>
      <c r="E193" s="2" t="s">
        <v>1236</v>
      </c>
      <c r="F193" s="2"/>
      <c r="G193" s="2"/>
      <c r="H193" s="2"/>
      <c r="I193" s="2"/>
    </row>
    <row r="194" spans="1:9" ht="60" x14ac:dyDescent="0.25">
      <c r="A194" s="2" t="s">
        <v>1231</v>
      </c>
      <c r="B194" s="2" t="s">
        <v>921</v>
      </c>
      <c r="C194" s="2" t="s">
        <v>775</v>
      </c>
      <c r="D194" s="2" t="s">
        <v>1232</v>
      </c>
      <c r="E194" s="2" t="s">
        <v>1237</v>
      </c>
      <c r="F194" s="2"/>
      <c r="G194" s="2"/>
      <c r="H194" s="2"/>
      <c r="I194" s="2"/>
    </row>
    <row r="195" spans="1:9" ht="60" x14ac:dyDescent="0.25">
      <c r="A195" s="2" t="s">
        <v>1231</v>
      </c>
      <c r="B195" s="2" t="s">
        <v>921</v>
      </c>
      <c r="C195" s="2" t="s">
        <v>775</v>
      </c>
      <c r="D195" s="2" t="s">
        <v>1232</v>
      </c>
      <c r="E195" s="2" t="s">
        <v>1238</v>
      </c>
      <c r="F195" s="2"/>
      <c r="G195" s="2"/>
      <c r="H195" s="2"/>
      <c r="I195" s="2"/>
    </row>
    <row r="196" spans="1:9" ht="60" x14ac:dyDescent="0.25">
      <c r="A196" s="2" t="s">
        <v>1239</v>
      </c>
      <c r="B196" s="2" t="s">
        <v>68</v>
      </c>
      <c r="C196" s="2" t="s">
        <v>775</v>
      </c>
      <c r="D196" s="2" t="s">
        <v>1240</v>
      </c>
      <c r="E196" s="2"/>
      <c r="F196" s="2"/>
      <c r="G196" s="2"/>
      <c r="H196" s="2"/>
      <c r="I196" s="2"/>
    </row>
    <row r="197" spans="1:9" ht="60" x14ac:dyDescent="0.25">
      <c r="A197" s="2" t="s">
        <v>1241</v>
      </c>
      <c r="B197" s="2" t="s">
        <v>921</v>
      </c>
      <c r="C197" s="2" t="s">
        <v>775</v>
      </c>
      <c r="D197" s="2" t="s">
        <v>1242</v>
      </c>
      <c r="E197" s="2" t="s">
        <v>1243</v>
      </c>
      <c r="F197" s="2"/>
      <c r="G197" s="2"/>
      <c r="H197" s="2"/>
      <c r="I197" s="2"/>
    </row>
    <row r="198" spans="1:9" ht="45" x14ac:dyDescent="0.25">
      <c r="A198" s="2" t="s">
        <v>1244</v>
      </c>
      <c r="B198" s="2" t="s">
        <v>921</v>
      </c>
      <c r="C198" s="2" t="s">
        <v>775</v>
      </c>
      <c r="D198" s="2" t="s">
        <v>1245</v>
      </c>
      <c r="E198" s="2" t="s">
        <v>1246</v>
      </c>
      <c r="F198" s="2"/>
      <c r="G198" s="2"/>
      <c r="H198" s="2"/>
      <c r="I198" s="2"/>
    </row>
    <row r="199" spans="1:9" ht="45" x14ac:dyDescent="0.25">
      <c r="A199" s="2" t="s">
        <v>1244</v>
      </c>
      <c r="B199" s="2" t="s">
        <v>921</v>
      </c>
      <c r="C199" s="2" t="s">
        <v>775</v>
      </c>
      <c r="D199" s="2" t="s">
        <v>1245</v>
      </c>
      <c r="E199" s="2" t="s">
        <v>1247</v>
      </c>
      <c r="F199" s="2"/>
      <c r="G199" s="2"/>
      <c r="H199" s="2"/>
      <c r="I199" s="2"/>
    </row>
    <row r="200" spans="1:9" ht="45" x14ac:dyDescent="0.25">
      <c r="A200" s="2" t="s">
        <v>1244</v>
      </c>
      <c r="B200" s="2" t="s">
        <v>921</v>
      </c>
      <c r="C200" s="2" t="s">
        <v>775</v>
      </c>
      <c r="D200" s="2" t="s">
        <v>1245</v>
      </c>
      <c r="E200" s="2" t="s">
        <v>1248</v>
      </c>
      <c r="F200" s="2"/>
      <c r="G200" s="2"/>
      <c r="H200" s="2"/>
      <c r="I200" s="2"/>
    </row>
    <row r="201" spans="1:9" ht="45" x14ac:dyDescent="0.25">
      <c r="A201" s="2" t="s">
        <v>1244</v>
      </c>
      <c r="B201" s="2" t="s">
        <v>921</v>
      </c>
      <c r="C201" s="2" t="s">
        <v>775</v>
      </c>
      <c r="D201" s="2" t="s">
        <v>1245</v>
      </c>
      <c r="E201" s="2" t="s">
        <v>1249</v>
      </c>
      <c r="F201" s="2"/>
      <c r="G201" s="2"/>
      <c r="H201" s="2"/>
      <c r="I201" s="2"/>
    </row>
    <row r="202" spans="1:9" ht="60" x14ac:dyDescent="0.25">
      <c r="A202" s="2" t="s">
        <v>1250</v>
      </c>
      <c r="B202" s="2" t="s">
        <v>921</v>
      </c>
      <c r="C202" s="2" t="s">
        <v>775</v>
      </c>
      <c r="D202" s="2" t="s">
        <v>1251</v>
      </c>
      <c r="E202" s="2" t="s">
        <v>1252</v>
      </c>
      <c r="F202" s="2"/>
      <c r="G202" s="2"/>
      <c r="H202" s="2"/>
      <c r="I202" s="2"/>
    </row>
    <row r="203" spans="1:9" ht="90" x14ac:dyDescent="0.25">
      <c r="A203" s="2" t="s">
        <v>1253</v>
      </c>
      <c r="B203" s="2" t="s">
        <v>68</v>
      </c>
      <c r="C203" s="2" t="s">
        <v>775</v>
      </c>
      <c r="D203" s="2" t="s">
        <v>1254</v>
      </c>
      <c r="E203" s="2"/>
      <c r="F203" s="2"/>
      <c r="G203" s="2"/>
      <c r="H203" s="2"/>
      <c r="I203" s="2"/>
    </row>
    <row r="204" spans="1:9" ht="60" x14ac:dyDescent="0.25">
      <c r="A204" s="2" t="s">
        <v>1255</v>
      </c>
      <c r="B204" s="2" t="s">
        <v>68</v>
      </c>
      <c r="C204" s="2" t="s">
        <v>775</v>
      </c>
      <c r="D204" s="2" t="s">
        <v>1256</v>
      </c>
      <c r="E204" s="2"/>
      <c r="F204" s="2"/>
      <c r="G204" s="2"/>
      <c r="H204" s="2"/>
      <c r="I204" s="2"/>
    </row>
    <row r="205" spans="1:9" ht="60" x14ac:dyDescent="0.25">
      <c r="A205" s="2" t="s">
        <v>1257</v>
      </c>
      <c r="B205" s="2" t="s">
        <v>68</v>
      </c>
      <c r="C205" s="2" t="s">
        <v>775</v>
      </c>
      <c r="D205" s="2" t="s">
        <v>1258</v>
      </c>
      <c r="E205" s="2"/>
      <c r="F205" s="2"/>
      <c r="G205" s="2"/>
      <c r="H205" s="2"/>
      <c r="I205" s="2"/>
    </row>
    <row r="206" spans="1:9" ht="45" x14ac:dyDescent="0.25">
      <c r="A206" s="2" t="s">
        <v>1259</v>
      </c>
      <c r="B206" s="2" t="s">
        <v>68</v>
      </c>
      <c r="C206" s="2" t="s">
        <v>841</v>
      </c>
      <c r="D206" s="2" t="s">
        <v>1260</v>
      </c>
      <c r="E206" s="2" t="s">
        <v>1261</v>
      </c>
      <c r="F206" s="2"/>
      <c r="G206" s="2"/>
      <c r="H206" s="2"/>
      <c r="I206" s="2"/>
    </row>
    <row r="207" spans="1:9" ht="30" x14ac:dyDescent="0.25">
      <c r="A207" s="2" t="s">
        <v>1262</v>
      </c>
      <c r="B207" s="2" t="s">
        <v>68</v>
      </c>
      <c r="C207" s="2" t="s">
        <v>841</v>
      </c>
      <c r="D207" s="2" t="s">
        <v>1263</v>
      </c>
      <c r="E207" s="2" t="s">
        <v>1264</v>
      </c>
      <c r="F207" s="2"/>
      <c r="G207" s="2"/>
      <c r="H207" s="2"/>
      <c r="I207" s="2"/>
    </row>
    <row r="208" spans="1:9" ht="45" x14ac:dyDescent="0.25">
      <c r="A208" s="2" t="s">
        <v>1265</v>
      </c>
      <c r="B208" s="2" t="s">
        <v>68</v>
      </c>
      <c r="C208" s="2" t="s">
        <v>841</v>
      </c>
      <c r="D208" s="2" t="s">
        <v>1266</v>
      </c>
      <c r="E208" s="2" t="s">
        <v>1267</v>
      </c>
      <c r="F208" s="2"/>
      <c r="G208" s="2"/>
      <c r="H208" s="2"/>
      <c r="I208" s="2"/>
    </row>
    <row r="209" spans="1:9" ht="30" x14ac:dyDescent="0.25">
      <c r="A209" s="2" t="s">
        <v>1268</v>
      </c>
      <c r="B209" s="2" t="s">
        <v>794</v>
      </c>
      <c r="C209" s="2" t="s">
        <v>841</v>
      </c>
      <c r="D209" s="2" t="s">
        <v>1269</v>
      </c>
      <c r="E209" s="2" t="s">
        <v>1270</v>
      </c>
      <c r="F209" s="2"/>
      <c r="G209" s="2"/>
      <c r="H209" s="2"/>
      <c r="I209" s="2"/>
    </row>
    <row r="210" spans="1:9" ht="30" x14ac:dyDescent="0.25">
      <c r="A210" s="2" t="s">
        <v>1271</v>
      </c>
      <c r="B210" s="2" t="s">
        <v>68</v>
      </c>
      <c r="C210" s="2" t="s">
        <v>841</v>
      </c>
      <c r="D210" s="2" t="s">
        <v>1272</v>
      </c>
      <c r="E210" s="2"/>
      <c r="F210" s="2"/>
      <c r="G210" s="2"/>
      <c r="H210" s="2"/>
      <c r="I210" s="2"/>
    </row>
    <row r="211" spans="1:9" ht="60" x14ac:dyDescent="0.25">
      <c r="A211" s="2" t="s">
        <v>1273</v>
      </c>
      <c r="B211" s="2" t="s">
        <v>68</v>
      </c>
      <c r="C211" s="2" t="s">
        <v>841</v>
      </c>
      <c r="D211" s="2" t="s">
        <v>1274</v>
      </c>
      <c r="E211" s="2" t="s">
        <v>1275</v>
      </c>
      <c r="F211" s="2"/>
      <c r="G211" s="2"/>
      <c r="H211" s="2" t="s">
        <v>1276</v>
      </c>
      <c r="I211" s="2" t="s">
        <v>1277</v>
      </c>
    </row>
    <row r="212" spans="1:9" ht="30" x14ac:dyDescent="0.25">
      <c r="A212" s="2" t="s">
        <v>1273</v>
      </c>
      <c r="B212" s="2" t="s">
        <v>68</v>
      </c>
      <c r="C212" s="2" t="s">
        <v>775</v>
      </c>
      <c r="D212" s="2" t="s">
        <v>1115</v>
      </c>
      <c r="E212" s="2" t="s">
        <v>1278</v>
      </c>
      <c r="F212" s="2"/>
      <c r="G212" s="2"/>
      <c r="H212" s="2" t="s">
        <v>1279</v>
      </c>
      <c r="I212" s="2" t="s">
        <v>1280</v>
      </c>
    </row>
    <row r="213" spans="1:9" ht="75" x14ac:dyDescent="0.25">
      <c r="A213" s="2" t="s">
        <v>1281</v>
      </c>
      <c r="B213" s="2" t="s">
        <v>68</v>
      </c>
      <c r="C213" s="2" t="s">
        <v>841</v>
      </c>
      <c r="D213" s="2" t="s">
        <v>1282</v>
      </c>
      <c r="E213" s="2" t="s">
        <v>1283</v>
      </c>
      <c r="F213" s="2"/>
      <c r="G213" s="2"/>
      <c r="H213" s="2"/>
      <c r="I213" s="2"/>
    </row>
    <row r="214" spans="1:9" ht="30" x14ac:dyDescent="0.25">
      <c r="A214" s="2" t="s">
        <v>1284</v>
      </c>
      <c r="B214" s="2" t="s">
        <v>68</v>
      </c>
      <c r="C214" s="2" t="s">
        <v>775</v>
      </c>
      <c r="D214" s="2" t="s">
        <v>1115</v>
      </c>
      <c r="E214" s="2" t="s">
        <v>1285</v>
      </c>
      <c r="F214" s="2"/>
      <c r="G214" s="2"/>
      <c r="H214" s="2" t="s">
        <v>1286</v>
      </c>
      <c r="I214" s="2" t="s">
        <v>1287</v>
      </c>
    </row>
    <row r="215" spans="1:9" ht="30" x14ac:dyDescent="0.25">
      <c r="A215" s="2" t="s">
        <v>1284</v>
      </c>
      <c r="B215" s="2" t="s">
        <v>68</v>
      </c>
      <c r="C215" s="2" t="s">
        <v>841</v>
      </c>
      <c r="D215" s="2" t="s">
        <v>1288</v>
      </c>
      <c r="E215" s="2" t="s">
        <v>1289</v>
      </c>
      <c r="F215" s="2"/>
      <c r="G215" s="2"/>
      <c r="H215" s="2" t="s">
        <v>1290</v>
      </c>
      <c r="I215" s="2" t="s">
        <v>1291</v>
      </c>
    </row>
    <row r="216" spans="1:9" ht="45" x14ac:dyDescent="0.25">
      <c r="A216" s="2" t="s">
        <v>1292</v>
      </c>
      <c r="B216" s="2" t="s">
        <v>68</v>
      </c>
      <c r="C216" s="2" t="s">
        <v>841</v>
      </c>
      <c r="D216" s="2" t="s">
        <v>1293</v>
      </c>
      <c r="E216" s="2"/>
      <c r="F216" s="2"/>
      <c r="G216" s="2"/>
      <c r="H216" s="2"/>
      <c r="I216" s="2"/>
    </row>
    <row r="217" spans="1:9" ht="30" x14ac:dyDescent="0.25">
      <c r="A217" s="2" t="s">
        <v>579</v>
      </c>
      <c r="B217" s="2" t="s">
        <v>68</v>
      </c>
      <c r="C217" s="2" t="s">
        <v>841</v>
      </c>
      <c r="D217" s="2" t="s">
        <v>1294</v>
      </c>
      <c r="E217" s="2" t="s">
        <v>573</v>
      </c>
      <c r="F217" s="2"/>
      <c r="G217" s="2"/>
      <c r="H217" s="2" t="s">
        <v>576</v>
      </c>
      <c r="I217" s="2" t="s">
        <v>1295</v>
      </c>
    </row>
    <row r="218" spans="1:9" ht="30" x14ac:dyDescent="0.25">
      <c r="A218" s="2" t="s">
        <v>585</v>
      </c>
      <c r="B218" s="2" t="s">
        <v>68</v>
      </c>
      <c r="C218" s="2" t="s">
        <v>841</v>
      </c>
      <c r="D218" s="2" t="s">
        <v>1296</v>
      </c>
      <c r="E218" s="2" t="s">
        <v>581</v>
      </c>
      <c r="F218" s="2"/>
      <c r="G218" s="2"/>
      <c r="H218" s="2" t="s">
        <v>584</v>
      </c>
      <c r="I218" s="2" t="s">
        <v>1297</v>
      </c>
    </row>
    <row r="219" spans="1:9" ht="60" x14ac:dyDescent="0.25">
      <c r="A219" s="2" t="s">
        <v>1298</v>
      </c>
      <c r="B219" s="2" t="s">
        <v>68</v>
      </c>
      <c r="C219" s="2" t="s">
        <v>841</v>
      </c>
      <c r="D219" s="2" t="s">
        <v>1299</v>
      </c>
      <c r="E219" s="2"/>
      <c r="F219" s="2"/>
      <c r="G219" s="2"/>
      <c r="H219" s="2"/>
      <c r="I219" s="2"/>
    </row>
    <row r="220" spans="1:9" ht="60" x14ac:dyDescent="0.25">
      <c r="A220" s="2" t="s">
        <v>1300</v>
      </c>
      <c r="B220" s="2" t="s">
        <v>794</v>
      </c>
      <c r="C220" s="2" t="s">
        <v>841</v>
      </c>
      <c r="D220" s="2" t="s">
        <v>1301</v>
      </c>
      <c r="E220" s="2"/>
      <c r="F220" s="2"/>
      <c r="G220" s="2"/>
      <c r="H220" s="2" t="s">
        <v>1302</v>
      </c>
      <c r="I220" s="2" t="s">
        <v>1303</v>
      </c>
    </row>
    <row r="221" spans="1:9" ht="45" x14ac:dyDescent="0.25">
      <c r="A221" s="2" t="s">
        <v>1304</v>
      </c>
      <c r="B221" s="2" t="s">
        <v>68</v>
      </c>
      <c r="C221" s="2" t="s">
        <v>841</v>
      </c>
      <c r="D221" s="2" t="s">
        <v>1305</v>
      </c>
      <c r="E221" s="2" t="s">
        <v>1306</v>
      </c>
      <c r="F221" s="2"/>
      <c r="G221" s="2"/>
      <c r="H221" s="2" t="s">
        <v>1307</v>
      </c>
      <c r="I221" s="2" t="s">
        <v>1308</v>
      </c>
    </row>
    <row r="222" spans="1:9" ht="45" x14ac:dyDescent="0.25">
      <c r="A222" s="2" t="s">
        <v>1309</v>
      </c>
      <c r="B222" s="2" t="s">
        <v>68</v>
      </c>
      <c r="C222" s="2" t="s">
        <v>841</v>
      </c>
      <c r="D222" s="2" t="s">
        <v>1310</v>
      </c>
      <c r="E222" s="2" t="s">
        <v>1311</v>
      </c>
      <c r="F222" s="2"/>
      <c r="G222" s="2"/>
      <c r="H222" s="2"/>
      <c r="I222" s="2"/>
    </row>
    <row r="223" spans="1:9" ht="30" x14ac:dyDescent="0.25">
      <c r="A223" s="2" t="s">
        <v>1312</v>
      </c>
      <c r="B223" s="2" t="s">
        <v>68</v>
      </c>
      <c r="C223" s="2" t="s">
        <v>841</v>
      </c>
      <c r="D223" s="2" t="s">
        <v>1313</v>
      </c>
      <c r="E223" s="2" t="s">
        <v>1314</v>
      </c>
      <c r="F223" s="2"/>
      <c r="G223" s="2"/>
      <c r="H223" s="2"/>
      <c r="I223" s="2"/>
    </row>
    <row r="224" spans="1:9" ht="75" x14ac:dyDescent="0.25">
      <c r="A224" s="2" t="s">
        <v>1315</v>
      </c>
      <c r="B224" s="2" t="s">
        <v>68</v>
      </c>
      <c r="C224" s="2" t="s">
        <v>841</v>
      </c>
      <c r="D224" s="2" t="s">
        <v>1316</v>
      </c>
      <c r="E224" s="2" t="s">
        <v>1317</v>
      </c>
      <c r="F224" s="2"/>
      <c r="G224" s="2"/>
      <c r="H224" s="2"/>
      <c r="I224" s="2"/>
    </row>
    <row r="225" spans="1:9" ht="45" x14ac:dyDescent="0.25">
      <c r="A225" s="2" t="s">
        <v>1318</v>
      </c>
      <c r="B225" s="2" t="s">
        <v>68</v>
      </c>
      <c r="C225" s="2" t="s">
        <v>841</v>
      </c>
      <c r="D225" s="2" t="s">
        <v>1319</v>
      </c>
      <c r="E225" s="2" t="s">
        <v>1320</v>
      </c>
      <c r="F225" s="2"/>
      <c r="G225" s="2"/>
      <c r="H225" s="2"/>
      <c r="I225" s="2"/>
    </row>
    <row r="226" spans="1:9" ht="45" x14ac:dyDescent="0.25">
      <c r="A226" s="2" t="s">
        <v>1318</v>
      </c>
      <c r="B226" s="2" t="s">
        <v>68</v>
      </c>
      <c r="C226" s="2" t="s">
        <v>841</v>
      </c>
      <c r="D226" s="2" t="s">
        <v>1319</v>
      </c>
      <c r="E226" s="2" t="s">
        <v>1321</v>
      </c>
      <c r="F226" s="2"/>
      <c r="G226" s="2"/>
      <c r="H226" s="2"/>
      <c r="I226" s="2"/>
    </row>
    <row r="227" spans="1:9" ht="75" x14ac:dyDescent="0.25">
      <c r="A227" s="2" t="s">
        <v>1322</v>
      </c>
      <c r="B227" s="2" t="s">
        <v>68</v>
      </c>
      <c r="C227" s="2" t="s">
        <v>841</v>
      </c>
      <c r="D227" s="2" t="s">
        <v>1323</v>
      </c>
      <c r="E227" s="2" t="s">
        <v>1324</v>
      </c>
      <c r="F227" s="2"/>
      <c r="G227" s="2"/>
      <c r="H227" s="2"/>
      <c r="I227" s="2"/>
    </row>
    <row r="228" spans="1:9" ht="30" x14ac:dyDescent="0.25">
      <c r="A228" s="2" t="s">
        <v>1325</v>
      </c>
      <c r="B228" s="2" t="s">
        <v>68</v>
      </c>
      <c r="C228" s="2" t="s">
        <v>841</v>
      </c>
      <c r="D228" s="2" t="s">
        <v>1326</v>
      </c>
      <c r="E228" s="2" t="s">
        <v>1327</v>
      </c>
      <c r="F228" s="2"/>
      <c r="G228" s="2"/>
      <c r="H228" s="2"/>
      <c r="I228" s="2"/>
    </row>
    <row r="229" spans="1:9" ht="45" x14ac:dyDescent="0.25">
      <c r="A229" s="2" t="s">
        <v>1328</v>
      </c>
      <c r="B229" s="2" t="s">
        <v>68</v>
      </c>
      <c r="C229" s="2" t="s">
        <v>841</v>
      </c>
      <c r="D229" s="2" t="s">
        <v>1329</v>
      </c>
      <c r="E229" s="2" t="s">
        <v>1330</v>
      </c>
      <c r="F229" s="2"/>
      <c r="G229" s="2"/>
      <c r="H229" s="2"/>
      <c r="I229" s="2"/>
    </row>
    <row r="230" spans="1:9" ht="60" x14ac:dyDescent="0.25">
      <c r="A230" s="2" t="s">
        <v>1331</v>
      </c>
      <c r="B230" s="2" t="s">
        <v>794</v>
      </c>
      <c r="C230" s="2" t="s">
        <v>841</v>
      </c>
      <c r="D230" s="2" t="s">
        <v>1332</v>
      </c>
      <c r="E230" s="2" t="s">
        <v>1333</v>
      </c>
      <c r="F230" s="2"/>
      <c r="G230" s="2"/>
      <c r="H230" s="2"/>
      <c r="I230" s="2"/>
    </row>
    <row r="231" spans="1:9" ht="75" x14ac:dyDescent="0.25">
      <c r="A231" s="2" t="s">
        <v>1334</v>
      </c>
      <c r="B231" s="2" t="s">
        <v>68</v>
      </c>
      <c r="C231" s="2" t="s">
        <v>841</v>
      </c>
      <c r="D231" s="2" t="s">
        <v>1335</v>
      </c>
      <c r="E231" s="2" t="s">
        <v>1336</v>
      </c>
      <c r="F231" s="2"/>
      <c r="G231" s="2"/>
      <c r="H231" s="2" t="s">
        <v>1337</v>
      </c>
      <c r="I231" s="2" t="s">
        <v>1338</v>
      </c>
    </row>
    <row r="232" spans="1:9" ht="45" x14ac:dyDescent="0.25">
      <c r="A232" s="2" t="s">
        <v>262</v>
      </c>
      <c r="B232" s="2" t="s">
        <v>794</v>
      </c>
      <c r="C232" s="2" t="s">
        <v>775</v>
      </c>
      <c r="D232" s="2" t="s">
        <v>1339</v>
      </c>
      <c r="E232" s="2" t="s">
        <v>258</v>
      </c>
      <c r="F232" s="2"/>
      <c r="G232" s="2"/>
      <c r="H232" s="2" t="s">
        <v>261</v>
      </c>
      <c r="I232" s="2" t="s">
        <v>1340</v>
      </c>
    </row>
    <row r="233" spans="1:9" ht="30" x14ac:dyDescent="0.25">
      <c r="A233" s="2" t="s">
        <v>1341</v>
      </c>
      <c r="B233" s="2" t="s">
        <v>68</v>
      </c>
      <c r="C233" s="2" t="s">
        <v>841</v>
      </c>
      <c r="D233" s="2" t="s">
        <v>1342</v>
      </c>
      <c r="E233" s="2" t="s">
        <v>1343</v>
      </c>
      <c r="F233" s="2"/>
      <c r="G233" s="2"/>
      <c r="H233" s="2"/>
      <c r="I233" s="2"/>
    </row>
    <row r="234" spans="1:9" ht="45" x14ac:dyDescent="0.25">
      <c r="A234" s="2" t="s">
        <v>1344</v>
      </c>
      <c r="B234" s="2" t="s">
        <v>68</v>
      </c>
      <c r="C234" s="2" t="s">
        <v>841</v>
      </c>
      <c r="D234" s="2" t="s">
        <v>1345</v>
      </c>
      <c r="E234" s="2" t="s">
        <v>1346</v>
      </c>
      <c r="F234" s="2"/>
      <c r="G234" s="2"/>
      <c r="H234" s="2"/>
      <c r="I234" s="2"/>
    </row>
    <row r="235" spans="1:9" ht="45" x14ac:dyDescent="0.25">
      <c r="A235" s="2" t="s">
        <v>1344</v>
      </c>
      <c r="B235" s="2" t="s">
        <v>68</v>
      </c>
      <c r="C235" s="2" t="s">
        <v>841</v>
      </c>
      <c r="D235" s="2" t="s">
        <v>1345</v>
      </c>
      <c r="E235" s="2" t="s">
        <v>1347</v>
      </c>
      <c r="F235" s="2"/>
      <c r="G235" s="2"/>
      <c r="H235" s="2" t="s">
        <v>1348</v>
      </c>
      <c r="I235" s="2" t="s">
        <v>1349</v>
      </c>
    </row>
    <row r="236" spans="1:9" ht="45" x14ac:dyDescent="0.25">
      <c r="A236" s="2" t="s">
        <v>1344</v>
      </c>
      <c r="B236" s="2" t="s">
        <v>68</v>
      </c>
      <c r="C236" s="2" t="s">
        <v>841</v>
      </c>
      <c r="D236" s="2" t="s">
        <v>1345</v>
      </c>
      <c r="E236" s="2" t="s">
        <v>1350</v>
      </c>
      <c r="F236" s="2"/>
      <c r="G236" s="2"/>
      <c r="H236" s="2"/>
      <c r="I236" s="2"/>
    </row>
    <row r="237" spans="1:9" ht="45" x14ac:dyDescent="0.25">
      <c r="A237" s="2" t="s">
        <v>1344</v>
      </c>
      <c r="B237" s="2" t="s">
        <v>68</v>
      </c>
      <c r="C237" s="2" t="s">
        <v>841</v>
      </c>
      <c r="D237" s="2" t="s">
        <v>1345</v>
      </c>
      <c r="E237" s="2" t="s">
        <v>1351</v>
      </c>
      <c r="F237" s="2"/>
      <c r="G237" s="2"/>
      <c r="H237" s="2"/>
      <c r="I237" s="2"/>
    </row>
    <row r="238" spans="1:9" ht="60" x14ac:dyDescent="0.25">
      <c r="A238" s="2" t="s">
        <v>1352</v>
      </c>
      <c r="B238" s="2" t="s">
        <v>68</v>
      </c>
      <c r="C238" s="2" t="s">
        <v>841</v>
      </c>
      <c r="D238" s="2" t="s">
        <v>1353</v>
      </c>
      <c r="E238" s="2"/>
      <c r="F238" s="2"/>
      <c r="G238" s="2"/>
      <c r="H238" s="2"/>
      <c r="I238" s="2"/>
    </row>
    <row r="239" spans="1:9" ht="75" x14ac:dyDescent="0.25">
      <c r="A239" s="2" t="s">
        <v>1354</v>
      </c>
      <c r="B239" s="2" t="s">
        <v>68</v>
      </c>
      <c r="C239" s="2" t="s">
        <v>841</v>
      </c>
      <c r="D239" s="2" t="s">
        <v>1355</v>
      </c>
      <c r="E239" s="2" t="s">
        <v>1356</v>
      </c>
      <c r="F239" s="2"/>
      <c r="G239" s="2"/>
      <c r="H239" s="2"/>
      <c r="I239" s="2"/>
    </row>
    <row r="240" spans="1:9" ht="60" x14ac:dyDescent="0.25">
      <c r="A240" s="2" t="s">
        <v>1357</v>
      </c>
      <c r="B240" s="2" t="s">
        <v>68</v>
      </c>
      <c r="C240" s="2" t="s">
        <v>841</v>
      </c>
      <c r="D240" s="2" t="s">
        <v>1358</v>
      </c>
      <c r="E240" s="2"/>
      <c r="F240" s="2" t="s">
        <v>1359</v>
      </c>
      <c r="G240" s="2"/>
      <c r="H240" s="2"/>
      <c r="I240" s="2"/>
    </row>
    <row r="241" spans="1:9" ht="60" x14ac:dyDescent="0.25">
      <c r="A241" s="2" t="s">
        <v>1360</v>
      </c>
      <c r="B241" s="2" t="s">
        <v>68</v>
      </c>
      <c r="C241" s="2" t="s">
        <v>841</v>
      </c>
      <c r="D241" s="2" t="s">
        <v>1361</v>
      </c>
      <c r="E241" s="2"/>
      <c r="F241" s="2" t="s">
        <v>1359</v>
      </c>
      <c r="G241" s="2"/>
      <c r="H241" s="2"/>
      <c r="I241" s="2"/>
    </row>
    <row r="242" spans="1:9" ht="75" x14ac:dyDescent="0.25">
      <c r="A242" s="2" t="s">
        <v>1362</v>
      </c>
      <c r="B242" s="2" t="s">
        <v>794</v>
      </c>
      <c r="C242" s="2" t="s">
        <v>841</v>
      </c>
      <c r="D242" s="2" t="s">
        <v>1363</v>
      </c>
      <c r="E242" s="2"/>
      <c r="F242" s="2"/>
      <c r="G242" s="2"/>
      <c r="H242" s="2" t="s">
        <v>1364</v>
      </c>
      <c r="I242" s="2" t="s">
        <v>1365</v>
      </c>
    </row>
    <row r="243" spans="1:9" ht="75" x14ac:dyDescent="0.25">
      <c r="A243" s="2" t="s">
        <v>1366</v>
      </c>
      <c r="B243" s="2" t="s">
        <v>68</v>
      </c>
      <c r="C243" s="2" t="s">
        <v>841</v>
      </c>
      <c r="D243" s="2" t="s">
        <v>1367</v>
      </c>
      <c r="E243" s="2" t="s">
        <v>1368</v>
      </c>
      <c r="F243" s="2"/>
      <c r="G243" s="2"/>
      <c r="H243" s="2"/>
      <c r="I243" s="2"/>
    </row>
    <row r="244" spans="1:9" ht="75" x14ac:dyDescent="0.25">
      <c r="A244" s="2" t="s">
        <v>1369</v>
      </c>
      <c r="B244" s="2" t="s">
        <v>794</v>
      </c>
      <c r="C244" s="2" t="s">
        <v>841</v>
      </c>
      <c r="D244" s="2" t="s">
        <v>1370</v>
      </c>
      <c r="E244" s="2"/>
      <c r="F244" s="2"/>
      <c r="G244" s="2"/>
      <c r="H244" s="2" t="s">
        <v>1371</v>
      </c>
      <c r="I244" s="2" t="s">
        <v>1372</v>
      </c>
    </row>
    <row r="245" spans="1:9" ht="75" x14ac:dyDescent="0.25">
      <c r="A245" s="2" t="s">
        <v>1373</v>
      </c>
      <c r="B245" s="2" t="s">
        <v>921</v>
      </c>
      <c r="C245" s="2" t="s">
        <v>775</v>
      </c>
      <c r="D245" s="2" t="s">
        <v>1374</v>
      </c>
      <c r="E245" s="2" t="s">
        <v>1375</v>
      </c>
      <c r="F245" s="2"/>
      <c r="G245" s="2"/>
      <c r="H245" s="2"/>
      <c r="I245" s="2"/>
    </row>
    <row r="246" spans="1:9" ht="75" x14ac:dyDescent="0.25">
      <c r="A246" s="2" t="s">
        <v>1373</v>
      </c>
      <c r="B246" s="2" t="s">
        <v>921</v>
      </c>
      <c r="C246" s="2" t="s">
        <v>775</v>
      </c>
      <c r="D246" s="2" t="s">
        <v>1374</v>
      </c>
      <c r="E246" s="2" t="s">
        <v>1376</v>
      </c>
      <c r="F246" s="2"/>
      <c r="G246" s="2"/>
      <c r="H246" s="2"/>
      <c r="I246" s="2"/>
    </row>
    <row r="247" spans="1:9" ht="75" x14ac:dyDescent="0.25">
      <c r="A247" s="2" t="s">
        <v>1373</v>
      </c>
      <c r="B247" s="2" t="s">
        <v>921</v>
      </c>
      <c r="C247" s="2" t="s">
        <v>775</v>
      </c>
      <c r="D247" s="2" t="s">
        <v>1374</v>
      </c>
      <c r="E247" s="2" t="s">
        <v>1377</v>
      </c>
      <c r="F247" s="2"/>
      <c r="G247" s="2"/>
      <c r="H247" s="2"/>
      <c r="I247" s="2"/>
    </row>
    <row r="248" spans="1:9" ht="75" x14ac:dyDescent="0.25">
      <c r="A248" s="2" t="s">
        <v>1373</v>
      </c>
      <c r="B248" s="2" t="s">
        <v>921</v>
      </c>
      <c r="C248" s="2" t="s">
        <v>775</v>
      </c>
      <c r="D248" s="2" t="s">
        <v>1374</v>
      </c>
      <c r="E248" s="2" t="s">
        <v>1378</v>
      </c>
      <c r="F248" s="2"/>
      <c r="G248" s="2"/>
      <c r="H248" s="2"/>
      <c r="I248" s="2"/>
    </row>
    <row r="249" spans="1:9" ht="75" x14ac:dyDescent="0.25">
      <c r="A249" s="2" t="s">
        <v>1373</v>
      </c>
      <c r="B249" s="2" t="s">
        <v>921</v>
      </c>
      <c r="C249" s="2" t="s">
        <v>775</v>
      </c>
      <c r="D249" s="2" t="s">
        <v>1374</v>
      </c>
      <c r="E249" s="2" t="s">
        <v>1379</v>
      </c>
      <c r="F249" s="2"/>
      <c r="G249" s="2"/>
      <c r="H249" s="2"/>
      <c r="I249" s="2"/>
    </row>
    <row r="250" spans="1:9" ht="75" x14ac:dyDescent="0.25">
      <c r="A250" s="2" t="s">
        <v>1373</v>
      </c>
      <c r="B250" s="2" t="s">
        <v>921</v>
      </c>
      <c r="C250" s="2" t="s">
        <v>775</v>
      </c>
      <c r="D250" s="2" t="s">
        <v>1374</v>
      </c>
      <c r="E250" s="2" t="s">
        <v>1380</v>
      </c>
      <c r="F250" s="2"/>
      <c r="G250" s="2"/>
      <c r="H250" s="2"/>
      <c r="I250" s="2"/>
    </row>
    <row r="251" spans="1:9" ht="75" x14ac:dyDescent="0.25">
      <c r="A251" s="2" t="s">
        <v>1373</v>
      </c>
      <c r="B251" s="2" t="s">
        <v>921</v>
      </c>
      <c r="C251" s="2" t="s">
        <v>775</v>
      </c>
      <c r="D251" s="2" t="s">
        <v>1374</v>
      </c>
      <c r="E251" s="2" t="s">
        <v>1381</v>
      </c>
      <c r="F251" s="2"/>
      <c r="G251" s="2"/>
      <c r="H251" s="2"/>
      <c r="I251" s="2"/>
    </row>
    <row r="252" spans="1:9" ht="45" x14ac:dyDescent="0.25">
      <c r="A252" s="2" t="s">
        <v>1382</v>
      </c>
      <c r="B252" s="2" t="s">
        <v>68</v>
      </c>
      <c r="C252" s="2" t="s">
        <v>841</v>
      </c>
      <c r="D252" s="2" t="s">
        <v>1383</v>
      </c>
      <c r="E252" s="2" t="s">
        <v>1384</v>
      </c>
      <c r="F252" s="2"/>
      <c r="G252" s="2"/>
      <c r="H252" s="2"/>
      <c r="I252" s="2"/>
    </row>
    <row r="253" spans="1:9" ht="30" x14ac:dyDescent="0.25">
      <c r="A253" s="2" t="s">
        <v>1385</v>
      </c>
      <c r="B253" s="2" t="s">
        <v>68</v>
      </c>
      <c r="C253" s="2" t="s">
        <v>841</v>
      </c>
      <c r="D253" s="2" t="s">
        <v>1386</v>
      </c>
      <c r="E253" s="2" t="s">
        <v>1387</v>
      </c>
      <c r="F253" s="2"/>
      <c r="G253" s="2"/>
      <c r="H253" s="2"/>
      <c r="I253" s="2"/>
    </row>
    <row r="254" spans="1:9" ht="45" x14ac:dyDescent="0.25">
      <c r="A254" s="2" t="s">
        <v>1388</v>
      </c>
      <c r="B254" s="2" t="s">
        <v>68</v>
      </c>
      <c r="C254" s="2" t="s">
        <v>841</v>
      </c>
      <c r="D254" s="2" t="s">
        <v>1389</v>
      </c>
      <c r="E254" s="2" t="s">
        <v>1390</v>
      </c>
      <c r="F254" s="2"/>
      <c r="G254" s="2"/>
      <c r="H254" s="2"/>
      <c r="I254" s="2"/>
    </row>
    <row r="255" spans="1:9" ht="75" x14ac:dyDescent="0.25">
      <c r="A255" s="2" t="s">
        <v>1391</v>
      </c>
      <c r="B255" s="2" t="s">
        <v>68</v>
      </c>
      <c r="C255" s="2" t="s">
        <v>841</v>
      </c>
      <c r="D255" s="2" t="s">
        <v>1392</v>
      </c>
      <c r="E255" s="2" t="s">
        <v>1393</v>
      </c>
      <c r="F255" s="2"/>
      <c r="G255" s="2"/>
      <c r="H255" s="2"/>
      <c r="I255" s="2"/>
    </row>
  </sheetData>
  <autoFilter ref="A1:I255" xr:uid="{00000000-0009-0000-0000-00000B000000}"/>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5"/>
  <sheetViews>
    <sheetView workbookViewId="0"/>
  </sheetViews>
  <sheetFormatPr defaultRowHeight="15" x14ac:dyDescent="0.25"/>
  <cols>
    <col min="1" max="1" width="62" customWidth="1"/>
    <col min="2" max="3" width="10" customWidth="1"/>
  </cols>
  <sheetData>
    <row r="1" spans="1:3" x14ac:dyDescent="0.25">
      <c r="A1" s="13" t="s">
        <v>1394</v>
      </c>
      <c r="B1" s="13" t="s">
        <v>794</v>
      </c>
      <c r="C1" s="13" t="s">
        <v>68</v>
      </c>
    </row>
    <row r="2" spans="1:3" x14ac:dyDescent="0.25">
      <c r="A2" s="2" t="s">
        <v>1395</v>
      </c>
      <c r="B2" s="2">
        <v>12</v>
      </c>
      <c r="C2" s="2">
        <v>0</v>
      </c>
    </row>
    <row r="3" spans="1:3" x14ac:dyDescent="0.25">
      <c r="A3" s="2" t="s">
        <v>161</v>
      </c>
      <c r="B3" s="2">
        <v>13</v>
      </c>
      <c r="C3" s="2">
        <v>26</v>
      </c>
    </row>
    <row r="4" spans="1:3" ht="30" x14ac:dyDescent="0.25">
      <c r="A4" s="2" t="s">
        <v>578</v>
      </c>
      <c r="B4" s="2">
        <v>1</v>
      </c>
      <c r="C4" s="2">
        <v>14</v>
      </c>
    </row>
    <row r="5" spans="1:3" x14ac:dyDescent="0.25">
      <c r="A5" s="11" t="s">
        <v>1396</v>
      </c>
      <c r="B5" s="11">
        <v>26</v>
      </c>
      <c r="C5" s="11">
        <v>40</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10"/>
  <sheetViews>
    <sheetView workbookViewId="0"/>
  </sheetViews>
  <sheetFormatPr defaultRowHeight="15" x14ac:dyDescent="0.25"/>
  <cols>
    <col min="1" max="1" width="32" customWidth="1"/>
    <col min="2" max="2" width="28" customWidth="1"/>
  </cols>
  <sheetData>
    <row r="1" spans="1:2" ht="30" x14ac:dyDescent="0.25">
      <c r="A1" s="13" t="s">
        <v>140</v>
      </c>
      <c r="B1" s="13" t="s">
        <v>1397</v>
      </c>
    </row>
    <row r="2" spans="1:2" x14ac:dyDescent="0.25">
      <c r="A2" s="2" t="s">
        <v>577</v>
      </c>
      <c r="B2" s="2">
        <v>25</v>
      </c>
    </row>
    <row r="3" spans="1:2" x14ac:dyDescent="0.25">
      <c r="A3" s="2" t="s">
        <v>160</v>
      </c>
      <c r="B3" s="2">
        <v>8</v>
      </c>
    </row>
    <row r="4" spans="1:2" ht="30" x14ac:dyDescent="0.25">
      <c r="A4" s="2" t="s">
        <v>551</v>
      </c>
      <c r="B4" s="2">
        <v>4</v>
      </c>
    </row>
    <row r="5" spans="1:2" ht="30" x14ac:dyDescent="0.25">
      <c r="A5" s="2" t="s">
        <v>204</v>
      </c>
      <c r="B5" s="2">
        <v>8</v>
      </c>
    </row>
    <row r="6" spans="1:2" x14ac:dyDescent="0.25">
      <c r="A6" s="2" t="s">
        <v>234</v>
      </c>
      <c r="B6" s="2">
        <v>11</v>
      </c>
    </row>
    <row r="7" spans="1:2" x14ac:dyDescent="0.25">
      <c r="A7" s="2" t="s">
        <v>1398</v>
      </c>
      <c r="B7" s="2">
        <v>1</v>
      </c>
    </row>
    <row r="8" spans="1:2" x14ac:dyDescent="0.25">
      <c r="A8" s="2" t="s">
        <v>267</v>
      </c>
      <c r="B8" s="2">
        <v>3</v>
      </c>
    </row>
    <row r="9" spans="1:2" x14ac:dyDescent="0.25">
      <c r="A9" s="2" t="s">
        <v>321</v>
      </c>
      <c r="B9" s="2">
        <v>6</v>
      </c>
    </row>
    <row r="10" spans="1:2" x14ac:dyDescent="0.25">
      <c r="A10" s="11" t="s">
        <v>1396</v>
      </c>
      <c r="B10" s="11">
        <v>66</v>
      </c>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67"/>
  <sheetViews>
    <sheetView workbookViewId="0"/>
  </sheetViews>
  <sheetFormatPr defaultRowHeight="15" x14ac:dyDescent="0.25"/>
  <cols>
    <col min="1" max="1" width="11" customWidth="1"/>
    <col min="2" max="2" width="35" customWidth="1"/>
    <col min="3" max="3" width="23" customWidth="1"/>
    <col min="4" max="4" width="18" customWidth="1"/>
    <col min="5" max="5" width="26" customWidth="1"/>
    <col min="6" max="6" width="8" customWidth="1"/>
    <col min="7" max="8" width="10" customWidth="1"/>
    <col min="9" max="10" width="23" customWidth="1"/>
  </cols>
  <sheetData>
    <row r="1" spans="1:10" ht="30" x14ac:dyDescent="0.25">
      <c r="A1" s="3" t="s">
        <v>139</v>
      </c>
      <c r="B1" s="3" t="s">
        <v>773</v>
      </c>
      <c r="C1" s="3" t="s">
        <v>141</v>
      </c>
      <c r="D1" s="3" t="s">
        <v>140</v>
      </c>
      <c r="E1" s="3" t="s">
        <v>1399</v>
      </c>
      <c r="F1" s="13" t="s">
        <v>142</v>
      </c>
      <c r="G1" s="13" t="s">
        <v>63</v>
      </c>
      <c r="H1" s="13" t="s">
        <v>768</v>
      </c>
      <c r="I1" s="13" t="s">
        <v>769</v>
      </c>
      <c r="J1" s="13" t="s">
        <v>770</v>
      </c>
    </row>
    <row r="2" spans="1:10" ht="45" x14ac:dyDescent="0.25">
      <c r="A2" s="2" t="s">
        <v>817</v>
      </c>
      <c r="B2" s="2" t="s">
        <v>818</v>
      </c>
      <c r="C2" s="2" t="s">
        <v>1395</v>
      </c>
      <c r="D2" s="2" t="s">
        <v>577</v>
      </c>
      <c r="E2" s="2" t="s">
        <v>1400</v>
      </c>
      <c r="F2" s="2" t="s">
        <v>815</v>
      </c>
      <c r="G2" s="2" t="s">
        <v>794</v>
      </c>
      <c r="H2" s="2" t="s">
        <v>775</v>
      </c>
      <c r="I2" s="2" t="s">
        <v>816</v>
      </c>
      <c r="J2" s="2" t="s">
        <v>1401</v>
      </c>
    </row>
    <row r="3" spans="1:10" ht="90" x14ac:dyDescent="0.25">
      <c r="A3" s="2" t="s">
        <v>826</v>
      </c>
      <c r="B3" s="2" t="s">
        <v>827</v>
      </c>
      <c r="C3" s="2" t="s">
        <v>1395</v>
      </c>
      <c r="D3" s="2" t="s">
        <v>577</v>
      </c>
      <c r="E3" s="2" t="s">
        <v>1400</v>
      </c>
      <c r="F3" s="2" t="s">
        <v>824</v>
      </c>
      <c r="G3" s="2" t="s">
        <v>794</v>
      </c>
      <c r="H3" s="2" t="s">
        <v>775</v>
      </c>
      <c r="I3" s="2" t="s">
        <v>825</v>
      </c>
      <c r="J3" s="2" t="s">
        <v>1401</v>
      </c>
    </row>
    <row r="4" spans="1:10" ht="409.5" x14ac:dyDescent="0.25">
      <c r="A4" s="2" t="s">
        <v>758</v>
      </c>
      <c r="B4" s="2" t="s">
        <v>829</v>
      </c>
      <c r="C4" s="2" t="s">
        <v>161</v>
      </c>
      <c r="D4" s="2" t="s">
        <v>160</v>
      </c>
      <c r="E4" s="2" t="s">
        <v>1402</v>
      </c>
      <c r="F4" s="2" t="s">
        <v>759</v>
      </c>
      <c r="G4" s="2" t="s">
        <v>794</v>
      </c>
      <c r="H4" s="2" t="s">
        <v>775</v>
      </c>
      <c r="I4" s="2" t="s">
        <v>828</v>
      </c>
      <c r="J4" s="2" t="s">
        <v>754</v>
      </c>
    </row>
    <row r="5" spans="1:10" ht="409.5" x14ac:dyDescent="0.25">
      <c r="A5" s="2" t="s">
        <v>834</v>
      </c>
      <c r="B5" s="2" t="s">
        <v>835</v>
      </c>
      <c r="C5" s="2" t="s">
        <v>1395</v>
      </c>
      <c r="D5" s="2" t="s">
        <v>577</v>
      </c>
      <c r="E5" s="2" t="s">
        <v>1403</v>
      </c>
      <c r="F5" s="2" t="s">
        <v>832</v>
      </c>
      <c r="G5" s="2" t="s">
        <v>794</v>
      </c>
      <c r="H5" s="2" t="s">
        <v>775</v>
      </c>
      <c r="I5" s="2" t="s">
        <v>833</v>
      </c>
      <c r="J5" s="2" t="s">
        <v>1401</v>
      </c>
    </row>
    <row r="6" spans="1:10" ht="409.5" x14ac:dyDescent="0.25">
      <c r="A6" s="2" t="s">
        <v>1404</v>
      </c>
      <c r="B6" s="2" t="s">
        <v>1405</v>
      </c>
      <c r="C6" s="2" t="s">
        <v>161</v>
      </c>
      <c r="D6" s="2" t="s">
        <v>551</v>
      </c>
      <c r="E6" s="2" t="s">
        <v>1406</v>
      </c>
      <c r="F6" s="2" t="s">
        <v>836</v>
      </c>
      <c r="G6" s="2" t="s">
        <v>794</v>
      </c>
      <c r="H6" s="2" t="s">
        <v>775</v>
      </c>
      <c r="I6" s="2" t="s">
        <v>837</v>
      </c>
      <c r="J6" s="2" t="s">
        <v>587</v>
      </c>
    </row>
    <row r="7" spans="1:10" ht="409.5" x14ac:dyDescent="0.25">
      <c r="A7" s="2" t="s">
        <v>1407</v>
      </c>
      <c r="B7" s="2" t="s">
        <v>1408</v>
      </c>
      <c r="C7" s="2" t="s">
        <v>161</v>
      </c>
      <c r="D7" s="2" t="s">
        <v>204</v>
      </c>
      <c r="E7" s="2" t="s">
        <v>1409</v>
      </c>
      <c r="F7" s="2" t="s">
        <v>836</v>
      </c>
      <c r="G7" s="2" t="s">
        <v>794</v>
      </c>
      <c r="H7" s="2" t="s">
        <v>775</v>
      </c>
      <c r="I7" s="2" t="s">
        <v>837</v>
      </c>
      <c r="J7" s="2" t="s">
        <v>587</v>
      </c>
    </row>
    <row r="8" spans="1:10" ht="90" x14ac:dyDescent="0.25">
      <c r="A8" s="2" t="s">
        <v>796</v>
      </c>
      <c r="B8" s="2" t="s">
        <v>797</v>
      </c>
      <c r="C8" s="2" t="s">
        <v>1395</v>
      </c>
      <c r="D8" s="2" t="s">
        <v>577</v>
      </c>
      <c r="E8" s="2" t="s">
        <v>1410</v>
      </c>
      <c r="F8" s="2" t="s">
        <v>793</v>
      </c>
      <c r="G8" s="2" t="s">
        <v>794</v>
      </c>
      <c r="H8" s="2" t="s">
        <v>775</v>
      </c>
      <c r="I8" s="2" t="s">
        <v>795</v>
      </c>
      <c r="J8" s="2" t="s">
        <v>1401</v>
      </c>
    </row>
    <row r="9" spans="1:10" ht="30" x14ac:dyDescent="0.25">
      <c r="A9" s="2" t="s">
        <v>845</v>
      </c>
      <c r="B9" s="2" t="s">
        <v>846</v>
      </c>
      <c r="C9" s="2" t="s">
        <v>1395</v>
      </c>
      <c r="D9" s="2" t="s">
        <v>577</v>
      </c>
      <c r="E9" s="2" t="s">
        <v>1411</v>
      </c>
      <c r="F9" s="2" t="s">
        <v>843</v>
      </c>
      <c r="G9" s="2" t="s">
        <v>794</v>
      </c>
      <c r="H9" s="2" t="s">
        <v>775</v>
      </c>
      <c r="I9" s="2" t="s">
        <v>844</v>
      </c>
      <c r="J9" s="2" t="s">
        <v>1401</v>
      </c>
    </row>
    <row r="10" spans="1:10" ht="409.5" x14ac:dyDescent="0.25">
      <c r="A10" s="2" t="s">
        <v>1065</v>
      </c>
      <c r="B10" s="2" t="s">
        <v>1066</v>
      </c>
      <c r="C10" s="2" t="s">
        <v>161</v>
      </c>
      <c r="D10" s="2" t="s">
        <v>204</v>
      </c>
      <c r="E10" s="2" t="s">
        <v>1412</v>
      </c>
      <c r="F10" s="2" t="s">
        <v>1058</v>
      </c>
      <c r="G10" s="2" t="s">
        <v>68</v>
      </c>
      <c r="H10" s="2" t="s">
        <v>775</v>
      </c>
      <c r="I10" s="2" t="s">
        <v>1059</v>
      </c>
      <c r="J10" s="2" t="s">
        <v>1064</v>
      </c>
    </row>
    <row r="11" spans="1:10" ht="330" x14ac:dyDescent="0.25">
      <c r="A11" s="2" t="s">
        <v>1413</v>
      </c>
      <c r="B11" s="2" t="s">
        <v>1414</v>
      </c>
      <c r="C11" s="2" t="s">
        <v>161</v>
      </c>
      <c r="D11" s="2" t="s">
        <v>204</v>
      </c>
      <c r="E11" s="2" t="s">
        <v>1415</v>
      </c>
      <c r="F11" s="2" t="s">
        <v>1058</v>
      </c>
      <c r="G11" s="2" t="s">
        <v>68</v>
      </c>
      <c r="H11" s="2" t="s">
        <v>775</v>
      </c>
      <c r="I11" s="2" t="s">
        <v>1059</v>
      </c>
      <c r="J11" s="2" t="s">
        <v>1061</v>
      </c>
    </row>
    <row r="12" spans="1:10" ht="105" x14ac:dyDescent="0.25">
      <c r="A12" s="2" t="s">
        <v>1070</v>
      </c>
      <c r="B12" s="2" t="s">
        <v>1071</v>
      </c>
      <c r="C12" s="2" t="s">
        <v>1395</v>
      </c>
      <c r="D12" s="2" t="s">
        <v>577</v>
      </c>
      <c r="E12" s="2" t="s">
        <v>1416</v>
      </c>
      <c r="F12" s="2" t="s">
        <v>1068</v>
      </c>
      <c r="G12" s="2" t="s">
        <v>794</v>
      </c>
      <c r="H12" s="2" t="s">
        <v>841</v>
      </c>
      <c r="I12" s="2" t="s">
        <v>1069</v>
      </c>
      <c r="J12" s="2" t="s">
        <v>1401</v>
      </c>
    </row>
    <row r="13" spans="1:10" ht="120" x14ac:dyDescent="0.25">
      <c r="A13" s="2" t="s">
        <v>1074</v>
      </c>
      <c r="B13" s="2" t="s">
        <v>1075</v>
      </c>
      <c r="C13" s="2" t="s">
        <v>1395</v>
      </c>
      <c r="D13" s="2" t="s">
        <v>577</v>
      </c>
      <c r="E13" s="2" t="s">
        <v>1417</v>
      </c>
      <c r="F13" s="2" t="s">
        <v>1072</v>
      </c>
      <c r="G13" s="2" t="s">
        <v>794</v>
      </c>
      <c r="H13" s="2" t="s">
        <v>841</v>
      </c>
      <c r="I13" s="2" t="s">
        <v>1073</v>
      </c>
      <c r="J13" s="2" t="s">
        <v>1401</v>
      </c>
    </row>
    <row r="14" spans="1:10" ht="135" x14ac:dyDescent="0.25">
      <c r="A14" s="2" t="s">
        <v>1078</v>
      </c>
      <c r="B14" s="2" t="s">
        <v>1079</v>
      </c>
      <c r="C14" s="2" t="s">
        <v>1395</v>
      </c>
      <c r="D14" s="2" t="s">
        <v>204</v>
      </c>
      <c r="E14" s="2" t="s">
        <v>1418</v>
      </c>
      <c r="F14" s="2" t="s">
        <v>1076</v>
      </c>
      <c r="G14" s="2" t="s">
        <v>794</v>
      </c>
      <c r="H14" s="2" t="s">
        <v>841</v>
      </c>
      <c r="I14" s="2" t="s">
        <v>1077</v>
      </c>
      <c r="J14" s="2" t="s">
        <v>1401</v>
      </c>
    </row>
    <row r="15" spans="1:10" ht="409.5" x14ac:dyDescent="0.25">
      <c r="A15" s="2" t="s">
        <v>233</v>
      </c>
      <c r="B15" s="2" t="s">
        <v>1084</v>
      </c>
      <c r="C15" s="2" t="s">
        <v>161</v>
      </c>
      <c r="D15" s="2" t="s">
        <v>234</v>
      </c>
      <c r="E15" s="2" t="s">
        <v>1419</v>
      </c>
      <c r="F15" s="2" t="s">
        <v>235</v>
      </c>
      <c r="G15" s="2" t="s">
        <v>794</v>
      </c>
      <c r="H15" s="2" t="s">
        <v>841</v>
      </c>
      <c r="I15" s="2" t="s">
        <v>1083</v>
      </c>
      <c r="J15" s="2" t="s">
        <v>229</v>
      </c>
    </row>
    <row r="16" spans="1:10" ht="409.5" x14ac:dyDescent="0.25">
      <c r="A16" s="2" t="s">
        <v>1290</v>
      </c>
      <c r="B16" s="2" t="s">
        <v>1291</v>
      </c>
      <c r="C16" s="2" t="s">
        <v>161</v>
      </c>
      <c r="D16" s="2" t="s">
        <v>234</v>
      </c>
      <c r="E16" s="2" t="s">
        <v>1420</v>
      </c>
      <c r="F16" s="2" t="s">
        <v>1284</v>
      </c>
      <c r="G16" s="2" t="s">
        <v>68</v>
      </c>
      <c r="H16" s="2" t="s">
        <v>841</v>
      </c>
      <c r="I16" s="2" t="s">
        <v>1288</v>
      </c>
      <c r="J16" s="2" t="s">
        <v>1289</v>
      </c>
    </row>
    <row r="17" spans="1:10" ht="60" x14ac:dyDescent="0.25">
      <c r="A17" s="2" t="s">
        <v>1302</v>
      </c>
      <c r="B17" s="2" t="s">
        <v>1303</v>
      </c>
      <c r="C17" s="2" t="s">
        <v>1395</v>
      </c>
      <c r="D17" s="2" t="s">
        <v>577</v>
      </c>
      <c r="E17" s="2" t="s">
        <v>1421</v>
      </c>
      <c r="F17" s="2" t="s">
        <v>1300</v>
      </c>
      <c r="G17" s="2" t="s">
        <v>794</v>
      </c>
      <c r="H17" s="2" t="s">
        <v>841</v>
      </c>
      <c r="I17" s="2" t="s">
        <v>1301</v>
      </c>
      <c r="J17" s="2" t="s">
        <v>1401</v>
      </c>
    </row>
    <row r="18" spans="1:10" ht="300" x14ac:dyDescent="0.25">
      <c r="A18" s="2" t="s">
        <v>1307</v>
      </c>
      <c r="B18" s="2" t="s">
        <v>1308</v>
      </c>
      <c r="C18" s="2" t="s">
        <v>578</v>
      </c>
      <c r="D18" s="2" t="s">
        <v>577</v>
      </c>
      <c r="E18" s="2" t="s">
        <v>1422</v>
      </c>
      <c r="F18" s="2" t="s">
        <v>1304</v>
      </c>
      <c r="G18" s="2" t="s">
        <v>68</v>
      </c>
      <c r="H18" s="2" t="s">
        <v>841</v>
      </c>
      <c r="I18" s="2" t="s">
        <v>1305</v>
      </c>
      <c r="J18" s="2" t="s">
        <v>1306</v>
      </c>
    </row>
    <row r="19" spans="1:10" ht="409.5" x14ac:dyDescent="0.25">
      <c r="A19" s="2" t="s">
        <v>1348</v>
      </c>
      <c r="B19" s="2" t="s">
        <v>1349</v>
      </c>
      <c r="C19" s="2" t="s">
        <v>578</v>
      </c>
      <c r="D19" s="2" t="s">
        <v>577</v>
      </c>
      <c r="E19" s="2" t="s">
        <v>1423</v>
      </c>
      <c r="F19" s="2" t="s">
        <v>1344</v>
      </c>
      <c r="G19" s="2" t="s">
        <v>68</v>
      </c>
      <c r="H19" s="2" t="s">
        <v>841</v>
      </c>
      <c r="I19" s="2" t="s">
        <v>1345</v>
      </c>
      <c r="J19" s="2" t="s">
        <v>1347</v>
      </c>
    </row>
    <row r="20" spans="1:10" ht="90" x14ac:dyDescent="0.25">
      <c r="A20" s="2" t="s">
        <v>1364</v>
      </c>
      <c r="B20" s="2" t="s">
        <v>1365</v>
      </c>
      <c r="C20" s="2" t="s">
        <v>1395</v>
      </c>
      <c r="D20" s="2" t="s">
        <v>577</v>
      </c>
      <c r="E20" s="2" t="s">
        <v>1421</v>
      </c>
      <c r="F20" s="2" t="s">
        <v>1362</v>
      </c>
      <c r="G20" s="2" t="s">
        <v>794</v>
      </c>
      <c r="H20" s="2" t="s">
        <v>841</v>
      </c>
      <c r="I20" s="2" t="s">
        <v>1363</v>
      </c>
      <c r="J20" s="2" t="s">
        <v>1401</v>
      </c>
    </row>
    <row r="21" spans="1:10" ht="409.5" x14ac:dyDescent="0.25">
      <c r="A21" s="2" t="s">
        <v>1371</v>
      </c>
      <c r="B21" s="2" t="s">
        <v>1372</v>
      </c>
      <c r="C21" s="2" t="s">
        <v>161</v>
      </c>
      <c r="D21" s="2" t="s">
        <v>234</v>
      </c>
      <c r="E21" s="2" t="s">
        <v>1424</v>
      </c>
      <c r="F21" s="2" t="s">
        <v>1369</v>
      </c>
      <c r="G21" s="2" t="s">
        <v>794</v>
      </c>
      <c r="H21" s="2" t="s">
        <v>841</v>
      </c>
      <c r="I21" s="2" t="s">
        <v>1370</v>
      </c>
      <c r="J21" s="2" t="s">
        <v>1401</v>
      </c>
    </row>
    <row r="22" spans="1:10" ht="409.5" x14ac:dyDescent="0.25">
      <c r="A22" s="2" t="s">
        <v>1337</v>
      </c>
      <c r="B22" s="2" t="s">
        <v>1338</v>
      </c>
      <c r="C22" s="2" t="s">
        <v>161</v>
      </c>
      <c r="D22" s="2" t="s">
        <v>1398</v>
      </c>
      <c r="E22" s="2" t="s">
        <v>1425</v>
      </c>
      <c r="F22" s="2" t="s">
        <v>1334</v>
      </c>
      <c r="G22" s="2" t="s">
        <v>68</v>
      </c>
      <c r="H22" s="2" t="s">
        <v>841</v>
      </c>
      <c r="I22" s="2" t="s">
        <v>1335</v>
      </c>
      <c r="J22" s="2" t="s">
        <v>1336</v>
      </c>
    </row>
    <row r="23" spans="1:10" ht="409.5" x14ac:dyDescent="0.25">
      <c r="A23" s="2" t="s">
        <v>261</v>
      </c>
      <c r="B23" s="2" t="s">
        <v>1340</v>
      </c>
      <c r="C23" s="2" t="s">
        <v>161</v>
      </c>
      <c r="D23" s="2" t="s">
        <v>204</v>
      </c>
      <c r="E23" s="2" t="s">
        <v>1426</v>
      </c>
      <c r="F23" s="2" t="s">
        <v>262</v>
      </c>
      <c r="G23" s="2" t="s">
        <v>794</v>
      </c>
      <c r="H23" s="2" t="s">
        <v>775</v>
      </c>
      <c r="I23" s="2" t="s">
        <v>1339</v>
      </c>
      <c r="J23" s="2" t="s">
        <v>258</v>
      </c>
    </row>
    <row r="24" spans="1:10" ht="409.5" x14ac:dyDescent="0.25">
      <c r="A24" s="2" t="s">
        <v>403</v>
      </c>
      <c r="B24" s="2" t="s">
        <v>887</v>
      </c>
      <c r="C24" s="2" t="s">
        <v>161</v>
      </c>
      <c r="D24" s="2" t="s">
        <v>267</v>
      </c>
      <c r="E24" s="2" t="s">
        <v>1427</v>
      </c>
      <c r="F24" s="2" t="s">
        <v>404</v>
      </c>
      <c r="G24" s="2" t="s">
        <v>68</v>
      </c>
      <c r="H24" s="2" t="s">
        <v>841</v>
      </c>
      <c r="I24" s="2" t="s">
        <v>886</v>
      </c>
      <c r="J24" s="2" t="s">
        <v>400</v>
      </c>
    </row>
    <row r="25" spans="1:10" ht="409.5" x14ac:dyDescent="0.25">
      <c r="A25" s="2" t="s">
        <v>447</v>
      </c>
      <c r="B25" s="2" t="s">
        <v>889</v>
      </c>
      <c r="C25" s="2" t="s">
        <v>161</v>
      </c>
      <c r="D25" s="2" t="s">
        <v>267</v>
      </c>
      <c r="E25" s="2" t="s">
        <v>1428</v>
      </c>
      <c r="F25" s="2" t="s">
        <v>448</v>
      </c>
      <c r="G25" s="2" t="s">
        <v>794</v>
      </c>
      <c r="H25" s="2" t="s">
        <v>841</v>
      </c>
      <c r="I25" s="2" t="s">
        <v>888</v>
      </c>
      <c r="J25" s="2" t="s">
        <v>445</v>
      </c>
    </row>
    <row r="26" spans="1:10" ht="60" x14ac:dyDescent="0.25">
      <c r="A26" s="2" t="s">
        <v>266</v>
      </c>
      <c r="B26" s="2" t="s">
        <v>893</v>
      </c>
      <c r="C26" s="2" t="s">
        <v>161</v>
      </c>
      <c r="D26" s="2" t="s">
        <v>267</v>
      </c>
      <c r="E26" s="2" t="s">
        <v>1429</v>
      </c>
      <c r="F26" s="2" t="s">
        <v>268</v>
      </c>
      <c r="G26" s="2" t="s">
        <v>68</v>
      </c>
      <c r="H26" s="2" t="s">
        <v>841</v>
      </c>
      <c r="I26" s="2" t="s">
        <v>892</v>
      </c>
      <c r="J26" s="2" t="s">
        <v>263</v>
      </c>
    </row>
    <row r="27" spans="1:10" ht="409.5" x14ac:dyDescent="0.25">
      <c r="A27" s="2" t="s">
        <v>203</v>
      </c>
      <c r="B27" s="2" t="s">
        <v>898</v>
      </c>
      <c r="C27" s="2" t="s">
        <v>161</v>
      </c>
      <c r="D27" s="2" t="s">
        <v>204</v>
      </c>
      <c r="E27" s="2" t="s">
        <v>1430</v>
      </c>
      <c r="F27" s="2" t="s">
        <v>205</v>
      </c>
      <c r="G27" s="2" t="s">
        <v>68</v>
      </c>
      <c r="H27" s="2" t="s">
        <v>841</v>
      </c>
      <c r="I27" s="2" t="s">
        <v>897</v>
      </c>
      <c r="J27" s="2" t="s">
        <v>200</v>
      </c>
    </row>
    <row r="28" spans="1:10" ht="409.5" x14ac:dyDescent="0.25">
      <c r="A28" s="2" t="s">
        <v>1431</v>
      </c>
      <c r="B28" s="2" t="s">
        <v>1432</v>
      </c>
      <c r="C28" s="2" t="s">
        <v>161</v>
      </c>
      <c r="D28" s="2" t="s">
        <v>204</v>
      </c>
      <c r="E28" s="2" t="s">
        <v>1433</v>
      </c>
      <c r="F28" s="2" t="s">
        <v>899</v>
      </c>
      <c r="G28" s="2" t="s">
        <v>68</v>
      </c>
      <c r="H28" s="2" t="s">
        <v>841</v>
      </c>
      <c r="I28" s="2" t="s">
        <v>900</v>
      </c>
      <c r="J28" s="2" t="s">
        <v>214</v>
      </c>
    </row>
    <row r="29" spans="1:10" ht="409.5" x14ac:dyDescent="0.25">
      <c r="A29" s="2" t="s">
        <v>468</v>
      </c>
      <c r="B29" s="2" t="s">
        <v>999</v>
      </c>
      <c r="C29" s="2" t="s">
        <v>161</v>
      </c>
      <c r="D29" s="2" t="s">
        <v>204</v>
      </c>
      <c r="E29" s="2" t="s">
        <v>1434</v>
      </c>
      <c r="F29" s="2" t="s">
        <v>469</v>
      </c>
      <c r="G29" s="2" t="s">
        <v>68</v>
      </c>
      <c r="H29" s="2" t="s">
        <v>841</v>
      </c>
      <c r="I29" s="2" t="s">
        <v>998</v>
      </c>
      <c r="J29" s="2" t="s">
        <v>465</v>
      </c>
    </row>
    <row r="30" spans="1:10" ht="90" x14ac:dyDescent="0.25">
      <c r="A30" s="2" t="s">
        <v>1012</v>
      </c>
      <c r="B30" s="2" t="s">
        <v>1013</v>
      </c>
      <c r="C30" s="2" t="s">
        <v>1395</v>
      </c>
      <c r="D30" s="2" t="s">
        <v>577</v>
      </c>
      <c r="E30" s="2" t="s">
        <v>1421</v>
      </c>
      <c r="F30" s="2" t="s">
        <v>1010</v>
      </c>
      <c r="G30" s="2" t="s">
        <v>794</v>
      </c>
      <c r="H30" s="2" t="s">
        <v>775</v>
      </c>
      <c r="I30" s="2" t="s">
        <v>1011</v>
      </c>
      <c r="J30" s="2" t="s">
        <v>1401</v>
      </c>
    </row>
    <row r="31" spans="1:10" ht="409.5" x14ac:dyDescent="0.25">
      <c r="A31" s="2" t="s">
        <v>418</v>
      </c>
      <c r="B31" s="2" t="s">
        <v>1018</v>
      </c>
      <c r="C31" s="2" t="s">
        <v>161</v>
      </c>
      <c r="D31" s="2" t="s">
        <v>234</v>
      </c>
      <c r="E31" s="2" t="s">
        <v>1435</v>
      </c>
      <c r="F31" s="2" t="s">
        <v>419</v>
      </c>
      <c r="G31" s="2" t="s">
        <v>68</v>
      </c>
      <c r="H31" s="2" t="s">
        <v>841</v>
      </c>
      <c r="I31" s="2" t="s">
        <v>1017</v>
      </c>
      <c r="J31" s="2" t="s">
        <v>415</v>
      </c>
    </row>
    <row r="32" spans="1:10" ht="409.5" x14ac:dyDescent="0.25">
      <c r="A32" s="2" t="s">
        <v>550</v>
      </c>
      <c r="B32" s="2" t="s">
        <v>1029</v>
      </c>
      <c r="C32" s="2" t="s">
        <v>161</v>
      </c>
      <c r="D32" s="2" t="s">
        <v>551</v>
      </c>
      <c r="E32" s="2" t="s">
        <v>1436</v>
      </c>
      <c r="F32" s="2" t="s">
        <v>552</v>
      </c>
      <c r="G32" s="2" t="s">
        <v>794</v>
      </c>
      <c r="H32" s="2" t="s">
        <v>841</v>
      </c>
      <c r="I32" s="2" t="s">
        <v>1028</v>
      </c>
      <c r="J32" s="2" t="s">
        <v>547</v>
      </c>
    </row>
    <row r="33" spans="1:10" ht="409.5" x14ac:dyDescent="0.25">
      <c r="A33" s="2" t="s">
        <v>159</v>
      </c>
      <c r="B33" s="2" t="s">
        <v>1086</v>
      </c>
      <c r="C33" s="2" t="s">
        <v>161</v>
      </c>
      <c r="D33" s="2" t="s">
        <v>160</v>
      </c>
      <c r="E33" s="2" t="s">
        <v>1437</v>
      </c>
      <c r="F33" s="2" t="s">
        <v>162</v>
      </c>
      <c r="G33" s="2" t="s">
        <v>794</v>
      </c>
      <c r="H33" s="2" t="s">
        <v>841</v>
      </c>
      <c r="I33" s="2" t="s">
        <v>1085</v>
      </c>
      <c r="J33" s="2" t="s">
        <v>155</v>
      </c>
    </row>
    <row r="34" spans="1:10" ht="210" x14ac:dyDescent="0.25">
      <c r="A34" s="2" t="s">
        <v>1136</v>
      </c>
      <c r="B34" s="2" t="s">
        <v>1137</v>
      </c>
      <c r="C34" s="2" t="s">
        <v>161</v>
      </c>
      <c r="D34" s="2" t="s">
        <v>160</v>
      </c>
      <c r="E34" s="2" t="s">
        <v>1438</v>
      </c>
      <c r="F34" s="2" t="s">
        <v>414</v>
      </c>
      <c r="G34" s="2" t="s">
        <v>68</v>
      </c>
      <c r="H34" s="2" t="s">
        <v>841</v>
      </c>
      <c r="I34" s="2" t="s">
        <v>1133</v>
      </c>
      <c r="J34" s="2" t="s">
        <v>1135</v>
      </c>
    </row>
    <row r="35" spans="1:10" ht="270" x14ac:dyDescent="0.25">
      <c r="A35" s="2" t="s">
        <v>413</v>
      </c>
      <c r="B35" s="2" t="s">
        <v>1134</v>
      </c>
      <c r="C35" s="2" t="s">
        <v>161</v>
      </c>
      <c r="D35" s="2" t="s">
        <v>160</v>
      </c>
      <c r="E35" s="2" t="s">
        <v>1439</v>
      </c>
      <c r="F35" s="2" t="s">
        <v>414</v>
      </c>
      <c r="G35" s="2" t="s">
        <v>68</v>
      </c>
      <c r="H35" s="2" t="s">
        <v>841</v>
      </c>
      <c r="I35" s="2" t="s">
        <v>1133</v>
      </c>
      <c r="J35" s="2" t="s">
        <v>410</v>
      </c>
    </row>
    <row r="36" spans="1:10" ht="409.5" x14ac:dyDescent="0.25">
      <c r="A36" s="2" t="s">
        <v>1146</v>
      </c>
      <c r="B36" s="2" t="s">
        <v>1147</v>
      </c>
      <c r="C36" s="2" t="s">
        <v>161</v>
      </c>
      <c r="D36" s="2" t="s">
        <v>321</v>
      </c>
      <c r="E36" s="2" t="s">
        <v>1440</v>
      </c>
      <c r="F36" s="2" t="s">
        <v>1138</v>
      </c>
      <c r="G36" s="2" t="s">
        <v>68</v>
      </c>
      <c r="H36" s="2" t="s">
        <v>841</v>
      </c>
      <c r="I36" s="2" t="s">
        <v>1139</v>
      </c>
      <c r="J36" s="2" t="s">
        <v>1145</v>
      </c>
    </row>
    <row r="37" spans="1:10" ht="225" x14ac:dyDescent="0.25">
      <c r="A37" s="2" t="s">
        <v>1143</v>
      </c>
      <c r="B37" s="2" t="s">
        <v>1144</v>
      </c>
      <c r="C37" s="2" t="s">
        <v>161</v>
      </c>
      <c r="D37" s="2" t="s">
        <v>321</v>
      </c>
      <c r="E37" s="2" t="s">
        <v>1441</v>
      </c>
      <c r="F37" s="2" t="s">
        <v>1138</v>
      </c>
      <c r="G37" s="2" t="s">
        <v>68</v>
      </c>
      <c r="H37" s="2" t="s">
        <v>841</v>
      </c>
      <c r="I37" s="2" t="s">
        <v>1139</v>
      </c>
      <c r="J37" s="2" t="s">
        <v>1142</v>
      </c>
    </row>
    <row r="38" spans="1:10" ht="285" x14ac:dyDescent="0.25">
      <c r="A38" s="2" t="s">
        <v>1185</v>
      </c>
      <c r="B38" s="2" t="s">
        <v>1186</v>
      </c>
      <c r="C38" s="2" t="s">
        <v>161</v>
      </c>
      <c r="D38" s="2" t="s">
        <v>321</v>
      </c>
      <c r="E38" s="2" t="s">
        <v>1442</v>
      </c>
      <c r="F38" s="2" t="s">
        <v>1182</v>
      </c>
      <c r="G38" s="2" t="s">
        <v>68</v>
      </c>
      <c r="H38" s="2" t="s">
        <v>841</v>
      </c>
      <c r="I38" s="2" t="s">
        <v>1183</v>
      </c>
      <c r="J38" s="2" t="s">
        <v>1184</v>
      </c>
    </row>
    <row r="39" spans="1:10" ht="300" x14ac:dyDescent="0.25">
      <c r="A39" s="2" t="s">
        <v>1207</v>
      </c>
      <c r="B39" s="2" t="s">
        <v>1208</v>
      </c>
      <c r="C39" s="2" t="s">
        <v>161</v>
      </c>
      <c r="D39" s="2" t="s">
        <v>321</v>
      </c>
      <c r="E39" s="2" t="s">
        <v>1443</v>
      </c>
      <c r="F39" s="2" t="s">
        <v>1202</v>
      </c>
      <c r="G39" s="2" t="s">
        <v>68</v>
      </c>
      <c r="H39" s="2" t="s">
        <v>841</v>
      </c>
      <c r="I39" s="2" t="s">
        <v>1203</v>
      </c>
      <c r="J39" s="2" t="s">
        <v>1206</v>
      </c>
    </row>
    <row r="40" spans="1:10" ht="240" x14ac:dyDescent="0.25">
      <c r="A40" s="2" t="s">
        <v>1210</v>
      </c>
      <c r="B40" s="2" t="s">
        <v>1211</v>
      </c>
      <c r="C40" s="2" t="s">
        <v>161</v>
      </c>
      <c r="D40" s="2" t="s">
        <v>321</v>
      </c>
      <c r="E40" s="2" t="s">
        <v>1444</v>
      </c>
      <c r="F40" s="2" t="s">
        <v>1202</v>
      </c>
      <c r="G40" s="2" t="s">
        <v>68</v>
      </c>
      <c r="H40" s="2" t="s">
        <v>841</v>
      </c>
      <c r="I40" s="2" t="s">
        <v>1203</v>
      </c>
      <c r="J40" s="2" t="s">
        <v>1209</v>
      </c>
    </row>
    <row r="41" spans="1:10" ht="409.5" x14ac:dyDescent="0.25">
      <c r="A41" s="2" t="s">
        <v>1051</v>
      </c>
      <c r="B41" s="2" t="s">
        <v>1052</v>
      </c>
      <c r="C41" s="2" t="s">
        <v>161</v>
      </c>
      <c r="D41" s="2" t="s">
        <v>551</v>
      </c>
      <c r="E41" s="2" t="s">
        <v>1445</v>
      </c>
      <c r="F41" s="2" t="s">
        <v>1048</v>
      </c>
      <c r="G41" s="2" t="s">
        <v>794</v>
      </c>
      <c r="H41" s="2" t="s">
        <v>841</v>
      </c>
      <c r="I41" s="2" t="s">
        <v>1049</v>
      </c>
      <c r="J41" s="2" t="s">
        <v>1050</v>
      </c>
    </row>
    <row r="42" spans="1:10" ht="409.5" x14ac:dyDescent="0.25">
      <c r="A42" s="2" t="s">
        <v>1446</v>
      </c>
      <c r="B42" s="2" t="s">
        <v>1447</v>
      </c>
      <c r="C42" s="2" t="s">
        <v>161</v>
      </c>
      <c r="D42" s="2" t="s">
        <v>234</v>
      </c>
      <c r="E42" s="2" t="s">
        <v>1448</v>
      </c>
      <c r="F42" s="2" t="s">
        <v>1053</v>
      </c>
      <c r="G42" s="2" t="s">
        <v>68</v>
      </c>
      <c r="H42" s="2" t="s">
        <v>775</v>
      </c>
      <c r="I42" s="2" t="s">
        <v>1054</v>
      </c>
      <c r="J42" s="2" t="s">
        <v>284</v>
      </c>
    </row>
    <row r="43" spans="1:10" ht="409.5" x14ac:dyDescent="0.25">
      <c r="A43" s="2" t="s">
        <v>1120</v>
      </c>
      <c r="B43" s="2" t="s">
        <v>1121</v>
      </c>
      <c r="C43" s="2" t="s">
        <v>161</v>
      </c>
      <c r="D43" s="2" t="s">
        <v>160</v>
      </c>
      <c r="E43" s="2" t="s">
        <v>1449</v>
      </c>
      <c r="F43" s="2" t="s">
        <v>1117</v>
      </c>
      <c r="G43" s="2" t="s">
        <v>794</v>
      </c>
      <c r="H43" s="2" t="s">
        <v>841</v>
      </c>
      <c r="I43" s="2" t="s">
        <v>1118</v>
      </c>
      <c r="J43" s="2" t="s">
        <v>1119</v>
      </c>
    </row>
    <row r="44" spans="1:10" ht="409.5" x14ac:dyDescent="0.25">
      <c r="A44" s="2" t="s">
        <v>1090</v>
      </c>
      <c r="B44" s="2" t="s">
        <v>1091</v>
      </c>
      <c r="C44" s="2" t="s">
        <v>161</v>
      </c>
      <c r="D44" s="2" t="s">
        <v>551</v>
      </c>
      <c r="E44" s="2" t="s">
        <v>1450</v>
      </c>
      <c r="F44" s="2" t="s">
        <v>1087</v>
      </c>
      <c r="G44" s="2" t="s">
        <v>794</v>
      </c>
      <c r="H44" s="2" t="s">
        <v>841</v>
      </c>
      <c r="I44" s="2" t="s">
        <v>1088</v>
      </c>
      <c r="J44" s="2" t="s">
        <v>1089</v>
      </c>
    </row>
    <row r="45" spans="1:10" ht="409.5" x14ac:dyDescent="0.25">
      <c r="A45" s="2" t="s">
        <v>1127</v>
      </c>
      <c r="B45" s="2" t="s">
        <v>1128</v>
      </c>
      <c r="C45" s="2" t="s">
        <v>161</v>
      </c>
      <c r="D45" s="2" t="s">
        <v>160</v>
      </c>
      <c r="E45" s="2" t="s">
        <v>1451</v>
      </c>
      <c r="F45" s="2" t="s">
        <v>1125</v>
      </c>
      <c r="G45" s="2" t="s">
        <v>68</v>
      </c>
      <c r="H45" s="2" t="s">
        <v>841</v>
      </c>
      <c r="I45" s="2" t="s">
        <v>1126</v>
      </c>
      <c r="J45" s="2" t="s">
        <v>1401</v>
      </c>
    </row>
    <row r="46" spans="1:10" ht="409.5" x14ac:dyDescent="0.25">
      <c r="A46" s="2" t="s">
        <v>1452</v>
      </c>
      <c r="B46" s="2" t="s">
        <v>1453</v>
      </c>
      <c r="C46" s="2" t="s">
        <v>161</v>
      </c>
      <c r="D46" s="2" t="s">
        <v>160</v>
      </c>
      <c r="E46" s="2" t="s">
        <v>1454</v>
      </c>
      <c r="F46" s="2" t="s">
        <v>784</v>
      </c>
      <c r="G46" s="2" t="s">
        <v>68</v>
      </c>
      <c r="H46" s="2" t="s">
        <v>775</v>
      </c>
      <c r="I46" s="2" t="s">
        <v>785</v>
      </c>
      <c r="J46" s="2" t="s">
        <v>786</v>
      </c>
    </row>
    <row r="47" spans="1:10" ht="330" x14ac:dyDescent="0.25">
      <c r="A47" s="2" t="s">
        <v>1455</v>
      </c>
      <c r="B47" s="2" t="s">
        <v>1456</v>
      </c>
      <c r="C47" s="2" t="s">
        <v>161</v>
      </c>
      <c r="D47" s="2" t="s">
        <v>160</v>
      </c>
      <c r="E47" s="2" t="s">
        <v>1457</v>
      </c>
      <c r="F47" s="2" t="s">
        <v>784</v>
      </c>
      <c r="G47" s="2" t="s">
        <v>68</v>
      </c>
      <c r="H47" s="2" t="s">
        <v>775</v>
      </c>
      <c r="I47" s="2" t="s">
        <v>785</v>
      </c>
      <c r="J47" s="2" t="s">
        <v>786</v>
      </c>
    </row>
    <row r="48" spans="1:10" ht="195" x14ac:dyDescent="0.25">
      <c r="A48" s="2" t="s">
        <v>1458</v>
      </c>
      <c r="B48" s="2" t="s">
        <v>1459</v>
      </c>
      <c r="C48" s="2" t="s">
        <v>161</v>
      </c>
      <c r="D48" s="2" t="s">
        <v>234</v>
      </c>
      <c r="E48" s="2" t="s">
        <v>1460</v>
      </c>
      <c r="F48" s="2" t="s">
        <v>946</v>
      </c>
      <c r="G48" s="2" t="s">
        <v>68</v>
      </c>
      <c r="H48" s="2" t="s">
        <v>775</v>
      </c>
      <c r="I48" s="2" t="s">
        <v>947</v>
      </c>
      <c r="J48" s="2" t="s">
        <v>499</v>
      </c>
    </row>
    <row r="49" spans="1:10" ht="195" x14ac:dyDescent="0.25">
      <c r="A49" s="2" t="s">
        <v>1461</v>
      </c>
      <c r="B49" s="2" t="s">
        <v>1462</v>
      </c>
      <c r="C49" s="2" t="s">
        <v>161</v>
      </c>
      <c r="D49" s="2" t="s">
        <v>234</v>
      </c>
      <c r="E49" s="2" t="s">
        <v>1463</v>
      </c>
      <c r="F49" s="2" t="s">
        <v>946</v>
      </c>
      <c r="G49" s="2" t="s">
        <v>68</v>
      </c>
      <c r="H49" s="2" t="s">
        <v>775</v>
      </c>
      <c r="I49" s="2" t="s">
        <v>947</v>
      </c>
      <c r="J49" s="2" t="s">
        <v>277</v>
      </c>
    </row>
    <row r="50" spans="1:10" ht="300" x14ac:dyDescent="0.25">
      <c r="A50" s="2" t="s">
        <v>576</v>
      </c>
      <c r="B50" s="2" t="s">
        <v>1295</v>
      </c>
      <c r="C50" s="2" t="s">
        <v>578</v>
      </c>
      <c r="D50" s="2" t="s">
        <v>577</v>
      </c>
      <c r="E50" s="2" t="s">
        <v>1464</v>
      </c>
      <c r="F50" s="2" t="s">
        <v>579</v>
      </c>
      <c r="G50" s="2" t="s">
        <v>68</v>
      </c>
      <c r="H50" s="2" t="s">
        <v>841</v>
      </c>
      <c r="I50" s="2" t="s">
        <v>1294</v>
      </c>
      <c r="J50" s="2" t="s">
        <v>573</v>
      </c>
    </row>
    <row r="51" spans="1:10" ht="330" x14ac:dyDescent="0.25">
      <c r="A51" s="2" t="s">
        <v>584</v>
      </c>
      <c r="B51" s="2" t="s">
        <v>1297</v>
      </c>
      <c r="C51" s="2" t="s">
        <v>578</v>
      </c>
      <c r="D51" s="2" t="s">
        <v>577</v>
      </c>
      <c r="E51" s="2" t="s">
        <v>1465</v>
      </c>
      <c r="F51" s="2" t="s">
        <v>585</v>
      </c>
      <c r="G51" s="2" t="s">
        <v>68</v>
      </c>
      <c r="H51" s="2" t="s">
        <v>841</v>
      </c>
      <c r="I51" s="2" t="s">
        <v>1296</v>
      </c>
      <c r="J51" s="2" t="s">
        <v>581</v>
      </c>
    </row>
    <row r="52" spans="1:10" ht="409.5" x14ac:dyDescent="0.25">
      <c r="A52" s="2" t="s">
        <v>1276</v>
      </c>
      <c r="B52" s="2" t="s">
        <v>1277</v>
      </c>
      <c r="C52" s="2" t="s">
        <v>161</v>
      </c>
      <c r="D52" s="2" t="s">
        <v>234</v>
      </c>
      <c r="E52" s="2" t="s">
        <v>1466</v>
      </c>
      <c r="F52" s="2" t="s">
        <v>1273</v>
      </c>
      <c r="G52" s="2" t="s">
        <v>68</v>
      </c>
      <c r="H52" s="2" t="s">
        <v>841</v>
      </c>
      <c r="I52" s="2" t="s">
        <v>1274</v>
      </c>
      <c r="J52" s="2" t="s">
        <v>1275</v>
      </c>
    </row>
    <row r="53" spans="1:10" ht="409.5" x14ac:dyDescent="0.25">
      <c r="A53" s="2" t="s">
        <v>320</v>
      </c>
      <c r="B53" s="2" t="s">
        <v>891</v>
      </c>
      <c r="C53" s="2" t="s">
        <v>161</v>
      </c>
      <c r="D53" s="2" t="s">
        <v>321</v>
      </c>
      <c r="E53" s="2" t="s">
        <v>1467</v>
      </c>
      <c r="F53" s="2" t="s">
        <v>322</v>
      </c>
      <c r="G53" s="2" t="s">
        <v>794</v>
      </c>
      <c r="H53" s="2" t="s">
        <v>841</v>
      </c>
      <c r="I53" s="2" t="s">
        <v>890</v>
      </c>
      <c r="J53" s="2" t="s">
        <v>316</v>
      </c>
    </row>
    <row r="54" spans="1:10" ht="409.5" x14ac:dyDescent="0.25">
      <c r="A54" s="2" t="s">
        <v>1468</v>
      </c>
      <c r="B54" s="2" t="s">
        <v>1469</v>
      </c>
      <c r="C54" s="2" t="s">
        <v>578</v>
      </c>
      <c r="D54" s="2" t="s">
        <v>577</v>
      </c>
      <c r="E54" s="2" t="s">
        <v>1470</v>
      </c>
      <c r="F54" s="2" t="s">
        <v>899</v>
      </c>
      <c r="G54" s="2" t="s">
        <v>68</v>
      </c>
      <c r="H54" s="2" t="s">
        <v>841</v>
      </c>
      <c r="I54" s="2" t="s">
        <v>900</v>
      </c>
      <c r="J54" s="2" t="s">
        <v>214</v>
      </c>
    </row>
    <row r="55" spans="1:10" ht="409.5" x14ac:dyDescent="0.25">
      <c r="A55" s="2" t="s">
        <v>1471</v>
      </c>
      <c r="B55" s="2" t="s">
        <v>1472</v>
      </c>
      <c r="C55" s="2" t="s">
        <v>578</v>
      </c>
      <c r="D55" s="2" t="s">
        <v>577</v>
      </c>
      <c r="E55" s="2" t="s">
        <v>1473</v>
      </c>
      <c r="F55" s="2" t="s">
        <v>858</v>
      </c>
      <c r="G55" s="2" t="s">
        <v>68</v>
      </c>
      <c r="H55" s="2" t="s">
        <v>841</v>
      </c>
      <c r="I55" s="2" t="s">
        <v>859</v>
      </c>
      <c r="J55" s="2" t="s">
        <v>206</v>
      </c>
    </row>
    <row r="56" spans="1:10" ht="409.5" x14ac:dyDescent="0.25">
      <c r="A56" s="2" t="s">
        <v>1474</v>
      </c>
      <c r="B56" s="2" t="s">
        <v>1475</v>
      </c>
      <c r="C56" s="2" t="s">
        <v>578</v>
      </c>
      <c r="D56" s="2" t="s">
        <v>577</v>
      </c>
      <c r="E56" s="2" t="s">
        <v>1476</v>
      </c>
      <c r="F56" s="2" t="s">
        <v>946</v>
      </c>
      <c r="G56" s="2" t="s">
        <v>68</v>
      </c>
      <c r="H56" s="2" t="s">
        <v>775</v>
      </c>
      <c r="I56" s="2" t="s">
        <v>947</v>
      </c>
      <c r="J56" s="2" t="s">
        <v>499</v>
      </c>
    </row>
    <row r="57" spans="1:10" ht="409.5" x14ac:dyDescent="0.25">
      <c r="A57" s="2" t="s">
        <v>918</v>
      </c>
      <c r="B57" s="2" t="s">
        <v>919</v>
      </c>
      <c r="C57" s="2" t="s">
        <v>578</v>
      </c>
      <c r="D57" s="2" t="s">
        <v>577</v>
      </c>
      <c r="E57" s="2" t="s">
        <v>1477</v>
      </c>
      <c r="F57" s="2" t="s">
        <v>915</v>
      </c>
      <c r="G57" s="2" t="s">
        <v>794</v>
      </c>
      <c r="H57" s="2" t="s">
        <v>841</v>
      </c>
      <c r="I57" s="2" t="s">
        <v>916</v>
      </c>
      <c r="J57" s="2" t="s">
        <v>917</v>
      </c>
    </row>
    <row r="58" spans="1:10" ht="409.5" x14ac:dyDescent="0.25">
      <c r="A58" s="2" t="s">
        <v>1478</v>
      </c>
      <c r="B58" s="2" t="s">
        <v>1479</v>
      </c>
      <c r="C58" s="2" t="s">
        <v>578</v>
      </c>
      <c r="D58" s="2" t="s">
        <v>577</v>
      </c>
      <c r="E58" s="2" t="s">
        <v>1480</v>
      </c>
      <c r="F58" s="2" t="s">
        <v>946</v>
      </c>
      <c r="G58" s="2" t="s">
        <v>68</v>
      </c>
      <c r="H58" s="2" t="s">
        <v>775</v>
      </c>
      <c r="I58" s="2" t="s">
        <v>947</v>
      </c>
      <c r="J58" s="2" t="s">
        <v>277</v>
      </c>
    </row>
    <row r="59" spans="1:10" ht="345" x14ac:dyDescent="0.25">
      <c r="A59" s="2" t="s">
        <v>1481</v>
      </c>
      <c r="B59" s="2" t="s">
        <v>1482</v>
      </c>
      <c r="C59" s="2" t="s">
        <v>578</v>
      </c>
      <c r="D59" s="2" t="s">
        <v>577</v>
      </c>
      <c r="E59" s="2" t="s">
        <v>1483</v>
      </c>
      <c r="F59" s="2" t="s">
        <v>1053</v>
      </c>
      <c r="G59" s="2" t="s">
        <v>68</v>
      </c>
      <c r="H59" s="2" t="s">
        <v>775</v>
      </c>
      <c r="I59" s="2" t="s">
        <v>1054</v>
      </c>
      <c r="J59" s="2" t="s">
        <v>284</v>
      </c>
    </row>
    <row r="60" spans="1:10" ht="390" x14ac:dyDescent="0.25">
      <c r="A60" s="2" t="s">
        <v>1484</v>
      </c>
      <c r="B60" s="2" t="s">
        <v>1485</v>
      </c>
      <c r="C60" s="2" t="s">
        <v>578</v>
      </c>
      <c r="D60" s="2" t="s">
        <v>577</v>
      </c>
      <c r="E60" s="2" t="s">
        <v>1486</v>
      </c>
      <c r="F60" s="2" t="s">
        <v>1058</v>
      </c>
      <c r="G60" s="2" t="s">
        <v>68</v>
      </c>
      <c r="H60" s="2" t="s">
        <v>775</v>
      </c>
      <c r="I60" s="2" t="s">
        <v>1059</v>
      </c>
      <c r="J60" s="2" t="s">
        <v>1061</v>
      </c>
    </row>
    <row r="61" spans="1:10" ht="409.5" x14ac:dyDescent="0.25">
      <c r="A61" s="2" t="s">
        <v>1487</v>
      </c>
      <c r="B61" s="2" t="s">
        <v>1488</v>
      </c>
      <c r="C61" s="2" t="s">
        <v>1395</v>
      </c>
      <c r="D61" s="2" t="s">
        <v>234</v>
      </c>
      <c r="E61" s="2" t="s">
        <v>1489</v>
      </c>
      <c r="F61" s="2" t="s">
        <v>955</v>
      </c>
      <c r="G61" s="2" t="s">
        <v>794</v>
      </c>
      <c r="H61" s="2" t="s">
        <v>841</v>
      </c>
      <c r="I61" s="2" t="s">
        <v>956</v>
      </c>
      <c r="J61" s="2"/>
    </row>
    <row r="62" spans="1:10" ht="409.5" x14ac:dyDescent="0.25">
      <c r="A62" s="2" t="s">
        <v>1490</v>
      </c>
      <c r="B62" s="2" t="s">
        <v>1491</v>
      </c>
      <c r="C62" s="2" t="s">
        <v>578</v>
      </c>
      <c r="D62" s="2" t="s">
        <v>577</v>
      </c>
      <c r="E62" s="2" t="s">
        <v>1492</v>
      </c>
      <c r="F62" s="2" t="s">
        <v>858</v>
      </c>
      <c r="G62" s="2" t="s">
        <v>68</v>
      </c>
      <c r="H62" s="2" t="s">
        <v>841</v>
      </c>
      <c r="I62" s="2" t="s">
        <v>859</v>
      </c>
      <c r="J62" s="2" t="s">
        <v>206</v>
      </c>
    </row>
    <row r="63" spans="1:10" ht="409.5" x14ac:dyDescent="0.25">
      <c r="A63" s="2" t="s">
        <v>1043</v>
      </c>
      <c r="B63" s="2" t="s">
        <v>1044</v>
      </c>
      <c r="C63" s="2" t="s">
        <v>578</v>
      </c>
      <c r="D63" s="2" t="s">
        <v>577</v>
      </c>
      <c r="E63" s="2" t="s">
        <v>1493</v>
      </c>
      <c r="F63" s="2" t="s">
        <v>1040</v>
      </c>
      <c r="G63" s="2" t="s">
        <v>68</v>
      </c>
      <c r="H63" s="2" t="s">
        <v>841</v>
      </c>
      <c r="I63" s="2" t="s">
        <v>1041</v>
      </c>
      <c r="J63" s="2" t="s">
        <v>1042</v>
      </c>
    </row>
    <row r="64" spans="1:10" ht="409.5" x14ac:dyDescent="0.25">
      <c r="A64" s="2" t="s">
        <v>874</v>
      </c>
      <c r="B64" s="2" t="s">
        <v>875</v>
      </c>
      <c r="C64" s="2" t="s">
        <v>578</v>
      </c>
      <c r="D64" s="2" t="s">
        <v>577</v>
      </c>
      <c r="E64" s="2" t="s">
        <v>1494</v>
      </c>
      <c r="F64" s="2" t="s">
        <v>871</v>
      </c>
      <c r="G64" s="2" t="s">
        <v>68</v>
      </c>
      <c r="H64" s="2" t="s">
        <v>841</v>
      </c>
      <c r="I64" s="2" t="s">
        <v>872</v>
      </c>
      <c r="J64" s="2" t="s">
        <v>873</v>
      </c>
    </row>
    <row r="65" spans="1:10" ht="409.5" x14ac:dyDescent="0.25">
      <c r="A65" s="2" t="s">
        <v>910</v>
      </c>
      <c r="B65" s="2" t="s">
        <v>911</v>
      </c>
      <c r="C65" s="2" t="s">
        <v>578</v>
      </c>
      <c r="D65" s="2" t="s">
        <v>577</v>
      </c>
      <c r="E65" s="2" t="s">
        <v>1495</v>
      </c>
      <c r="F65" s="2" t="s">
        <v>907</v>
      </c>
      <c r="G65" s="2" t="s">
        <v>68</v>
      </c>
      <c r="H65" s="2" t="s">
        <v>775</v>
      </c>
      <c r="I65" s="2" t="s">
        <v>908</v>
      </c>
      <c r="J65" s="2" t="s">
        <v>909</v>
      </c>
    </row>
    <row r="66" spans="1:10" ht="409.5" x14ac:dyDescent="0.25">
      <c r="A66" s="2" t="s">
        <v>1286</v>
      </c>
      <c r="B66" s="2" t="s">
        <v>1287</v>
      </c>
      <c r="C66" s="2" t="s">
        <v>161</v>
      </c>
      <c r="D66" s="2" t="s">
        <v>234</v>
      </c>
      <c r="E66" s="2" t="s">
        <v>1496</v>
      </c>
      <c r="F66" s="2" t="s">
        <v>1284</v>
      </c>
      <c r="G66" s="2" t="s">
        <v>68</v>
      </c>
      <c r="H66" s="2" t="s">
        <v>841</v>
      </c>
      <c r="I66" s="2" t="s">
        <v>1288</v>
      </c>
      <c r="J66" s="2" t="s">
        <v>1285</v>
      </c>
    </row>
    <row r="67" spans="1:10" ht="409.5" x14ac:dyDescent="0.25">
      <c r="A67" s="2" t="s">
        <v>1279</v>
      </c>
      <c r="B67" s="2" t="s">
        <v>1280</v>
      </c>
      <c r="C67" s="2" t="s">
        <v>161</v>
      </c>
      <c r="D67" s="2" t="s">
        <v>234</v>
      </c>
      <c r="E67" s="2" t="s">
        <v>1497</v>
      </c>
      <c r="F67" s="2" t="s">
        <v>1273</v>
      </c>
      <c r="G67" s="2" t="s">
        <v>68</v>
      </c>
      <c r="H67" s="2" t="s">
        <v>841</v>
      </c>
      <c r="I67" s="2" t="s">
        <v>1274</v>
      </c>
      <c r="J67" s="2" t="s">
        <v>1278</v>
      </c>
    </row>
  </sheetData>
  <autoFilter ref="A1:J67" xr:uid="{00000000-0009-0000-0000-00000E000000}"/>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1126"/>
  <sheetViews>
    <sheetView workbookViewId="0"/>
  </sheetViews>
  <sheetFormatPr defaultRowHeight="15" x14ac:dyDescent="0.25"/>
  <cols>
    <col min="1" max="1" width="41" customWidth="1"/>
    <col min="2" max="2" width="8" customWidth="1"/>
    <col min="3" max="3" width="75" customWidth="1"/>
    <col min="4" max="4" width="8" customWidth="1"/>
    <col min="5" max="5" width="13" customWidth="1"/>
    <col min="6" max="6" width="20" customWidth="1"/>
  </cols>
  <sheetData>
    <row r="1" spans="1:6" ht="30" x14ac:dyDescent="0.25">
      <c r="A1" s="1" t="s">
        <v>125</v>
      </c>
      <c r="B1" s="1" t="s">
        <v>1498</v>
      </c>
      <c r="C1" s="1" t="s">
        <v>1499</v>
      </c>
      <c r="D1" s="1" t="s">
        <v>133</v>
      </c>
      <c r="E1" s="1" t="s">
        <v>1500</v>
      </c>
      <c r="F1" s="1" t="s">
        <v>1501</v>
      </c>
    </row>
    <row r="2" spans="1:6" ht="75" x14ac:dyDescent="0.25">
      <c r="A2" s="2" t="s">
        <v>1176</v>
      </c>
      <c r="B2" s="2" t="b">
        <v>1</v>
      </c>
      <c r="C2" s="2" t="s">
        <v>1502</v>
      </c>
      <c r="D2" s="2">
        <v>5</v>
      </c>
      <c r="E2" s="2">
        <v>1</v>
      </c>
      <c r="F2" s="2" t="s">
        <v>1503</v>
      </c>
    </row>
    <row r="3" spans="1:6" ht="75" x14ac:dyDescent="0.25">
      <c r="A3" s="2" t="s">
        <v>1173</v>
      </c>
      <c r="B3" s="2" t="b">
        <v>1</v>
      </c>
      <c r="C3" s="2" t="s">
        <v>1502</v>
      </c>
      <c r="D3" s="2">
        <v>5</v>
      </c>
      <c r="E3" s="2">
        <v>1</v>
      </c>
      <c r="F3" s="2" t="s">
        <v>1503</v>
      </c>
    </row>
    <row r="4" spans="1:6" ht="75" x14ac:dyDescent="0.25">
      <c r="A4" s="2" t="s">
        <v>1504</v>
      </c>
      <c r="B4" s="2" t="b">
        <v>1</v>
      </c>
      <c r="C4" s="2" t="s">
        <v>1505</v>
      </c>
      <c r="D4" s="2">
        <v>1</v>
      </c>
      <c r="E4" s="2">
        <v>1</v>
      </c>
      <c r="F4" s="2" t="s">
        <v>1503</v>
      </c>
    </row>
    <row r="5" spans="1:6" ht="75" x14ac:dyDescent="0.25">
      <c r="A5" s="2" t="s">
        <v>1175</v>
      </c>
      <c r="B5" s="2" t="b">
        <v>1</v>
      </c>
      <c r="C5" s="2" t="s">
        <v>1502</v>
      </c>
      <c r="D5" s="2">
        <v>5</v>
      </c>
      <c r="E5" s="2">
        <v>1</v>
      </c>
      <c r="F5" s="2" t="s">
        <v>1503</v>
      </c>
    </row>
    <row r="6" spans="1:6" ht="75" x14ac:dyDescent="0.25">
      <c r="A6" s="2" t="s">
        <v>459</v>
      </c>
      <c r="B6" s="2" t="b">
        <v>1</v>
      </c>
      <c r="C6" s="2" t="s">
        <v>1506</v>
      </c>
      <c r="D6" s="2">
        <v>5</v>
      </c>
      <c r="E6" s="2">
        <v>1</v>
      </c>
      <c r="F6" s="2" t="s">
        <v>1503</v>
      </c>
    </row>
    <row r="7" spans="1:6" ht="75" x14ac:dyDescent="0.25">
      <c r="A7" s="2" t="s">
        <v>800</v>
      </c>
      <c r="B7" s="2" t="b">
        <v>1</v>
      </c>
      <c r="C7" s="2" t="s">
        <v>1507</v>
      </c>
      <c r="D7" s="2">
        <v>6</v>
      </c>
      <c r="E7" s="2">
        <v>1</v>
      </c>
      <c r="F7" s="2" t="s">
        <v>1503</v>
      </c>
    </row>
    <row r="8" spans="1:6" ht="75" x14ac:dyDescent="0.25">
      <c r="A8" s="2" t="s">
        <v>1508</v>
      </c>
      <c r="B8" s="2" t="b">
        <v>1</v>
      </c>
      <c r="C8" s="2" t="s">
        <v>1509</v>
      </c>
      <c r="D8" s="2">
        <v>1</v>
      </c>
      <c r="E8" s="2">
        <v>1</v>
      </c>
      <c r="F8" s="2" t="s">
        <v>1503</v>
      </c>
    </row>
    <row r="9" spans="1:6" ht="75" x14ac:dyDescent="0.25">
      <c r="A9" s="2" t="s">
        <v>1510</v>
      </c>
      <c r="B9" s="2" t="b">
        <v>1</v>
      </c>
      <c r="C9" s="2" t="s">
        <v>1511</v>
      </c>
      <c r="D9" s="2">
        <v>1</v>
      </c>
      <c r="E9" s="2">
        <v>1</v>
      </c>
      <c r="F9" s="2" t="s">
        <v>1503</v>
      </c>
    </row>
    <row r="10" spans="1:6" ht="75" x14ac:dyDescent="0.25">
      <c r="A10" s="2" t="s">
        <v>1512</v>
      </c>
      <c r="B10" s="2" t="b">
        <v>1</v>
      </c>
      <c r="C10" s="2" t="s">
        <v>1509</v>
      </c>
      <c r="D10" s="2">
        <v>1</v>
      </c>
      <c r="E10" s="2">
        <v>1</v>
      </c>
      <c r="F10" s="2" t="s">
        <v>1503</v>
      </c>
    </row>
    <row r="11" spans="1:6" ht="75" x14ac:dyDescent="0.25">
      <c r="A11" s="2" t="s">
        <v>1513</v>
      </c>
      <c r="B11" s="2" t="b">
        <v>1</v>
      </c>
      <c r="C11" s="2" t="s">
        <v>1511</v>
      </c>
      <c r="D11" s="2">
        <v>1</v>
      </c>
      <c r="E11" s="2">
        <v>1</v>
      </c>
      <c r="F11" s="2" t="s">
        <v>1503</v>
      </c>
    </row>
    <row r="12" spans="1:6" ht="75" x14ac:dyDescent="0.25">
      <c r="A12" s="2" t="s">
        <v>1174</v>
      </c>
      <c r="B12" s="2" t="b">
        <v>1</v>
      </c>
      <c r="C12" s="2" t="s">
        <v>1502</v>
      </c>
      <c r="D12" s="2">
        <v>5</v>
      </c>
      <c r="E12" s="2">
        <v>1</v>
      </c>
      <c r="F12" s="2" t="s">
        <v>1503</v>
      </c>
    </row>
    <row r="13" spans="1:6" ht="75" x14ac:dyDescent="0.25">
      <c r="A13" s="2" t="s">
        <v>1514</v>
      </c>
      <c r="B13" s="2" t="b">
        <v>1</v>
      </c>
      <c r="C13" s="2" t="s">
        <v>1515</v>
      </c>
      <c r="D13" s="2">
        <v>1</v>
      </c>
      <c r="E13" s="2">
        <v>2</v>
      </c>
      <c r="F13" s="2" t="s">
        <v>1503</v>
      </c>
    </row>
    <row r="14" spans="1:6" ht="75" x14ac:dyDescent="0.25">
      <c r="A14" s="2" t="s">
        <v>1516</v>
      </c>
      <c r="B14" s="2" t="b">
        <v>1</v>
      </c>
      <c r="C14" s="2" t="s">
        <v>1517</v>
      </c>
      <c r="D14" s="2">
        <v>3</v>
      </c>
      <c r="E14" s="2">
        <v>2</v>
      </c>
      <c r="F14" s="2" t="s">
        <v>1503</v>
      </c>
    </row>
    <row r="15" spans="1:6" ht="75" x14ac:dyDescent="0.25">
      <c r="A15" s="2" t="s">
        <v>1518</v>
      </c>
      <c r="B15" s="2" t="b">
        <v>1</v>
      </c>
      <c r="C15" s="2" t="s">
        <v>1519</v>
      </c>
      <c r="D15" s="2">
        <v>4</v>
      </c>
      <c r="E15" s="2">
        <v>2</v>
      </c>
      <c r="F15" s="2" t="s">
        <v>1503</v>
      </c>
    </row>
    <row r="16" spans="1:6" ht="75" x14ac:dyDescent="0.25">
      <c r="A16" s="2" t="s">
        <v>1520</v>
      </c>
      <c r="B16" s="2" t="b">
        <v>1</v>
      </c>
      <c r="C16" s="2" t="s">
        <v>1521</v>
      </c>
      <c r="D16" s="2">
        <v>1</v>
      </c>
      <c r="E16" s="2">
        <v>2</v>
      </c>
      <c r="F16" s="2" t="s">
        <v>1503</v>
      </c>
    </row>
    <row r="17" spans="1:6" ht="75" x14ac:dyDescent="0.25">
      <c r="A17" s="2" t="s">
        <v>1522</v>
      </c>
      <c r="B17" s="2" t="b">
        <v>1</v>
      </c>
      <c r="C17" s="2" t="s">
        <v>1523</v>
      </c>
      <c r="D17" s="2">
        <v>1</v>
      </c>
      <c r="E17" s="2">
        <v>2</v>
      </c>
      <c r="F17" s="2" t="s">
        <v>1503</v>
      </c>
    </row>
    <row r="18" spans="1:6" ht="75" x14ac:dyDescent="0.25">
      <c r="A18" s="2" t="s">
        <v>1524</v>
      </c>
      <c r="B18" s="2" t="b">
        <v>1</v>
      </c>
      <c r="C18" s="2" t="s">
        <v>1525</v>
      </c>
      <c r="D18" s="2">
        <v>1</v>
      </c>
      <c r="E18" s="2">
        <v>2</v>
      </c>
      <c r="F18" s="2" t="s">
        <v>1503</v>
      </c>
    </row>
    <row r="19" spans="1:6" ht="75" x14ac:dyDescent="0.25">
      <c r="A19" s="2" t="s">
        <v>1526</v>
      </c>
      <c r="B19" s="2" t="b">
        <v>1</v>
      </c>
      <c r="C19" s="2" t="s">
        <v>1527</v>
      </c>
      <c r="D19" s="2">
        <v>1</v>
      </c>
      <c r="E19" s="2">
        <v>2</v>
      </c>
      <c r="F19" s="2" t="s">
        <v>1503</v>
      </c>
    </row>
    <row r="20" spans="1:6" ht="75" x14ac:dyDescent="0.25">
      <c r="A20" s="2" t="s">
        <v>1528</v>
      </c>
      <c r="B20" s="2" t="b">
        <v>1</v>
      </c>
      <c r="C20" s="2" t="s">
        <v>1529</v>
      </c>
      <c r="D20" s="2">
        <v>2</v>
      </c>
      <c r="E20" s="2">
        <v>2</v>
      </c>
      <c r="F20" s="2" t="s">
        <v>1503</v>
      </c>
    </row>
    <row r="21" spans="1:6" ht="75" x14ac:dyDescent="0.25">
      <c r="A21" s="2" t="s">
        <v>1530</v>
      </c>
      <c r="B21" s="2" t="b">
        <v>1</v>
      </c>
      <c r="C21" s="2" t="s">
        <v>1531</v>
      </c>
      <c r="D21" s="2">
        <v>2</v>
      </c>
      <c r="E21" s="2">
        <v>2</v>
      </c>
      <c r="F21" s="2" t="s">
        <v>1503</v>
      </c>
    </row>
    <row r="22" spans="1:6" ht="75" x14ac:dyDescent="0.25">
      <c r="A22" s="2" t="s">
        <v>1532</v>
      </c>
      <c r="B22" s="2" t="b">
        <v>1</v>
      </c>
      <c r="C22" s="2" t="s">
        <v>1533</v>
      </c>
      <c r="D22" s="2">
        <v>2</v>
      </c>
      <c r="E22" s="2">
        <v>2</v>
      </c>
      <c r="F22" s="2" t="s">
        <v>1503</v>
      </c>
    </row>
    <row r="23" spans="1:6" ht="75" x14ac:dyDescent="0.25">
      <c r="A23" s="2" t="s">
        <v>1534</v>
      </c>
      <c r="B23" s="2" t="b">
        <v>1</v>
      </c>
      <c r="C23" s="2" t="s">
        <v>1535</v>
      </c>
      <c r="D23" s="2">
        <v>2</v>
      </c>
      <c r="E23" s="2">
        <v>2</v>
      </c>
      <c r="F23" s="2" t="s">
        <v>1503</v>
      </c>
    </row>
    <row r="24" spans="1:6" ht="75" x14ac:dyDescent="0.25">
      <c r="A24" s="2" t="s">
        <v>1536</v>
      </c>
      <c r="B24" s="2" t="b">
        <v>1</v>
      </c>
      <c r="C24" s="2" t="s">
        <v>1537</v>
      </c>
      <c r="D24" s="2">
        <v>3</v>
      </c>
      <c r="E24" s="2">
        <v>2</v>
      </c>
      <c r="F24" s="2" t="s">
        <v>1503</v>
      </c>
    </row>
    <row r="25" spans="1:6" ht="75" x14ac:dyDescent="0.25">
      <c r="A25" s="2" t="s">
        <v>1538</v>
      </c>
      <c r="B25" s="2" t="b">
        <v>1</v>
      </c>
      <c r="C25" s="2" t="s">
        <v>1539</v>
      </c>
      <c r="D25" s="2">
        <v>3</v>
      </c>
      <c r="E25" s="2">
        <v>2</v>
      </c>
      <c r="F25" s="2" t="s">
        <v>1503</v>
      </c>
    </row>
    <row r="26" spans="1:6" ht="75" x14ac:dyDescent="0.25">
      <c r="A26" s="2" t="s">
        <v>1540</v>
      </c>
      <c r="B26" s="2" t="b">
        <v>0</v>
      </c>
      <c r="C26" s="2" t="s">
        <v>1541</v>
      </c>
      <c r="D26" s="2">
        <v>4</v>
      </c>
      <c r="E26" s="2">
        <v>3</v>
      </c>
      <c r="F26" s="2" t="s">
        <v>1503</v>
      </c>
    </row>
    <row r="27" spans="1:6" ht="75" x14ac:dyDescent="0.25">
      <c r="A27" s="2" t="s">
        <v>1542</v>
      </c>
      <c r="B27" s="2" t="b">
        <v>0</v>
      </c>
      <c r="C27" s="2" t="s">
        <v>1543</v>
      </c>
      <c r="D27" s="2">
        <v>4</v>
      </c>
      <c r="E27" s="2">
        <v>3</v>
      </c>
      <c r="F27" s="2" t="s">
        <v>1503</v>
      </c>
    </row>
    <row r="28" spans="1:6" ht="75" x14ac:dyDescent="0.25">
      <c r="A28" s="2" t="s">
        <v>1544</v>
      </c>
      <c r="B28" s="2" t="b">
        <v>0</v>
      </c>
      <c r="C28" s="2" t="s">
        <v>1545</v>
      </c>
      <c r="D28" s="2">
        <v>4</v>
      </c>
      <c r="E28" s="2">
        <v>3</v>
      </c>
      <c r="F28" s="2" t="s">
        <v>1503</v>
      </c>
    </row>
    <row r="29" spans="1:6" ht="75" x14ac:dyDescent="0.25">
      <c r="A29" s="2" t="s">
        <v>1546</v>
      </c>
      <c r="B29" s="2" t="b">
        <v>0</v>
      </c>
      <c r="C29" s="2" t="s">
        <v>1547</v>
      </c>
      <c r="D29" s="2">
        <v>4</v>
      </c>
      <c r="E29" s="2">
        <v>3</v>
      </c>
      <c r="F29" s="2" t="s">
        <v>1503</v>
      </c>
    </row>
    <row r="30" spans="1:6" ht="75" x14ac:dyDescent="0.25">
      <c r="A30" s="2" t="s">
        <v>1548</v>
      </c>
      <c r="B30" s="2" t="b">
        <v>0</v>
      </c>
      <c r="C30" s="2" t="s">
        <v>1549</v>
      </c>
      <c r="D30" s="2">
        <v>4</v>
      </c>
      <c r="E30" s="2">
        <v>3</v>
      </c>
      <c r="F30" s="2" t="s">
        <v>1503</v>
      </c>
    </row>
    <row r="31" spans="1:6" ht="75" x14ac:dyDescent="0.25">
      <c r="A31" s="2" t="s">
        <v>1550</v>
      </c>
      <c r="B31" s="2" t="b">
        <v>0</v>
      </c>
      <c r="C31" s="2" t="s">
        <v>1551</v>
      </c>
      <c r="D31" s="2">
        <v>4</v>
      </c>
      <c r="E31" s="2">
        <v>3</v>
      </c>
      <c r="F31" s="2" t="s">
        <v>1503</v>
      </c>
    </row>
    <row r="32" spans="1:6" ht="75" x14ac:dyDescent="0.25">
      <c r="A32" s="2" t="s">
        <v>1552</v>
      </c>
      <c r="B32" s="2" t="b">
        <v>0</v>
      </c>
      <c r="C32" s="2" t="s">
        <v>1553</v>
      </c>
      <c r="D32" s="2">
        <v>4</v>
      </c>
      <c r="E32" s="2">
        <v>3</v>
      </c>
      <c r="F32" s="2" t="s">
        <v>1503</v>
      </c>
    </row>
    <row r="33" spans="1:6" ht="75" x14ac:dyDescent="0.25">
      <c r="A33" s="2" t="s">
        <v>1554</v>
      </c>
      <c r="B33" s="2" t="b">
        <v>0</v>
      </c>
      <c r="C33" s="2" t="s">
        <v>1555</v>
      </c>
      <c r="D33" s="2">
        <v>4</v>
      </c>
      <c r="E33" s="2">
        <v>3</v>
      </c>
      <c r="F33" s="2" t="s">
        <v>1503</v>
      </c>
    </row>
    <row r="34" spans="1:6" ht="75" x14ac:dyDescent="0.25">
      <c r="A34" s="2" t="s">
        <v>1556</v>
      </c>
      <c r="B34" s="2" t="b">
        <v>0</v>
      </c>
      <c r="C34" s="2" t="s">
        <v>1557</v>
      </c>
      <c r="D34" s="2">
        <v>4</v>
      </c>
      <c r="E34" s="2">
        <v>3</v>
      </c>
      <c r="F34" s="2" t="s">
        <v>1503</v>
      </c>
    </row>
    <row r="35" spans="1:6" ht="75" x14ac:dyDescent="0.25">
      <c r="A35" s="2" t="s">
        <v>1558</v>
      </c>
      <c r="B35" s="2" t="b">
        <v>0</v>
      </c>
      <c r="C35" s="2" t="s">
        <v>1559</v>
      </c>
      <c r="D35" s="2">
        <v>4</v>
      </c>
      <c r="E35" s="2">
        <v>3</v>
      </c>
      <c r="F35" s="2" t="s">
        <v>1503</v>
      </c>
    </row>
    <row r="36" spans="1:6" ht="75" x14ac:dyDescent="0.25">
      <c r="A36" s="2" t="s">
        <v>1560</v>
      </c>
      <c r="B36" s="2" t="b">
        <v>0</v>
      </c>
      <c r="C36" s="2" t="s">
        <v>1561</v>
      </c>
      <c r="D36" s="2">
        <v>4</v>
      </c>
      <c r="E36" s="2">
        <v>3</v>
      </c>
      <c r="F36" s="2" t="s">
        <v>1503</v>
      </c>
    </row>
    <row r="37" spans="1:6" ht="75" x14ac:dyDescent="0.25">
      <c r="A37" s="2" t="s">
        <v>1562</v>
      </c>
      <c r="B37" s="2" t="b">
        <v>0</v>
      </c>
      <c r="C37" s="2" t="s">
        <v>1563</v>
      </c>
      <c r="D37" s="2">
        <v>4</v>
      </c>
      <c r="E37" s="2">
        <v>3</v>
      </c>
      <c r="F37" s="2" t="s">
        <v>1503</v>
      </c>
    </row>
    <row r="38" spans="1:6" ht="75" x14ac:dyDescent="0.25">
      <c r="A38" s="2" t="s">
        <v>1564</v>
      </c>
      <c r="B38" s="2" t="b">
        <v>0</v>
      </c>
      <c r="C38" s="2" t="s">
        <v>1565</v>
      </c>
      <c r="D38" s="2">
        <v>4</v>
      </c>
      <c r="E38" s="2">
        <v>3</v>
      </c>
      <c r="F38" s="2" t="s">
        <v>1503</v>
      </c>
    </row>
    <row r="39" spans="1:6" ht="75" x14ac:dyDescent="0.25">
      <c r="A39" s="2" t="s">
        <v>1566</v>
      </c>
      <c r="B39" s="2" t="b">
        <v>0</v>
      </c>
      <c r="C39" s="2" t="s">
        <v>1567</v>
      </c>
      <c r="D39" s="2">
        <v>4</v>
      </c>
      <c r="E39" s="2">
        <v>3</v>
      </c>
      <c r="F39" s="2" t="s">
        <v>1503</v>
      </c>
    </row>
    <row r="40" spans="1:6" ht="75" x14ac:dyDescent="0.25">
      <c r="A40" s="2" t="s">
        <v>1568</v>
      </c>
      <c r="B40" s="2" t="b">
        <v>0</v>
      </c>
      <c r="C40" s="2" t="s">
        <v>1569</v>
      </c>
      <c r="D40" s="2">
        <v>4</v>
      </c>
      <c r="E40" s="2">
        <v>3</v>
      </c>
      <c r="F40" s="2" t="s">
        <v>1503</v>
      </c>
    </row>
    <row r="41" spans="1:6" ht="75" x14ac:dyDescent="0.25">
      <c r="A41" s="2" t="s">
        <v>1570</v>
      </c>
      <c r="B41" s="2" t="b">
        <v>0</v>
      </c>
      <c r="C41" s="2" t="s">
        <v>1571</v>
      </c>
      <c r="D41" s="2">
        <v>4</v>
      </c>
      <c r="E41" s="2">
        <v>3</v>
      </c>
      <c r="F41" s="2" t="s">
        <v>1503</v>
      </c>
    </row>
    <row r="42" spans="1:6" ht="75" x14ac:dyDescent="0.25">
      <c r="A42" s="2" t="s">
        <v>1572</v>
      </c>
      <c r="B42" s="2" t="b">
        <v>0</v>
      </c>
      <c r="C42" s="2" t="s">
        <v>1573</v>
      </c>
      <c r="D42" s="2">
        <v>4</v>
      </c>
      <c r="E42" s="2">
        <v>3</v>
      </c>
      <c r="F42" s="2" t="s">
        <v>1503</v>
      </c>
    </row>
    <row r="43" spans="1:6" ht="75" x14ac:dyDescent="0.25">
      <c r="A43" s="2" t="s">
        <v>1574</v>
      </c>
      <c r="B43" s="2" t="b">
        <v>0</v>
      </c>
      <c r="C43" s="2" t="s">
        <v>1575</v>
      </c>
      <c r="D43" s="2">
        <v>4</v>
      </c>
      <c r="E43" s="2">
        <v>3</v>
      </c>
      <c r="F43" s="2" t="s">
        <v>1503</v>
      </c>
    </row>
    <row r="44" spans="1:6" ht="75" x14ac:dyDescent="0.25">
      <c r="A44" s="2" t="s">
        <v>1576</v>
      </c>
      <c r="B44" s="2" t="b">
        <v>0</v>
      </c>
      <c r="C44" s="2" t="s">
        <v>1577</v>
      </c>
      <c r="D44" s="2">
        <v>4</v>
      </c>
      <c r="E44" s="2">
        <v>3</v>
      </c>
      <c r="F44" s="2" t="s">
        <v>1503</v>
      </c>
    </row>
    <row r="45" spans="1:6" ht="75" x14ac:dyDescent="0.25">
      <c r="A45" s="2" t="s">
        <v>1578</v>
      </c>
      <c r="B45" s="2" t="b">
        <v>0</v>
      </c>
      <c r="C45" s="2" t="s">
        <v>1579</v>
      </c>
      <c r="D45" s="2">
        <v>4</v>
      </c>
      <c r="E45" s="2">
        <v>3</v>
      </c>
      <c r="F45" s="2" t="s">
        <v>1503</v>
      </c>
    </row>
    <row r="46" spans="1:6" ht="75" x14ac:dyDescent="0.25">
      <c r="A46" s="2" t="s">
        <v>1580</v>
      </c>
      <c r="B46" s="2" t="b">
        <v>0</v>
      </c>
      <c r="C46" s="2" t="s">
        <v>1581</v>
      </c>
      <c r="D46" s="2">
        <v>4</v>
      </c>
      <c r="E46" s="2">
        <v>3</v>
      </c>
      <c r="F46" s="2" t="s">
        <v>1503</v>
      </c>
    </row>
    <row r="47" spans="1:6" ht="75" x14ac:dyDescent="0.25">
      <c r="A47" s="2" t="s">
        <v>1582</v>
      </c>
      <c r="B47" s="2" t="b">
        <v>0</v>
      </c>
      <c r="C47" s="2" t="s">
        <v>1583</v>
      </c>
      <c r="D47" s="2">
        <v>4</v>
      </c>
      <c r="E47" s="2">
        <v>3</v>
      </c>
      <c r="F47" s="2" t="s">
        <v>1503</v>
      </c>
    </row>
    <row r="48" spans="1:6" ht="75" x14ac:dyDescent="0.25">
      <c r="A48" s="2" t="s">
        <v>1584</v>
      </c>
      <c r="B48" s="2" t="b">
        <v>0</v>
      </c>
      <c r="C48" s="2" t="s">
        <v>1585</v>
      </c>
      <c r="D48" s="2">
        <v>4</v>
      </c>
      <c r="E48" s="2">
        <v>3</v>
      </c>
      <c r="F48" s="2" t="s">
        <v>1503</v>
      </c>
    </row>
    <row r="49" spans="1:6" ht="75" x14ac:dyDescent="0.25">
      <c r="A49" s="2" t="s">
        <v>1586</v>
      </c>
      <c r="B49" s="2" t="b">
        <v>0</v>
      </c>
      <c r="C49" s="2" t="s">
        <v>1587</v>
      </c>
      <c r="D49" s="2">
        <v>4</v>
      </c>
      <c r="E49" s="2">
        <v>3</v>
      </c>
      <c r="F49" s="2" t="s">
        <v>1503</v>
      </c>
    </row>
    <row r="50" spans="1:6" ht="75" x14ac:dyDescent="0.25">
      <c r="A50" s="2" t="s">
        <v>1588</v>
      </c>
      <c r="B50" s="2" t="b">
        <v>0</v>
      </c>
      <c r="C50" s="2" t="s">
        <v>1589</v>
      </c>
      <c r="D50" s="2">
        <v>4</v>
      </c>
      <c r="E50" s="2">
        <v>3</v>
      </c>
      <c r="F50" s="2" t="s">
        <v>1503</v>
      </c>
    </row>
    <row r="51" spans="1:6" ht="75" x14ac:dyDescent="0.25">
      <c r="A51" s="2" t="s">
        <v>1590</v>
      </c>
      <c r="B51" s="2" t="b">
        <v>0</v>
      </c>
      <c r="C51" s="2" t="s">
        <v>1591</v>
      </c>
      <c r="D51" s="2">
        <v>4</v>
      </c>
      <c r="E51" s="2">
        <v>3</v>
      </c>
      <c r="F51" s="2" t="s">
        <v>1503</v>
      </c>
    </row>
    <row r="52" spans="1:6" ht="75" x14ac:dyDescent="0.25">
      <c r="A52" s="2" t="s">
        <v>1592</v>
      </c>
      <c r="B52" s="2" t="b">
        <v>0</v>
      </c>
      <c r="C52" s="2" t="s">
        <v>1593</v>
      </c>
      <c r="D52" s="2">
        <v>4</v>
      </c>
      <c r="E52" s="2">
        <v>3</v>
      </c>
      <c r="F52" s="2" t="s">
        <v>1503</v>
      </c>
    </row>
    <row r="53" spans="1:6" ht="75" x14ac:dyDescent="0.25">
      <c r="A53" s="2" t="s">
        <v>1594</v>
      </c>
      <c r="B53" s="2" t="b">
        <v>0</v>
      </c>
      <c r="C53" s="2" t="s">
        <v>1595</v>
      </c>
      <c r="D53" s="2">
        <v>4</v>
      </c>
      <c r="E53" s="2">
        <v>3</v>
      </c>
      <c r="F53" s="2" t="s">
        <v>1503</v>
      </c>
    </row>
    <row r="54" spans="1:6" ht="75" x14ac:dyDescent="0.25">
      <c r="A54" s="2" t="s">
        <v>1596</v>
      </c>
      <c r="B54" s="2" t="b">
        <v>0</v>
      </c>
      <c r="C54" s="2" t="s">
        <v>1597</v>
      </c>
      <c r="D54" s="2">
        <v>4</v>
      </c>
      <c r="E54" s="2">
        <v>3</v>
      </c>
      <c r="F54" s="2" t="s">
        <v>1503</v>
      </c>
    </row>
    <row r="55" spans="1:6" ht="75" x14ac:dyDescent="0.25">
      <c r="A55" s="2" t="s">
        <v>1598</v>
      </c>
      <c r="B55" s="2" t="b">
        <v>0</v>
      </c>
      <c r="C55" s="2" t="s">
        <v>1599</v>
      </c>
      <c r="D55" s="2">
        <v>4</v>
      </c>
      <c r="E55" s="2">
        <v>3</v>
      </c>
      <c r="F55" s="2" t="s">
        <v>1503</v>
      </c>
    </row>
    <row r="56" spans="1:6" ht="75" x14ac:dyDescent="0.25">
      <c r="A56" s="2" t="s">
        <v>1600</v>
      </c>
      <c r="B56" s="2" t="b">
        <v>0</v>
      </c>
      <c r="C56" s="2" t="s">
        <v>1601</v>
      </c>
      <c r="D56" s="2">
        <v>4</v>
      </c>
      <c r="E56" s="2">
        <v>3</v>
      </c>
      <c r="F56" s="2" t="s">
        <v>1503</v>
      </c>
    </row>
    <row r="57" spans="1:6" ht="75" x14ac:dyDescent="0.25">
      <c r="A57" s="2" t="s">
        <v>1602</v>
      </c>
      <c r="B57" s="2" t="b">
        <v>0</v>
      </c>
      <c r="C57" s="2" t="s">
        <v>1603</v>
      </c>
      <c r="D57" s="2">
        <v>4</v>
      </c>
      <c r="E57" s="2">
        <v>3</v>
      </c>
      <c r="F57" s="2" t="s">
        <v>1503</v>
      </c>
    </row>
    <row r="58" spans="1:6" ht="75" x14ac:dyDescent="0.25">
      <c r="A58" s="2" t="s">
        <v>1604</v>
      </c>
      <c r="B58" s="2" t="b">
        <v>0</v>
      </c>
      <c r="C58" s="2" t="s">
        <v>1605</v>
      </c>
      <c r="D58" s="2">
        <v>4</v>
      </c>
      <c r="E58" s="2">
        <v>3</v>
      </c>
      <c r="F58" s="2" t="s">
        <v>1503</v>
      </c>
    </row>
    <row r="59" spans="1:6" ht="75" x14ac:dyDescent="0.25">
      <c r="A59" s="2" t="s">
        <v>1606</v>
      </c>
      <c r="B59" s="2" t="b">
        <v>0</v>
      </c>
      <c r="C59" s="2" t="s">
        <v>1607</v>
      </c>
      <c r="D59" s="2">
        <v>4</v>
      </c>
      <c r="E59" s="2">
        <v>3</v>
      </c>
      <c r="F59" s="2" t="s">
        <v>1503</v>
      </c>
    </row>
    <row r="60" spans="1:6" ht="75" x14ac:dyDescent="0.25">
      <c r="A60" s="2" t="s">
        <v>1608</v>
      </c>
      <c r="B60" s="2" t="b">
        <v>0</v>
      </c>
      <c r="C60" s="2" t="s">
        <v>1609</v>
      </c>
      <c r="D60" s="2">
        <v>4</v>
      </c>
      <c r="E60" s="2">
        <v>3</v>
      </c>
      <c r="F60" s="2" t="s">
        <v>1503</v>
      </c>
    </row>
    <row r="61" spans="1:6" ht="75" x14ac:dyDescent="0.25">
      <c r="A61" s="2" t="s">
        <v>1610</v>
      </c>
      <c r="B61" s="2" t="b">
        <v>0</v>
      </c>
      <c r="C61" s="2" t="s">
        <v>1611</v>
      </c>
      <c r="D61" s="2">
        <v>4</v>
      </c>
      <c r="E61" s="2">
        <v>3</v>
      </c>
      <c r="F61" s="2" t="s">
        <v>1503</v>
      </c>
    </row>
    <row r="62" spans="1:6" ht="75" x14ac:dyDescent="0.25">
      <c r="A62" s="2" t="s">
        <v>1612</v>
      </c>
      <c r="B62" s="2" t="b">
        <v>0</v>
      </c>
      <c r="C62" s="2" t="s">
        <v>1613</v>
      </c>
      <c r="D62" s="2">
        <v>4</v>
      </c>
      <c r="E62" s="2">
        <v>3</v>
      </c>
      <c r="F62" s="2" t="s">
        <v>1503</v>
      </c>
    </row>
    <row r="63" spans="1:6" ht="75" x14ac:dyDescent="0.25">
      <c r="A63" s="2" t="s">
        <v>1614</v>
      </c>
      <c r="B63" s="2" t="b">
        <v>0</v>
      </c>
      <c r="C63" s="2" t="s">
        <v>1615</v>
      </c>
      <c r="D63" s="2">
        <v>4</v>
      </c>
      <c r="E63" s="2">
        <v>3</v>
      </c>
      <c r="F63" s="2" t="s">
        <v>1503</v>
      </c>
    </row>
    <row r="64" spans="1:6" ht="75" x14ac:dyDescent="0.25">
      <c r="A64" s="2" t="s">
        <v>1616</v>
      </c>
      <c r="B64" s="2" t="b">
        <v>0</v>
      </c>
      <c r="C64" s="2" t="s">
        <v>1617</v>
      </c>
      <c r="D64" s="2">
        <v>4</v>
      </c>
      <c r="E64" s="2">
        <v>3</v>
      </c>
      <c r="F64" s="2" t="s">
        <v>1503</v>
      </c>
    </row>
    <row r="65" spans="1:6" ht="75" x14ac:dyDescent="0.25">
      <c r="A65" s="2" t="s">
        <v>1618</v>
      </c>
      <c r="B65" s="2" t="b">
        <v>0</v>
      </c>
      <c r="C65" s="2" t="s">
        <v>1619</v>
      </c>
      <c r="D65" s="2">
        <v>4</v>
      </c>
      <c r="E65" s="2">
        <v>3</v>
      </c>
      <c r="F65" s="2" t="s">
        <v>1503</v>
      </c>
    </row>
    <row r="66" spans="1:6" ht="75" x14ac:dyDescent="0.25">
      <c r="A66" s="2" t="s">
        <v>1620</v>
      </c>
      <c r="B66" s="2" t="b">
        <v>0</v>
      </c>
      <c r="C66" s="2" t="s">
        <v>1621</v>
      </c>
      <c r="D66" s="2">
        <v>4</v>
      </c>
      <c r="E66" s="2">
        <v>3</v>
      </c>
      <c r="F66" s="2" t="s">
        <v>1503</v>
      </c>
    </row>
    <row r="67" spans="1:6" ht="75" x14ac:dyDescent="0.25">
      <c r="A67" s="2" t="s">
        <v>1622</v>
      </c>
      <c r="B67" s="2" t="b">
        <v>0</v>
      </c>
      <c r="C67" s="2" t="s">
        <v>1623</v>
      </c>
      <c r="D67" s="2">
        <v>4</v>
      </c>
      <c r="E67" s="2">
        <v>3</v>
      </c>
      <c r="F67" s="2" t="s">
        <v>1503</v>
      </c>
    </row>
    <row r="68" spans="1:6" ht="75" x14ac:dyDescent="0.25">
      <c r="A68" s="2" t="s">
        <v>1624</v>
      </c>
      <c r="B68" s="2" t="b">
        <v>0</v>
      </c>
      <c r="C68" s="2" t="s">
        <v>1625</v>
      </c>
      <c r="D68" s="2">
        <v>4</v>
      </c>
      <c r="E68" s="2">
        <v>3</v>
      </c>
      <c r="F68" s="2" t="s">
        <v>1503</v>
      </c>
    </row>
    <row r="69" spans="1:6" ht="75" x14ac:dyDescent="0.25">
      <c r="A69" s="2" t="s">
        <v>1626</v>
      </c>
      <c r="B69" s="2" t="b">
        <v>0</v>
      </c>
      <c r="C69" s="2" t="s">
        <v>1627</v>
      </c>
      <c r="D69" s="2">
        <v>4</v>
      </c>
      <c r="E69" s="2">
        <v>3</v>
      </c>
      <c r="F69" s="2" t="s">
        <v>1503</v>
      </c>
    </row>
    <row r="70" spans="1:6" ht="75" x14ac:dyDescent="0.25">
      <c r="A70" s="2" t="s">
        <v>1628</v>
      </c>
      <c r="B70" s="2" t="b">
        <v>0</v>
      </c>
      <c r="C70" s="2" t="s">
        <v>1629</v>
      </c>
      <c r="D70" s="2">
        <v>4</v>
      </c>
      <c r="E70" s="2">
        <v>3</v>
      </c>
      <c r="F70" s="2" t="s">
        <v>1503</v>
      </c>
    </row>
    <row r="71" spans="1:6" ht="75" x14ac:dyDescent="0.25">
      <c r="A71" s="2" t="s">
        <v>1630</v>
      </c>
      <c r="B71" s="2" t="b">
        <v>0</v>
      </c>
      <c r="C71" s="2" t="s">
        <v>1631</v>
      </c>
      <c r="D71" s="2">
        <v>4</v>
      </c>
      <c r="E71" s="2">
        <v>3</v>
      </c>
      <c r="F71" s="2" t="s">
        <v>1503</v>
      </c>
    </row>
    <row r="72" spans="1:6" ht="75" x14ac:dyDescent="0.25">
      <c r="A72" s="2" t="s">
        <v>1632</v>
      </c>
      <c r="B72" s="2" t="b">
        <v>0</v>
      </c>
      <c r="C72" s="2" t="s">
        <v>1633</v>
      </c>
      <c r="D72" s="2">
        <v>4</v>
      </c>
      <c r="E72" s="2">
        <v>3</v>
      </c>
      <c r="F72" s="2" t="s">
        <v>1503</v>
      </c>
    </row>
    <row r="73" spans="1:6" ht="75" x14ac:dyDescent="0.25">
      <c r="A73" s="2" t="s">
        <v>1634</v>
      </c>
      <c r="B73" s="2" t="b">
        <v>0</v>
      </c>
      <c r="C73" s="2" t="s">
        <v>1635</v>
      </c>
      <c r="D73" s="2">
        <v>4</v>
      </c>
      <c r="E73" s="2">
        <v>3</v>
      </c>
      <c r="F73" s="2" t="s">
        <v>1503</v>
      </c>
    </row>
    <row r="74" spans="1:6" ht="75" x14ac:dyDescent="0.25">
      <c r="A74" s="2" t="s">
        <v>1636</v>
      </c>
      <c r="B74" s="2" t="b">
        <v>0</v>
      </c>
      <c r="C74" s="2" t="s">
        <v>1637</v>
      </c>
      <c r="D74" s="2">
        <v>4</v>
      </c>
      <c r="E74" s="2">
        <v>3</v>
      </c>
      <c r="F74" s="2" t="s">
        <v>1503</v>
      </c>
    </row>
    <row r="75" spans="1:6" ht="75" x14ac:dyDescent="0.25">
      <c r="A75" s="2" t="s">
        <v>1638</v>
      </c>
      <c r="B75" s="2" t="b">
        <v>0</v>
      </c>
      <c r="C75" s="2" t="s">
        <v>1639</v>
      </c>
      <c r="D75" s="2">
        <v>4</v>
      </c>
      <c r="E75" s="2">
        <v>3</v>
      </c>
      <c r="F75" s="2" t="s">
        <v>1503</v>
      </c>
    </row>
    <row r="76" spans="1:6" ht="75" x14ac:dyDescent="0.25">
      <c r="A76" s="2" t="s">
        <v>1640</v>
      </c>
      <c r="B76" s="2" t="b">
        <v>0</v>
      </c>
      <c r="C76" s="2" t="s">
        <v>1641</v>
      </c>
      <c r="D76" s="2">
        <v>4</v>
      </c>
      <c r="E76" s="2">
        <v>3</v>
      </c>
      <c r="F76" s="2" t="s">
        <v>1503</v>
      </c>
    </row>
    <row r="77" spans="1:6" ht="75" x14ac:dyDescent="0.25">
      <c r="A77" s="2" t="s">
        <v>1642</v>
      </c>
      <c r="B77" s="2" t="b">
        <v>0</v>
      </c>
      <c r="C77" s="2" t="s">
        <v>1643</v>
      </c>
      <c r="D77" s="2">
        <v>4</v>
      </c>
      <c r="E77" s="2">
        <v>3</v>
      </c>
      <c r="F77" s="2" t="s">
        <v>1503</v>
      </c>
    </row>
    <row r="78" spans="1:6" ht="75" x14ac:dyDescent="0.25">
      <c r="A78" s="2" t="s">
        <v>1644</v>
      </c>
      <c r="B78" s="2" t="b">
        <v>0</v>
      </c>
      <c r="C78" s="2" t="s">
        <v>1645</v>
      </c>
      <c r="D78" s="2">
        <v>4</v>
      </c>
      <c r="E78" s="2">
        <v>3</v>
      </c>
      <c r="F78" s="2" t="s">
        <v>1503</v>
      </c>
    </row>
    <row r="79" spans="1:6" ht="75" x14ac:dyDescent="0.25">
      <c r="A79" s="2" t="s">
        <v>1646</v>
      </c>
      <c r="B79" s="2" t="b">
        <v>0</v>
      </c>
      <c r="C79" s="2" t="s">
        <v>1647</v>
      </c>
      <c r="D79" s="2">
        <v>4</v>
      </c>
      <c r="E79" s="2">
        <v>3</v>
      </c>
      <c r="F79" s="2" t="s">
        <v>1503</v>
      </c>
    </row>
    <row r="80" spans="1:6" ht="75" x14ac:dyDescent="0.25">
      <c r="A80" s="2" t="s">
        <v>1648</v>
      </c>
      <c r="B80" s="2" t="b">
        <v>0</v>
      </c>
      <c r="C80" s="2" t="s">
        <v>1649</v>
      </c>
      <c r="D80" s="2">
        <v>4</v>
      </c>
      <c r="E80" s="2">
        <v>3</v>
      </c>
      <c r="F80" s="2" t="s">
        <v>1503</v>
      </c>
    </row>
    <row r="81" spans="1:6" ht="75" x14ac:dyDescent="0.25">
      <c r="A81" s="2" t="s">
        <v>1650</v>
      </c>
      <c r="B81" s="2" t="b">
        <v>0</v>
      </c>
      <c r="C81" s="2" t="s">
        <v>1651</v>
      </c>
      <c r="D81" s="2">
        <v>4</v>
      </c>
      <c r="E81" s="2">
        <v>3</v>
      </c>
      <c r="F81" s="2" t="s">
        <v>1503</v>
      </c>
    </row>
    <row r="82" spans="1:6" ht="75" x14ac:dyDescent="0.25">
      <c r="A82" s="2" t="s">
        <v>1652</v>
      </c>
      <c r="B82" s="2" t="b">
        <v>0</v>
      </c>
      <c r="C82" s="2" t="s">
        <v>1653</v>
      </c>
      <c r="D82" s="2">
        <v>4</v>
      </c>
      <c r="E82" s="2">
        <v>3</v>
      </c>
      <c r="F82" s="2" t="s">
        <v>1503</v>
      </c>
    </row>
    <row r="83" spans="1:6" ht="75" x14ac:dyDescent="0.25">
      <c r="A83" s="2" t="s">
        <v>1654</v>
      </c>
      <c r="B83" s="2" t="b">
        <v>0</v>
      </c>
      <c r="C83" s="2" t="s">
        <v>1651</v>
      </c>
      <c r="D83" s="2">
        <v>4</v>
      </c>
      <c r="E83" s="2">
        <v>3</v>
      </c>
      <c r="F83" s="2" t="s">
        <v>1503</v>
      </c>
    </row>
    <row r="84" spans="1:6" ht="75" x14ac:dyDescent="0.25">
      <c r="A84" s="2" t="s">
        <v>1655</v>
      </c>
      <c r="B84" s="2" t="b">
        <v>0</v>
      </c>
      <c r="C84" s="2" t="s">
        <v>1656</v>
      </c>
      <c r="D84" s="2">
        <v>4</v>
      </c>
      <c r="E84" s="2">
        <v>3</v>
      </c>
      <c r="F84" s="2" t="s">
        <v>1503</v>
      </c>
    </row>
    <row r="85" spans="1:6" ht="75" x14ac:dyDescent="0.25">
      <c r="A85" s="2" t="s">
        <v>1657</v>
      </c>
      <c r="B85" s="2" t="b">
        <v>0</v>
      </c>
      <c r="C85" s="2" t="s">
        <v>1656</v>
      </c>
      <c r="D85" s="2">
        <v>4</v>
      </c>
      <c r="E85" s="2">
        <v>3</v>
      </c>
      <c r="F85" s="2" t="s">
        <v>1503</v>
      </c>
    </row>
    <row r="86" spans="1:6" ht="75" x14ac:dyDescent="0.25">
      <c r="A86" s="2" t="s">
        <v>1658</v>
      </c>
      <c r="B86" s="2" t="b">
        <v>0</v>
      </c>
      <c r="C86" s="2" t="s">
        <v>1659</v>
      </c>
      <c r="D86" s="2">
        <v>4</v>
      </c>
      <c r="E86" s="2">
        <v>3</v>
      </c>
      <c r="F86" s="2" t="s">
        <v>1503</v>
      </c>
    </row>
    <row r="87" spans="1:6" ht="75" x14ac:dyDescent="0.25">
      <c r="A87" s="2" t="s">
        <v>1660</v>
      </c>
      <c r="B87" s="2" t="b">
        <v>0</v>
      </c>
      <c r="C87" s="2" t="s">
        <v>1661</v>
      </c>
      <c r="D87" s="2">
        <v>4</v>
      </c>
      <c r="E87" s="2">
        <v>3</v>
      </c>
      <c r="F87" s="2" t="s">
        <v>1503</v>
      </c>
    </row>
    <row r="88" spans="1:6" ht="75" x14ac:dyDescent="0.25">
      <c r="A88" s="2" t="s">
        <v>1662</v>
      </c>
      <c r="B88" s="2" t="b">
        <v>0</v>
      </c>
      <c r="C88" s="2" t="s">
        <v>1663</v>
      </c>
      <c r="D88" s="2">
        <v>4</v>
      </c>
      <c r="E88" s="2">
        <v>3</v>
      </c>
      <c r="F88" s="2" t="s">
        <v>1503</v>
      </c>
    </row>
    <row r="89" spans="1:6" ht="75" x14ac:dyDescent="0.25">
      <c r="A89" s="2" t="s">
        <v>1664</v>
      </c>
      <c r="B89" s="2" t="b">
        <v>0</v>
      </c>
      <c r="C89" s="2" t="s">
        <v>1665</v>
      </c>
      <c r="D89" s="2">
        <v>4</v>
      </c>
      <c r="E89" s="2">
        <v>3</v>
      </c>
      <c r="F89" s="2" t="s">
        <v>1503</v>
      </c>
    </row>
    <row r="90" spans="1:6" ht="75" x14ac:dyDescent="0.25">
      <c r="A90" s="2" t="s">
        <v>1666</v>
      </c>
      <c r="B90" s="2" t="b">
        <v>0</v>
      </c>
      <c r="C90" s="2" t="s">
        <v>1667</v>
      </c>
      <c r="D90" s="2">
        <v>4</v>
      </c>
      <c r="E90" s="2">
        <v>3</v>
      </c>
      <c r="F90" s="2" t="s">
        <v>1503</v>
      </c>
    </row>
    <row r="91" spans="1:6" ht="75" x14ac:dyDescent="0.25">
      <c r="A91" s="2" t="s">
        <v>1668</v>
      </c>
      <c r="B91" s="2" t="b">
        <v>0</v>
      </c>
      <c r="C91" s="2" t="s">
        <v>1669</v>
      </c>
      <c r="D91" s="2">
        <v>4</v>
      </c>
      <c r="E91" s="2">
        <v>3</v>
      </c>
      <c r="F91" s="2" t="s">
        <v>1503</v>
      </c>
    </row>
    <row r="92" spans="1:6" ht="75" x14ac:dyDescent="0.25">
      <c r="A92" s="2" t="s">
        <v>1670</v>
      </c>
      <c r="B92" s="2" t="b">
        <v>0</v>
      </c>
      <c r="C92" s="2" t="s">
        <v>1671</v>
      </c>
      <c r="D92" s="2">
        <v>4</v>
      </c>
      <c r="E92" s="2">
        <v>3</v>
      </c>
      <c r="F92" s="2" t="s">
        <v>1503</v>
      </c>
    </row>
    <row r="93" spans="1:6" ht="75" x14ac:dyDescent="0.25">
      <c r="A93" s="2" t="s">
        <v>1672</v>
      </c>
      <c r="B93" s="2" t="b">
        <v>0</v>
      </c>
      <c r="C93" s="2" t="s">
        <v>1673</v>
      </c>
      <c r="D93" s="2">
        <v>4</v>
      </c>
      <c r="E93" s="2">
        <v>3</v>
      </c>
      <c r="F93" s="2" t="s">
        <v>1503</v>
      </c>
    </row>
    <row r="94" spans="1:6" ht="75" x14ac:dyDescent="0.25">
      <c r="A94" s="2" t="s">
        <v>1674</v>
      </c>
      <c r="B94" s="2" t="b">
        <v>0</v>
      </c>
      <c r="C94" s="2" t="s">
        <v>1675</v>
      </c>
      <c r="D94" s="2">
        <v>4</v>
      </c>
      <c r="E94" s="2">
        <v>3</v>
      </c>
      <c r="F94" s="2" t="s">
        <v>1503</v>
      </c>
    </row>
    <row r="95" spans="1:6" ht="75" x14ac:dyDescent="0.25">
      <c r="A95" s="2" t="s">
        <v>1676</v>
      </c>
      <c r="B95" s="2" t="b">
        <v>0</v>
      </c>
      <c r="C95" s="2" t="s">
        <v>1677</v>
      </c>
      <c r="D95" s="2">
        <v>4</v>
      </c>
      <c r="E95" s="2">
        <v>3</v>
      </c>
      <c r="F95" s="2" t="s">
        <v>1503</v>
      </c>
    </row>
    <row r="96" spans="1:6" ht="75" x14ac:dyDescent="0.25">
      <c r="A96" s="2" t="s">
        <v>1678</v>
      </c>
      <c r="B96" s="2" t="b">
        <v>1</v>
      </c>
      <c r="C96" s="2" t="s">
        <v>1679</v>
      </c>
      <c r="D96" s="2">
        <v>4</v>
      </c>
      <c r="E96" s="2">
        <v>2</v>
      </c>
      <c r="F96" s="2" t="s">
        <v>1503</v>
      </c>
    </row>
    <row r="97" spans="1:6" ht="75" x14ac:dyDescent="0.25">
      <c r="A97" s="2" t="s">
        <v>1680</v>
      </c>
      <c r="B97" s="2" t="b">
        <v>1</v>
      </c>
      <c r="C97" s="2" t="s">
        <v>1681</v>
      </c>
      <c r="D97" s="2">
        <v>4</v>
      </c>
      <c r="E97" s="2">
        <v>2</v>
      </c>
      <c r="F97" s="2" t="s">
        <v>1503</v>
      </c>
    </row>
    <row r="98" spans="1:6" ht="75" x14ac:dyDescent="0.25">
      <c r="A98" s="2" t="s">
        <v>1682</v>
      </c>
      <c r="B98" s="2" t="b">
        <v>1</v>
      </c>
      <c r="C98" s="2" t="s">
        <v>1683</v>
      </c>
      <c r="D98" s="2">
        <v>4</v>
      </c>
      <c r="E98" s="2">
        <v>2</v>
      </c>
      <c r="F98" s="2" t="s">
        <v>1503</v>
      </c>
    </row>
    <row r="99" spans="1:6" ht="75" x14ac:dyDescent="0.25">
      <c r="A99" s="2" t="s">
        <v>1684</v>
      </c>
      <c r="B99" s="2" t="b">
        <v>1</v>
      </c>
      <c r="C99" s="2" t="s">
        <v>1685</v>
      </c>
      <c r="D99" s="2">
        <v>4</v>
      </c>
      <c r="E99" s="2">
        <v>2</v>
      </c>
      <c r="F99" s="2" t="s">
        <v>1503</v>
      </c>
    </row>
    <row r="100" spans="1:6" ht="75" x14ac:dyDescent="0.25">
      <c r="A100" s="2" t="s">
        <v>1686</v>
      </c>
      <c r="B100" s="2" t="b">
        <v>1</v>
      </c>
      <c r="C100" s="2" t="s">
        <v>1687</v>
      </c>
      <c r="D100" s="2">
        <v>4</v>
      </c>
      <c r="E100" s="2">
        <v>2</v>
      </c>
      <c r="F100" s="2" t="s">
        <v>1503</v>
      </c>
    </row>
    <row r="101" spans="1:6" ht="75" x14ac:dyDescent="0.25">
      <c r="A101" s="2" t="s">
        <v>1688</v>
      </c>
      <c r="B101" s="2" t="b">
        <v>1</v>
      </c>
      <c r="C101" s="2" t="s">
        <v>1689</v>
      </c>
      <c r="D101" s="2">
        <v>4</v>
      </c>
      <c r="E101" s="2">
        <v>2</v>
      </c>
      <c r="F101" s="2" t="s">
        <v>1503</v>
      </c>
    </row>
    <row r="102" spans="1:6" ht="75" x14ac:dyDescent="0.25">
      <c r="A102" s="2" t="s">
        <v>1690</v>
      </c>
      <c r="B102" s="2" t="b">
        <v>1</v>
      </c>
      <c r="C102" s="2" t="s">
        <v>1691</v>
      </c>
      <c r="D102" s="2">
        <v>4</v>
      </c>
      <c r="E102" s="2">
        <v>2</v>
      </c>
      <c r="F102" s="2" t="s">
        <v>1503</v>
      </c>
    </row>
    <row r="103" spans="1:6" ht="75" x14ac:dyDescent="0.25">
      <c r="A103" s="2" t="s">
        <v>1692</v>
      </c>
      <c r="B103" s="2" t="b">
        <v>1</v>
      </c>
      <c r="C103" s="2" t="s">
        <v>1693</v>
      </c>
      <c r="D103" s="2">
        <v>4</v>
      </c>
      <c r="E103" s="2">
        <v>2</v>
      </c>
      <c r="F103" s="2" t="s">
        <v>1503</v>
      </c>
    </row>
    <row r="104" spans="1:6" ht="75" x14ac:dyDescent="0.25">
      <c r="A104" s="2" t="s">
        <v>1694</v>
      </c>
      <c r="B104" s="2" t="b">
        <v>1</v>
      </c>
      <c r="C104" s="2" t="s">
        <v>1695</v>
      </c>
      <c r="D104" s="2">
        <v>4</v>
      </c>
      <c r="E104" s="2">
        <v>2</v>
      </c>
      <c r="F104" s="2" t="s">
        <v>1503</v>
      </c>
    </row>
    <row r="105" spans="1:6" ht="75" x14ac:dyDescent="0.25">
      <c r="A105" s="2" t="s">
        <v>1696</v>
      </c>
      <c r="B105" s="2" t="b">
        <v>1</v>
      </c>
      <c r="C105" s="2" t="s">
        <v>1697</v>
      </c>
      <c r="D105" s="2">
        <v>4</v>
      </c>
      <c r="E105" s="2">
        <v>2</v>
      </c>
      <c r="F105" s="2" t="s">
        <v>1503</v>
      </c>
    </row>
    <row r="106" spans="1:6" ht="75" x14ac:dyDescent="0.25">
      <c r="A106" s="2" t="s">
        <v>1698</v>
      </c>
      <c r="B106" s="2" t="b">
        <v>1</v>
      </c>
      <c r="C106" s="2" t="s">
        <v>1699</v>
      </c>
      <c r="D106" s="2">
        <v>4</v>
      </c>
      <c r="E106" s="2">
        <v>2</v>
      </c>
      <c r="F106" s="2" t="s">
        <v>1503</v>
      </c>
    </row>
    <row r="107" spans="1:6" ht="75" x14ac:dyDescent="0.25">
      <c r="A107" s="2" t="s">
        <v>1700</v>
      </c>
      <c r="B107" s="2" t="b">
        <v>1</v>
      </c>
      <c r="C107" s="2" t="s">
        <v>1701</v>
      </c>
      <c r="D107" s="2">
        <v>3</v>
      </c>
      <c r="E107" s="2">
        <v>2</v>
      </c>
      <c r="F107" s="2" t="s">
        <v>1503</v>
      </c>
    </row>
    <row r="108" spans="1:6" ht="75" x14ac:dyDescent="0.25">
      <c r="A108" s="2" t="s">
        <v>1702</v>
      </c>
      <c r="B108" s="2" t="b">
        <v>1</v>
      </c>
      <c r="C108" s="2" t="s">
        <v>1701</v>
      </c>
      <c r="D108" s="2">
        <v>3</v>
      </c>
      <c r="E108" s="2">
        <v>2</v>
      </c>
      <c r="F108" s="2" t="s">
        <v>1503</v>
      </c>
    </row>
    <row r="109" spans="1:6" ht="75" x14ac:dyDescent="0.25">
      <c r="A109" s="2" t="s">
        <v>1703</v>
      </c>
      <c r="B109" s="2" t="b">
        <v>1</v>
      </c>
      <c r="C109" s="2" t="s">
        <v>1704</v>
      </c>
      <c r="D109" s="2">
        <v>3</v>
      </c>
      <c r="E109" s="2">
        <v>2</v>
      </c>
      <c r="F109" s="2" t="s">
        <v>1503</v>
      </c>
    </row>
    <row r="110" spans="1:6" ht="75" x14ac:dyDescent="0.25">
      <c r="A110" s="2" t="s">
        <v>1705</v>
      </c>
      <c r="B110" s="2" t="b">
        <v>1</v>
      </c>
      <c r="C110" s="2" t="s">
        <v>1704</v>
      </c>
      <c r="D110" s="2">
        <v>3</v>
      </c>
      <c r="E110" s="2">
        <v>2</v>
      </c>
      <c r="F110" s="2" t="s">
        <v>1503</v>
      </c>
    </row>
    <row r="111" spans="1:6" ht="75" x14ac:dyDescent="0.25">
      <c r="A111" s="2" t="s">
        <v>1706</v>
      </c>
      <c r="B111" s="2" t="b">
        <v>0</v>
      </c>
      <c r="C111" s="2" t="s">
        <v>1707</v>
      </c>
      <c r="D111" s="2">
        <v>4</v>
      </c>
      <c r="E111" s="2">
        <v>3</v>
      </c>
      <c r="F111" s="2" t="s">
        <v>1503</v>
      </c>
    </row>
    <row r="112" spans="1:6" ht="75" x14ac:dyDescent="0.25">
      <c r="A112" s="2" t="s">
        <v>1708</v>
      </c>
      <c r="B112" s="2" t="b">
        <v>0</v>
      </c>
      <c r="C112" s="2" t="s">
        <v>1709</v>
      </c>
      <c r="D112" s="2">
        <v>4</v>
      </c>
      <c r="E112" s="2">
        <v>3</v>
      </c>
      <c r="F112" s="2" t="s">
        <v>1503</v>
      </c>
    </row>
    <row r="113" spans="1:6" ht="75" x14ac:dyDescent="0.25">
      <c r="A113" s="2" t="s">
        <v>1710</v>
      </c>
      <c r="B113" s="2" t="b">
        <v>0</v>
      </c>
      <c r="C113" s="2" t="s">
        <v>1711</v>
      </c>
      <c r="D113" s="2">
        <v>4</v>
      </c>
      <c r="E113" s="2">
        <v>3</v>
      </c>
      <c r="F113" s="2" t="s">
        <v>1503</v>
      </c>
    </row>
    <row r="114" spans="1:6" ht="75" x14ac:dyDescent="0.25">
      <c r="A114" s="2" t="s">
        <v>1712</v>
      </c>
      <c r="B114" s="2" t="b">
        <v>0</v>
      </c>
      <c r="C114" s="2" t="s">
        <v>1713</v>
      </c>
      <c r="D114" s="2">
        <v>4</v>
      </c>
      <c r="E114" s="2">
        <v>3</v>
      </c>
      <c r="F114" s="2" t="s">
        <v>1503</v>
      </c>
    </row>
    <row r="115" spans="1:6" ht="75" x14ac:dyDescent="0.25">
      <c r="A115" s="2" t="s">
        <v>1714</v>
      </c>
      <c r="B115" s="2" t="b">
        <v>0</v>
      </c>
      <c r="C115" s="2" t="s">
        <v>1715</v>
      </c>
      <c r="D115" s="2">
        <v>4</v>
      </c>
      <c r="E115" s="2">
        <v>3</v>
      </c>
      <c r="F115" s="2" t="s">
        <v>1503</v>
      </c>
    </row>
    <row r="116" spans="1:6" ht="75" x14ac:dyDescent="0.25">
      <c r="A116" s="2" t="s">
        <v>1716</v>
      </c>
      <c r="B116" s="2" t="b">
        <v>0</v>
      </c>
      <c r="C116" s="2" t="s">
        <v>1717</v>
      </c>
      <c r="D116" s="2">
        <v>4</v>
      </c>
      <c r="E116" s="2">
        <v>3</v>
      </c>
      <c r="F116" s="2" t="s">
        <v>1503</v>
      </c>
    </row>
    <row r="117" spans="1:6" ht="75" x14ac:dyDescent="0.25">
      <c r="A117" s="2" t="s">
        <v>1718</v>
      </c>
      <c r="B117" s="2" t="b">
        <v>0</v>
      </c>
      <c r="C117" s="2" t="s">
        <v>1719</v>
      </c>
      <c r="D117" s="2">
        <v>4</v>
      </c>
      <c r="E117" s="2">
        <v>3</v>
      </c>
      <c r="F117" s="2" t="s">
        <v>1503</v>
      </c>
    </row>
    <row r="118" spans="1:6" ht="75" x14ac:dyDescent="0.25">
      <c r="A118" s="2" t="s">
        <v>1720</v>
      </c>
      <c r="B118" s="2" t="b">
        <v>0</v>
      </c>
      <c r="C118" s="2" t="s">
        <v>1721</v>
      </c>
      <c r="D118" s="2">
        <v>4</v>
      </c>
      <c r="E118" s="2">
        <v>3</v>
      </c>
      <c r="F118" s="2" t="s">
        <v>1503</v>
      </c>
    </row>
    <row r="119" spans="1:6" ht="75" x14ac:dyDescent="0.25">
      <c r="A119" s="2" t="s">
        <v>1722</v>
      </c>
      <c r="B119" s="2" t="b">
        <v>0</v>
      </c>
      <c r="C119" s="2" t="s">
        <v>1723</v>
      </c>
      <c r="D119" s="2">
        <v>4</v>
      </c>
      <c r="E119" s="2">
        <v>3</v>
      </c>
      <c r="F119" s="2" t="s">
        <v>1503</v>
      </c>
    </row>
    <row r="120" spans="1:6" ht="75" x14ac:dyDescent="0.25">
      <c r="A120" s="2" t="s">
        <v>1724</v>
      </c>
      <c r="B120" s="2" t="b">
        <v>0</v>
      </c>
      <c r="C120" s="2" t="s">
        <v>1725</v>
      </c>
      <c r="D120" s="2">
        <v>4</v>
      </c>
      <c r="E120" s="2">
        <v>3</v>
      </c>
      <c r="F120" s="2" t="s">
        <v>1503</v>
      </c>
    </row>
    <row r="121" spans="1:6" ht="75" x14ac:dyDescent="0.25">
      <c r="A121" s="2" t="s">
        <v>1726</v>
      </c>
      <c r="B121" s="2" t="b">
        <v>0</v>
      </c>
      <c r="C121" s="2" t="s">
        <v>1727</v>
      </c>
      <c r="D121" s="2">
        <v>4</v>
      </c>
      <c r="E121" s="2">
        <v>3</v>
      </c>
      <c r="F121" s="2" t="s">
        <v>1503</v>
      </c>
    </row>
    <row r="122" spans="1:6" ht="75" x14ac:dyDescent="0.25">
      <c r="A122" s="2" t="s">
        <v>1728</v>
      </c>
      <c r="B122" s="2" t="b">
        <v>0</v>
      </c>
      <c r="C122" s="2" t="s">
        <v>1729</v>
      </c>
      <c r="D122" s="2">
        <v>4</v>
      </c>
      <c r="E122" s="2">
        <v>3</v>
      </c>
      <c r="F122" s="2" t="s">
        <v>1503</v>
      </c>
    </row>
    <row r="123" spans="1:6" ht="75" x14ac:dyDescent="0.25">
      <c r="A123" s="2" t="s">
        <v>1730</v>
      </c>
      <c r="B123" s="2" t="b">
        <v>0</v>
      </c>
      <c r="C123" s="2" t="s">
        <v>1731</v>
      </c>
      <c r="D123" s="2">
        <v>4</v>
      </c>
      <c r="E123" s="2">
        <v>3</v>
      </c>
      <c r="F123" s="2" t="s">
        <v>1503</v>
      </c>
    </row>
    <row r="124" spans="1:6" ht="75" x14ac:dyDescent="0.25">
      <c r="A124" s="2" t="s">
        <v>1732</v>
      </c>
      <c r="B124" s="2" t="b">
        <v>0</v>
      </c>
      <c r="C124" s="2" t="s">
        <v>1733</v>
      </c>
      <c r="D124" s="2">
        <v>4</v>
      </c>
      <c r="E124" s="2">
        <v>3</v>
      </c>
      <c r="F124" s="2" t="s">
        <v>1503</v>
      </c>
    </row>
    <row r="125" spans="1:6" ht="75" x14ac:dyDescent="0.25">
      <c r="A125" s="2" t="s">
        <v>1734</v>
      </c>
      <c r="B125" s="2" t="b">
        <v>0</v>
      </c>
      <c r="C125" s="2" t="s">
        <v>1735</v>
      </c>
      <c r="D125" s="2">
        <v>4</v>
      </c>
      <c r="E125" s="2">
        <v>3</v>
      </c>
      <c r="F125" s="2" t="s">
        <v>1503</v>
      </c>
    </row>
    <row r="126" spans="1:6" ht="75" x14ac:dyDescent="0.25">
      <c r="A126" s="2" t="s">
        <v>1736</v>
      </c>
      <c r="B126" s="2" t="b">
        <v>0</v>
      </c>
      <c r="C126" s="2" t="s">
        <v>1737</v>
      </c>
      <c r="D126" s="2">
        <v>4</v>
      </c>
      <c r="E126" s="2">
        <v>3</v>
      </c>
      <c r="F126" s="2" t="s">
        <v>1503</v>
      </c>
    </row>
    <row r="127" spans="1:6" ht="75" x14ac:dyDescent="0.25">
      <c r="A127" s="2" t="s">
        <v>1738</v>
      </c>
      <c r="B127" s="2" t="b">
        <v>0</v>
      </c>
      <c r="C127" s="2" t="s">
        <v>1739</v>
      </c>
      <c r="D127" s="2">
        <v>4</v>
      </c>
      <c r="E127" s="2">
        <v>3</v>
      </c>
      <c r="F127" s="2" t="s">
        <v>1503</v>
      </c>
    </row>
    <row r="128" spans="1:6" ht="75" x14ac:dyDescent="0.25">
      <c r="A128" s="2" t="s">
        <v>1740</v>
      </c>
      <c r="B128" s="2" t="b">
        <v>0</v>
      </c>
      <c r="C128" s="2" t="s">
        <v>1741</v>
      </c>
      <c r="D128" s="2">
        <v>4</v>
      </c>
      <c r="E128" s="2">
        <v>3</v>
      </c>
      <c r="F128" s="2" t="s">
        <v>1503</v>
      </c>
    </row>
    <row r="129" spans="1:6" ht="75" x14ac:dyDescent="0.25">
      <c r="A129" s="2" t="s">
        <v>1742</v>
      </c>
      <c r="B129" s="2" t="b">
        <v>0</v>
      </c>
      <c r="C129" s="2" t="s">
        <v>1743</v>
      </c>
      <c r="D129" s="2">
        <v>4</v>
      </c>
      <c r="E129" s="2">
        <v>3</v>
      </c>
      <c r="F129" s="2" t="s">
        <v>1503</v>
      </c>
    </row>
    <row r="130" spans="1:6" ht="75" x14ac:dyDescent="0.25">
      <c r="A130" s="2" t="s">
        <v>1744</v>
      </c>
      <c r="B130" s="2" t="b">
        <v>0</v>
      </c>
      <c r="C130" s="2" t="s">
        <v>1745</v>
      </c>
      <c r="D130" s="2">
        <v>4</v>
      </c>
      <c r="E130" s="2">
        <v>3</v>
      </c>
      <c r="F130" s="2" t="s">
        <v>1503</v>
      </c>
    </row>
    <row r="131" spans="1:6" ht="75" x14ac:dyDescent="0.25">
      <c r="A131" s="2" t="s">
        <v>1746</v>
      </c>
      <c r="B131" s="2" t="b">
        <v>0</v>
      </c>
      <c r="C131" s="2" t="s">
        <v>1747</v>
      </c>
      <c r="D131" s="2">
        <v>4</v>
      </c>
      <c r="E131" s="2">
        <v>3</v>
      </c>
      <c r="F131" s="2" t="s">
        <v>1503</v>
      </c>
    </row>
    <row r="132" spans="1:6" ht="75" x14ac:dyDescent="0.25">
      <c r="A132" s="2" t="s">
        <v>1748</v>
      </c>
      <c r="B132" s="2" t="b">
        <v>0</v>
      </c>
      <c r="C132" s="2" t="s">
        <v>1749</v>
      </c>
      <c r="D132" s="2">
        <v>4</v>
      </c>
      <c r="E132" s="2">
        <v>3</v>
      </c>
      <c r="F132" s="2" t="s">
        <v>1503</v>
      </c>
    </row>
    <row r="133" spans="1:6" ht="75" x14ac:dyDescent="0.25">
      <c r="A133" s="2" t="s">
        <v>1750</v>
      </c>
      <c r="B133" s="2" t="b">
        <v>0</v>
      </c>
      <c r="C133" s="2" t="s">
        <v>1751</v>
      </c>
      <c r="D133" s="2">
        <v>4</v>
      </c>
      <c r="E133" s="2">
        <v>3</v>
      </c>
      <c r="F133" s="2" t="s">
        <v>1503</v>
      </c>
    </row>
    <row r="134" spans="1:6" ht="75" x14ac:dyDescent="0.25">
      <c r="A134" s="2" t="s">
        <v>1752</v>
      </c>
      <c r="B134" s="2" t="b">
        <v>0</v>
      </c>
      <c r="C134" s="2" t="s">
        <v>1753</v>
      </c>
      <c r="D134" s="2">
        <v>3</v>
      </c>
      <c r="E134" s="2">
        <v>3</v>
      </c>
      <c r="F134" s="2" t="s">
        <v>1503</v>
      </c>
    </row>
    <row r="135" spans="1:6" ht="75" x14ac:dyDescent="0.25">
      <c r="A135" s="2" t="s">
        <v>1754</v>
      </c>
      <c r="B135" s="2" t="b">
        <v>1</v>
      </c>
      <c r="C135" s="2" t="s">
        <v>1755</v>
      </c>
      <c r="D135" s="2">
        <v>4</v>
      </c>
      <c r="E135" s="2">
        <v>2</v>
      </c>
      <c r="F135" s="2" t="s">
        <v>1503</v>
      </c>
    </row>
    <row r="136" spans="1:6" ht="75" x14ac:dyDescent="0.25">
      <c r="A136" s="2" t="s">
        <v>1756</v>
      </c>
      <c r="B136" s="2" t="b">
        <v>1</v>
      </c>
      <c r="C136" s="2" t="s">
        <v>1757</v>
      </c>
      <c r="D136" s="2">
        <v>4</v>
      </c>
      <c r="E136" s="2">
        <v>2</v>
      </c>
      <c r="F136" s="2" t="s">
        <v>1503</v>
      </c>
    </row>
    <row r="137" spans="1:6" ht="75" x14ac:dyDescent="0.25">
      <c r="A137" s="2" t="s">
        <v>1758</v>
      </c>
      <c r="B137" s="2" t="b">
        <v>1</v>
      </c>
      <c r="C137" s="2" t="s">
        <v>1759</v>
      </c>
      <c r="D137" s="2">
        <v>4</v>
      </c>
      <c r="E137" s="2">
        <v>2</v>
      </c>
      <c r="F137" s="2" t="s">
        <v>1503</v>
      </c>
    </row>
    <row r="138" spans="1:6" ht="75" x14ac:dyDescent="0.25">
      <c r="A138" s="2" t="s">
        <v>1760</v>
      </c>
      <c r="B138" s="2" t="b">
        <v>1</v>
      </c>
      <c r="C138" s="2" t="s">
        <v>1761</v>
      </c>
      <c r="D138" s="2">
        <v>3</v>
      </c>
      <c r="E138" s="2">
        <v>2</v>
      </c>
      <c r="F138" s="2" t="s">
        <v>1503</v>
      </c>
    </row>
    <row r="139" spans="1:6" ht="75" x14ac:dyDescent="0.25">
      <c r="A139" s="2" t="s">
        <v>1762</v>
      </c>
      <c r="B139" s="2" t="b">
        <v>1</v>
      </c>
      <c r="C139" s="2" t="s">
        <v>1763</v>
      </c>
      <c r="D139" s="2">
        <v>3</v>
      </c>
      <c r="E139" s="2">
        <v>2</v>
      </c>
      <c r="F139" s="2" t="s">
        <v>1503</v>
      </c>
    </row>
    <row r="140" spans="1:6" ht="75" x14ac:dyDescent="0.25">
      <c r="A140" s="2" t="s">
        <v>1764</v>
      </c>
      <c r="B140" s="2" t="b">
        <v>1</v>
      </c>
      <c r="C140" s="2" t="s">
        <v>1765</v>
      </c>
      <c r="D140" s="2">
        <v>3</v>
      </c>
      <c r="E140" s="2">
        <v>2</v>
      </c>
      <c r="F140" s="2" t="s">
        <v>1503</v>
      </c>
    </row>
    <row r="141" spans="1:6" ht="75" x14ac:dyDescent="0.25">
      <c r="A141" s="2" t="s">
        <v>1766</v>
      </c>
      <c r="B141" s="2" t="b">
        <v>1</v>
      </c>
      <c r="C141" s="2" t="s">
        <v>1767</v>
      </c>
      <c r="D141" s="2">
        <v>3</v>
      </c>
      <c r="E141" s="2">
        <v>2</v>
      </c>
      <c r="F141" s="2" t="s">
        <v>1503</v>
      </c>
    </row>
    <row r="142" spans="1:6" ht="75" x14ac:dyDescent="0.25">
      <c r="A142" s="2" t="s">
        <v>1768</v>
      </c>
      <c r="B142" s="2" t="b">
        <v>1</v>
      </c>
      <c r="C142" s="2" t="s">
        <v>1769</v>
      </c>
      <c r="D142" s="2">
        <v>3</v>
      </c>
      <c r="E142" s="2">
        <v>2</v>
      </c>
      <c r="F142" s="2" t="s">
        <v>1503</v>
      </c>
    </row>
    <row r="143" spans="1:6" ht="75" x14ac:dyDescent="0.25">
      <c r="A143" s="2" t="s">
        <v>1770</v>
      </c>
      <c r="B143" s="2" t="b">
        <v>1</v>
      </c>
      <c r="C143" s="2" t="s">
        <v>1771</v>
      </c>
      <c r="D143" s="2">
        <v>2</v>
      </c>
      <c r="E143" s="2">
        <v>1</v>
      </c>
      <c r="F143" s="2" t="s">
        <v>1503</v>
      </c>
    </row>
    <row r="144" spans="1:6" ht="75" x14ac:dyDescent="0.25">
      <c r="A144" s="2" t="s">
        <v>1772</v>
      </c>
      <c r="B144" s="2" t="b">
        <v>1</v>
      </c>
      <c r="C144" s="2" t="s">
        <v>1773</v>
      </c>
      <c r="D144" s="2">
        <v>2</v>
      </c>
      <c r="E144" s="2">
        <v>1</v>
      </c>
      <c r="F144" s="2" t="s">
        <v>1503</v>
      </c>
    </row>
    <row r="145" spans="1:6" ht="75" x14ac:dyDescent="0.25">
      <c r="A145" s="2" t="s">
        <v>1774</v>
      </c>
      <c r="B145" s="2" t="b">
        <v>1</v>
      </c>
      <c r="C145" s="2" t="s">
        <v>1775</v>
      </c>
      <c r="D145" s="2">
        <v>2</v>
      </c>
      <c r="E145" s="2">
        <v>1</v>
      </c>
      <c r="F145" s="2" t="s">
        <v>1503</v>
      </c>
    </row>
    <row r="146" spans="1:6" ht="75" x14ac:dyDescent="0.25">
      <c r="A146" s="2" t="s">
        <v>1776</v>
      </c>
      <c r="B146" s="2" t="b">
        <v>1</v>
      </c>
      <c r="C146" s="2" t="s">
        <v>1777</v>
      </c>
      <c r="D146" s="2">
        <v>2</v>
      </c>
      <c r="E146" s="2">
        <v>1</v>
      </c>
      <c r="F146" s="2" t="s">
        <v>1503</v>
      </c>
    </row>
    <row r="147" spans="1:6" ht="75" x14ac:dyDescent="0.25">
      <c r="A147" s="2" t="s">
        <v>1778</v>
      </c>
      <c r="B147" s="2" t="b">
        <v>0</v>
      </c>
      <c r="C147" s="2" t="s">
        <v>1779</v>
      </c>
      <c r="D147" s="2">
        <v>4</v>
      </c>
      <c r="E147" s="2">
        <v>2</v>
      </c>
      <c r="F147" s="2" t="s">
        <v>1503</v>
      </c>
    </row>
    <row r="148" spans="1:6" ht="75" x14ac:dyDescent="0.25">
      <c r="A148" s="2" t="s">
        <v>1780</v>
      </c>
      <c r="B148" s="2" t="b">
        <v>1</v>
      </c>
      <c r="C148" s="2" t="s">
        <v>1781</v>
      </c>
      <c r="D148" s="2">
        <v>4</v>
      </c>
      <c r="E148" s="2">
        <v>2</v>
      </c>
      <c r="F148" s="2" t="s">
        <v>1503</v>
      </c>
    </row>
    <row r="149" spans="1:6" ht="75" x14ac:dyDescent="0.25">
      <c r="A149" s="2" t="s">
        <v>1782</v>
      </c>
      <c r="B149" s="2" t="b">
        <v>1</v>
      </c>
      <c r="C149" s="2" t="s">
        <v>1783</v>
      </c>
      <c r="D149" s="2">
        <v>4</v>
      </c>
      <c r="E149" s="2">
        <v>2</v>
      </c>
      <c r="F149" s="2" t="s">
        <v>1503</v>
      </c>
    </row>
    <row r="150" spans="1:6" ht="75" x14ac:dyDescent="0.25">
      <c r="A150" s="2" t="s">
        <v>1784</v>
      </c>
      <c r="B150" s="2" t="b">
        <v>1</v>
      </c>
      <c r="C150" s="2" t="s">
        <v>1785</v>
      </c>
      <c r="D150" s="2">
        <v>4</v>
      </c>
      <c r="E150" s="2">
        <v>2</v>
      </c>
      <c r="F150" s="2" t="s">
        <v>1503</v>
      </c>
    </row>
    <row r="151" spans="1:6" ht="75" x14ac:dyDescent="0.25">
      <c r="A151" s="2" t="s">
        <v>1786</v>
      </c>
      <c r="B151" s="2" t="b">
        <v>1</v>
      </c>
      <c r="C151" s="2" t="s">
        <v>1787</v>
      </c>
      <c r="D151" s="2">
        <v>2</v>
      </c>
      <c r="E151" s="2">
        <v>1</v>
      </c>
      <c r="F151" s="2" t="s">
        <v>1503</v>
      </c>
    </row>
    <row r="152" spans="1:6" ht="75" x14ac:dyDescent="0.25">
      <c r="A152" s="2" t="s">
        <v>1788</v>
      </c>
      <c r="B152" s="2" t="b">
        <v>1</v>
      </c>
      <c r="C152" s="2" t="s">
        <v>1789</v>
      </c>
      <c r="D152" s="2">
        <v>2</v>
      </c>
      <c r="E152" s="2">
        <v>1</v>
      </c>
      <c r="F152" s="2" t="s">
        <v>1503</v>
      </c>
    </row>
    <row r="153" spans="1:6" ht="75" x14ac:dyDescent="0.25">
      <c r="A153" s="2" t="s">
        <v>1790</v>
      </c>
      <c r="B153" s="2" t="b">
        <v>1</v>
      </c>
      <c r="C153" s="2" t="s">
        <v>1791</v>
      </c>
      <c r="D153" s="2">
        <v>3</v>
      </c>
      <c r="E153" s="2">
        <v>2</v>
      </c>
      <c r="F153" s="2" t="s">
        <v>1503</v>
      </c>
    </row>
    <row r="154" spans="1:6" ht="75" x14ac:dyDescent="0.25">
      <c r="A154" s="2" t="s">
        <v>1792</v>
      </c>
      <c r="B154" s="2" t="b">
        <v>1</v>
      </c>
      <c r="C154" s="2" t="s">
        <v>1793</v>
      </c>
      <c r="D154" s="2">
        <v>4</v>
      </c>
      <c r="E154" s="2">
        <v>2</v>
      </c>
      <c r="F154" s="2" t="s">
        <v>1503</v>
      </c>
    </row>
    <row r="155" spans="1:6" ht="75" x14ac:dyDescent="0.25">
      <c r="A155" s="2" t="s">
        <v>1794</v>
      </c>
      <c r="B155" s="2" t="b">
        <v>0</v>
      </c>
      <c r="C155" s="2" t="s">
        <v>1795</v>
      </c>
      <c r="D155" s="2">
        <v>4</v>
      </c>
      <c r="E155" s="2">
        <v>2</v>
      </c>
      <c r="F155" s="2" t="s">
        <v>1503</v>
      </c>
    </row>
    <row r="156" spans="1:6" ht="75" x14ac:dyDescent="0.25">
      <c r="A156" s="2" t="s">
        <v>1796</v>
      </c>
      <c r="B156" s="2" t="b">
        <v>0</v>
      </c>
      <c r="C156" s="2" t="s">
        <v>1797</v>
      </c>
      <c r="D156" s="2">
        <v>4</v>
      </c>
      <c r="E156" s="2">
        <v>3</v>
      </c>
      <c r="F156" s="2" t="s">
        <v>1503</v>
      </c>
    </row>
    <row r="157" spans="1:6" ht="75" x14ac:dyDescent="0.25">
      <c r="A157" s="2" t="s">
        <v>1798</v>
      </c>
      <c r="B157" s="2" t="b">
        <v>0</v>
      </c>
      <c r="C157" s="2" t="s">
        <v>1799</v>
      </c>
      <c r="D157" s="2">
        <v>4</v>
      </c>
      <c r="E157" s="2">
        <v>3</v>
      </c>
      <c r="F157" s="2" t="s">
        <v>1503</v>
      </c>
    </row>
    <row r="158" spans="1:6" ht="75" x14ac:dyDescent="0.25">
      <c r="A158" s="2" t="s">
        <v>1800</v>
      </c>
      <c r="B158" s="2" t="b">
        <v>0</v>
      </c>
      <c r="C158" s="2" t="s">
        <v>1801</v>
      </c>
      <c r="D158" s="2">
        <v>4</v>
      </c>
      <c r="E158" s="2">
        <v>3</v>
      </c>
      <c r="F158" s="2" t="s">
        <v>1503</v>
      </c>
    </row>
    <row r="159" spans="1:6" ht="75" x14ac:dyDescent="0.25">
      <c r="A159" s="2" t="s">
        <v>1802</v>
      </c>
      <c r="B159" s="2" t="b">
        <v>0</v>
      </c>
      <c r="C159" s="2" t="s">
        <v>1803</v>
      </c>
      <c r="D159" s="2">
        <v>4</v>
      </c>
      <c r="E159" s="2">
        <v>3</v>
      </c>
      <c r="F159" s="2" t="s">
        <v>1503</v>
      </c>
    </row>
    <row r="160" spans="1:6" ht="75" x14ac:dyDescent="0.25">
      <c r="A160" s="2" t="s">
        <v>1804</v>
      </c>
      <c r="B160" s="2" t="b">
        <v>0</v>
      </c>
      <c r="C160" s="2" t="s">
        <v>1805</v>
      </c>
      <c r="D160" s="2">
        <v>4</v>
      </c>
      <c r="E160" s="2">
        <v>3</v>
      </c>
      <c r="F160" s="2" t="s">
        <v>1503</v>
      </c>
    </row>
    <row r="161" spans="1:6" ht="75" x14ac:dyDescent="0.25">
      <c r="A161" s="2" t="s">
        <v>1806</v>
      </c>
      <c r="B161" s="2" t="b">
        <v>0</v>
      </c>
      <c r="C161" s="2" t="s">
        <v>1807</v>
      </c>
      <c r="D161" s="2">
        <v>4</v>
      </c>
      <c r="E161" s="2">
        <v>2</v>
      </c>
      <c r="F161" s="2" t="s">
        <v>1503</v>
      </c>
    </row>
    <row r="162" spans="1:6" ht="75" x14ac:dyDescent="0.25">
      <c r="A162" s="2" t="s">
        <v>1808</v>
      </c>
      <c r="B162" s="2" t="b">
        <v>1</v>
      </c>
      <c r="C162" s="2" t="s">
        <v>1809</v>
      </c>
      <c r="D162" s="2">
        <v>4</v>
      </c>
      <c r="E162" s="2">
        <v>2</v>
      </c>
      <c r="F162" s="2" t="s">
        <v>1503</v>
      </c>
    </row>
    <row r="163" spans="1:6" ht="75" x14ac:dyDescent="0.25">
      <c r="A163" s="2" t="s">
        <v>1810</v>
      </c>
      <c r="B163" s="2" t="b">
        <v>1</v>
      </c>
      <c r="C163" s="2" t="s">
        <v>1811</v>
      </c>
      <c r="D163" s="2">
        <v>4</v>
      </c>
      <c r="E163" s="2">
        <v>2</v>
      </c>
      <c r="F163" s="2" t="s">
        <v>1503</v>
      </c>
    </row>
    <row r="164" spans="1:6" ht="75" x14ac:dyDescent="0.25">
      <c r="A164" s="2" t="s">
        <v>1812</v>
      </c>
      <c r="B164" s="2" t="b">
        <v>1</v>
      </c>
      <c r="C164" s="2" t="s">
        <v>1813</v>
      </c>
      <c r="D164" s="2">
        <v>4</v>
      </c>
      <c r="E164" s="2">
        <v>2</v>
      </c>
      <c r="F164" s="2" t="s">
        <v>1503</v>
      </c>
    </row>
    <row r="165" spans="1:6" ht="75" x14ac:dyDescent="0.25">
      <c r="A165" s="2" t="s">
        <v>1814</v>
      </c>
      <c r="B165" s="2" t="b">
        <v>1</v>
      </c>
      <c r="C165" s="2" t="s">
        <v>1815</v>
      </c>
      <c r="D165" s="2">
        <v>4</v>
      </c>
      <c r="E165" s="2">
        <v>2</v>
      </c>
      <c r="F165" s="2" t="s">
        <v>1503</v>
      </c>
    </row>
    <row r="166" spans="1:6" ht="75" x14ac:dyDescent="0.25">
      <c r="A166" s="2" t="s">
        <v>1816</v>
      </c>
      <c r="B166" s="2" t="b">
        <v>1</v>
      </c>
      <c r="C166" s="2" t="s">
        <v>1817</v>
      </c>
      <c r="D166" s="2">
        <v>4</v>
      </c>
      <c r="E166" s="2">
        <v>2</v>
      </c>
      <c r="F166" s="2" t="s">
        <v>1503</v>
      </c>
    </row>
    <row r="167" spans="1:6" ht="75" x14ac:dyDescent="0.25">
      <c r="A167" s="2" t="s">
        <v>1818</v>
      </c>
      <c r="B167" s="2" t="b">
        <v>1</v>
      </c>
      <c r="C167" s="2" t="s">
        <v>1819</v>
      </c>
      <c r="D167" s="2">
        <v>3</v>
      </c>
      <c r="E167" s="2">
        <v>2</v>
      </c>
      <c r="F167" s="2" t="s">
        <v>1503</v>
      </c>
    </row>
    <row r="168" spans="1:6" ht="75" x14ac:dyDescent="0.25">
      <c r="A168" s="2" t="s">
        <v>1820</v>
      </c>
      <c r="B168" s="2" t="b">
        <v>0</v>
      </c>
      <c r="C168" s="2" t="s">
        <v>1821</v>
      </c>
      <c r="D168" s="2">
        <v>4</v>
      </c>
      <c r="E168" s="2">
        <v>3</v>
      </c>
      <c r="F168" s="2" t="s">
        <v>1503</v>
      </c>
    </row>
    <row r="169" spans="1:6" ht="75" x14ac:dyDescent="0.25">
      <c r="A169" s="2" t="s">
        <v>1822</v>
      </c>
      <c r="B169" s="2" t="b">
        <v>0</v>
      </c>
      <c r="C169" s="2" t="s">
        <v>1823</v>
      </c>
      <c r="D169" s="2">
        <v>1</v>
      </c>
      <c r="E169" s="2">
        <v>1</v>
      </c>
      <c r="F169" s="2" t="s">
        <v>1503</v>
      </c>
    </row>
    <row r="170" spans="1:6" ht="75" x14ac:dyDescent="0.25">
      <c r="A170" s="2" t="s">
        <v>1824</v>
      </c>
      <c r="B170" s="2" t="b">
        <v>0</v>
      </c>
      <c r="C170" s="2" t="s">
        <v>1825</v>
      </c>
      <c r="D170" s="2">
        <v>1</v>
      </c>
      <c r="E170" s="2">
        <v>1</v>
      </c>
      <c r="F170" s="2" t="s">
        <v>1503</v>
      </c>
    </row>
    <row r="171" spans="1:6" ht="75" x14ac:dyDescent="0.25">
      <c r="A171" s="2" t="s">
        <v>1826</v>
      </c>
      <c r="B171" s="2" t="b">
        <v>0</v>
      </c>
      <c r="C171" s="2" t="s">
        <v>1827</v>
      </c>
      <c r="D171" s="2">
        <v>1</v>
      </c>
      <c r="E171" s="2">
        <v>1</v>
      </c>
      <c r="F171" s="2" t="s">
        <v>1503</v>
      </c>
    </row>
    <row r="172" spans="1:6" ht="75" x14ac:dyDescent="0.25">
      <c r="A172" s="2" t="s">
        <v>1828</v>
      </c>
      <c r="B172" s="2" t="b">
        <v>0</v>
      </c>
      <c r="C172" s="2" t="s">
        <v>1829</v>
      </c>
      <c r="D172" s="2">
        <v>1</v>
      </c>
      <c r="E172" s="2">
        <v>1</v>
      </c>
      <c r="F172" s="2" t="s">
        <v>1503</v>
      </c>
    </row>
    <row r="173" spans="1:6" ht="75" x14ac:dyDescent="0.25">
      <c r="A173" s="2" t="s">
        <v>1830</v>
      </c>
      <c r="B173" s="2" t="b">
        <v>1</v>
      </c>
      <c r="C173" s="2" t="s">
        <v>1831</v>
      </c>
      <c r="D173" s="2">
        <v>4</v>
      </c>
      <c r="E173" s="2">
        <v>2</v>
      </c>
      <c r="F173" s="2" t="s">
        <v>1503</v>
      </c>
    </row>
    <row r="174" spans="1:6" ht="75" x14ac:dyDescent="0.25">
      <c r="A174" s="2" t="s">
        <v>1832</v>
      </c>
      <c r="B174" s="2" t="b">
        <v>0</v>
      </c>
      <c r="C174" s="2" t="s">
        <v>1833</v>
      </c>
      <c r="D174" s="2">
        <v>4</v>
      </c>
      <c r="E174" s="2">
        <v>3</v>
      </c>
      <c r="F174" s="2" t="s">
        <v>1503</v>
      </c>
    </row>
    <row r="175" spans="1:6" ht="75" x14ac:dyDescent="0.25">
      <c r="A175" s="2" t="s">
        <v>1834</v>
      </c>
      <c r="B175" s="2" t="b">
        <v>0</v>
      </c>
      <c r="C175" s="2" t="s">
        <v>1835</v>
      </c>
      <c r="D175" s="2">
        <v>4</v>
      </c>
      <c r="E175" s="2">
        <v>3</v>
      </c>
      <c r="F175" s="2" t="s">
        <v>1503</v>
      </c>
    </row>
    <row r="176" spans="1:6" ht="75" x14ac:dyDescent="0.25">
      <c r="A176" s="2" t="s">
        <v>1836</v>
      </c>
      <c r="B176" s="2" t="b">
        <v>0</v>
      </c>
      <c r="C176" s="2" t="s">
        <v>1837</v>
      </c>
      <c r="D176" s="2">
        <v>4</v>
      </c>
      <c r="E176" s="2">
        <v>3</v>
      </c>
      <c r="F176" s="2" t="s">
        <v>1503</v>
      </c>
    </row>
    <row r="177" spans="1:6" ht="75" x14ac:dyDescent="0.25">
      <c r="A177" s="2" t="s">
        <v>1838</v>
      </c>
      <c r="B177" s="2" t="b">
        <v>1</v>
      </c>
      <c r="C177" s="2" t="s">
        <v>1839</v>
      </c>
      <c r="D177" s="2">
        <v>3</v>
      </c>
      <c r="E177" s="2">
        <v>2</v>
      </c>
      <c r="F177" s="2" t="s">
        <v>1503</v>
      </c>
    </row>
    <row r="178" spans="1:6" ht="75" x14ac:dyDescent="0.25">
      <c r="A178" s="2" t="s">
        <v>1840</v>
      </c>
      <c r="B178" s="2" t="b">
        <v>1</v>
      </c>
      <c r="C178" s="2" t="s">
        <v>1841</v>
      </c>
      <c r="D178" s="2">
        <v>4</v>
      </c>
      <c r="E178" s="2">
        <v>2</v>
      </c>
      <c r="F178" s="2" t="s">
        <v>1503</v>
      </c>
    </row>
    <row r="179" spans="1:6" ht="75" x14ac:dyDescent="0.25">
      <c r="A179" s="2" t="s">
        <v>1842</v>
      </c>
      <c r="B179" s="2" t="b">
        <v>1</v>
      </c>
      <c r="C179" s="2" t="s">
        <v>1843</v>
      </c>
      <c r="D179" s="2">
        <v>3</v>
      </c>
      <c r="E179" s="2">
        <v>2</v>
      </c>
      <c r="F179" s="2" t="s">
        <v>1503</v>
      </c>
    </row>
    <row r="180" spans="1:6" ht="75" x14ac:dyDescent="0.25">
      <c r="A180" s="2" t="s">
        <v>1844</v>
      </c>
      <c r="B180" s="2" t="b">
        <v>1</v>
      </c>
      <c r="C180" s="2" t="s">
        <v>1843</v>
      </c>
      <c r="D180" s="2">
        <v>3</v>
      </c>
      <c r="E180" s="2">
        <v>2</v>
      </c>
      <c r="F180" s="2" t="s">
        <v>1503</v>
      </c>
    </row>
    <row r="181" spans="1:6" ht="75" x14ac:dyDescent="0.25">
      <c r="A181" s="2" t="s">
        <v>1845</v>
      </c>
      <c r="B181" s="2" t="b">
        <v>1</v>
      </c>
      <c r="C181" s="2" t="s">
        <v>1846</v>
      </c>
      <c r="D181" s="2">
        <v>3</v>
      </c>
      <c r="E181" s="2">
        <v>2</v>
      </c>
      <c r="F181" s="2" t="s">
        <v>1503</v>
      </c>
    </row>
    <row r="182" spans="1:6" ht="75" x14ac:dyDescent="0.25">
      <c r="A182" s="2" t="s">
        <v>1847</v>
      </c>
      <c r="B182" s="2" t="b">
        <v>1</v>
      </c>
      <c r="C182" s="2" t="s">
        <v>1846</v>
      </c>
      <c r="D182" s="2">
        <v>3</v>
      </c>
      <c r="E182" s="2">
        <v>2</v>
      </c>
      <c r="F182" s="2" t="s">
        <v>1503</v>
      </c>
    </row>
    <row r="183" spans="1:6" ht="75" x14ac:dyDescent="0.25">
      <c r="A183" s="2" t="s">
        <v>1848</v>
      </c>
      <c r="B183" s="2" t="b">
        <v>0</v>
      </c>
      <c r="C183" s="2" t="s">
        <v>1849</v>
      </c>
      <c r="D183" s="2">
        <v>4</v>
      </c>
      <c r="E183" s="2">
        <v>3</v>
      </c>
      <c r="F183" s="2" t="s">
        <v>1503</v>
      </c>
    </row>
    <row r="184" spans="1:6" ht="75" x14ac:dyDescent="0.25">
      <c r="A184" s="2" t="s">
        <v>1850</v>
      </c>
      <c r="B184" s="2" t="b">
        <v>0</v>
      </c>
      <c r="C184" s="2" t="s">
        <v>1851</v>
      </c>
      <c r="D184" s="2">
        <v>4</v>
      </c>
      <c r="E184" s="2">
        <v>3</v>
      </c>
      <c r="F184" s="2" t="s">
        <v>1503</v>
      </c>
    </row>
    <row r="185" spans="1:6" ht="75" x14ac:dyDescent="0.25">
      <c r="A185" s="2" t="s">
        <v>1852</v>
      </c>
      <c r="B185" s="2" t="b">
        <v>0</v>
      </c>
      <c r="C185" s="2" t="s">
        <v>1853</v>
      </c>
      <c r="D185" s="2">
        <v>4</v>
      </c>
      <c r="E185" s="2">
        <v>3</v>
      </c>
      <c r="F185" s="2" t="s">
        <v>1503</v>
      </c>
    </row>
    <row r="186" spans="1:6" ht="75" x14ac:dyDescent="0.25">
      <c r="A186" s="2" t="s">
        <v>1854</v>
      </c>
      <c r="B186" s="2" t="b">
        <v>1</v>
      </c>
      <c r="C186" s="2" t="s">
        <v>1855</v>
      </c>
      <c r="D186" s="2">
        <v>4</v>
      </c>
      <c r="E186" s="2">
        <v>2</v>
      </c>
      <c r="F186" s="2" t="s">
        <v>1503</v>
      </c>
    </row>
    <row r="187" spans="1:6" ht="75" x14ac:dyDescent="0.25">
      <c r="A187" s="2" t="s">
        <v>1856</v>
      </c>
      <c r="B187" s="2" t="b">
        <v>0</v>
      </c>
      <c r="C187" s="2" t="s">
        <v>1857</v>
      </c>
      <c r="D187" s="2">
        <v>4</v>
      </c>
      <c r="E187" s="2">
        <v>2</v>
      </c>
      <c r="F187" s="2" t="s">
        <v>1503</v>
      </c>
    </row>
    <row r="188" spans="1:6" ht="75" x14ac:dyDescent="0.25">
      <c r="A188" s="2" t="s">
        <v>1858</v>
      </c>
      <c r="B188" s="2" t="b">
        <v>1</v>
      </c>
      <c r="C188" s="2" t="s">
        <v>1859</v>
      </c>
      <c r="D188" s="2">
        <v>3</v>
      </c>
      <c r="E188" s="2">
        <v>2</v>
      </c>
      <c r="F188" s="2" t="s">
        <v>1503</v>
      </c>
    </row>
    <row r="189" spans="1:6" ht="75" x14ac:dyDescent="0.25">
      <c r="A189" s="2" t="s">
        <v>1860</v>
      </c>
      <c r="B189" s="2" t="b">
        <v>0</v>
      </c>
      <c r="C189" s="2" t="s">
        <v>1861</v>
      </c>
      <c r="D189" s="2">
        <v>4</v>
      </c>
      <c r="E189" s="2">
        <v>3</v>
      </c>
      <c r="F189" s="2" t="s">
        <v>1503</v>
      </c>
    </row>
    <row r="190" spans="1:6" ht="75" x14ac:dyDescent="0.25">
      <c r="A190" s="2" t="s">
        <v>1862</v>
      </c>
      <c r="B190" s="2" t="b">
        <v>1</v>
      </c>
      <c r="C190" s="2" t="s">
        <v>1863</v>
      </c>
      <c r="D190" s="2">
        <v>4</v>
      </c>
      <c r="E190" s="2">
        <v>2</v>
      </c>
      <c r="F190" s="2" t="s">
        <v>1503</v>
      </c>
    </row>
    <row r="191" spans="1:6" ht="75" x14ac:dyDescent="0.25">
      <c r="A191" s="2" t="s">
        <v>1864</v>
      </c>
      <c r="B191" s="2" t="b">
        <v>0</v>
      </c>
      <c r="C191" s="2" t="s">
        <v>1865</v>
      </c>
      <c r="D191" s="2">
        <v>4</v>
      </c>
      <c r="E191" s="2">
        <v>3</v>
      </c>
      <c r="F191" s="2" t="s">
        <v>1503</v>
      </c>
    </row>
    <row r="192" spans="1:6" ht="75" x14ac:dyDescent="0.25">
      <c r="A192" s="2" t="s">
        <v>1866</v>
      </c>
      <c r="B192" s="2" t="b">
        <v>0</v>
      </c>
      <c r="C192" s="2" t="s">
        <v>1867</v>
      </c>
      <c r="D192" s="2">
        <v>4</v>
      </c>
      <c r="E192" s="2">
        <v>3</v>
      </c>
      <c r="F192" s="2" t="s">
        <v>1503</v>
      </c>
    </row>
    <row r="193" spans="1:6" ht="75" x14ac:dyDescent="0.25">
      <c r="A193" s="2" t="s">
        <v>1868</v>
      </c>
      <c r="B193" s="2" t="b">
        <v>0</v>
      </c>
      <c r="C193" s="2" t="s">
        <v>1869</v>
      </c>
      <c r="D193" s="2">
        <v>4</v>
      </c>
      <c r="E193" s="2">
        <v>3</v>
      </c>
      <c r="F193" s="2" t="s">
        <v>1503</v>
      </c>
    </row>
    <row r="194" spans="1:6" ht="75" x14ac:dyDescent="0.25">
      <c r="A194" s="2" t="s">
        <v>1870</v>
      </c>
      <c r="B194" s="2" t="b">
        <v>0</v>
      </c>
      <c r="C194" s="2" t="s">
        <v>1871</v>
      </c>
      <c r="D194" s="2">
        <v>4</v>
      </c>
      <c r="E194" s="2">
        <v>3</v>
      </c>
      <c r="F194" s="2" t="s">
        <v>1503</v>
      </c>
    </row>
    <row r="195" spans="1:6" ht="75" x14ac:dyDescent="0.25">
      <c r="A195" s="2" t="s">
        <v>1872</v>
      </c>
      <c r="B195" s="2" t="b">
        <v>0</v>
      </c>
      <c r="C195" s="2" t="s">
        <v>1873</v>
      </c>
      <c r="D195" s="2">
        <v>4</v>
      </c>
      <c r="E195" s="2">
        <v>3</v>
      </c>
      <c r="F195" s="2" t="s">
        <v>1503</v>
      </c>
    </row>
    <row r="196" spans="1:6" ht="75" x14ac:dyDescent="0.25">
      <c r="A196" s="2" t="s">
        <v>1874</v>
      </c>
      <c r="B196" s="2" t="b">
        <v>0</v>
      </c>
      <c r="C196" s="2" t="s">
        <v>1875</v>
      </c>
      <c r="D196" s="2">
        <v>4</v>
      </c>
      <c r="E196" s="2">
        <v>3</v>
      </c>
      <c r="F196" s="2" t="s">
        <v>1503</v>
      </c>
    </row>
    <row r="197" spans="1:6" ht="75" x14ac:dyDescent="0.25">
      <c r="A197" s="2" t="s">
        <v>1876</v>
      </c>
      <c r="B197" s="2" t="b">
        <v>0</v>
      </c>
      <c r="C197" s="2" t="s">
        <v>1877</v>
      </c>
      <c r="D197" s="2">
        <v>4</v>
      </c>
      <c r="E197" s="2">
        <v>3</v>
      </c>
      <c r="F197" s="2" t="s">
        <v>1503</v>
      </c>
    </row>
    <row r="198" spans="1:6" ht="75" x14ac:dyDescent="0.25">
      <c r="A198" s="2" t="s">
        <v>1878</v>
      </c>
      <c r="B198" s="2" t="b">
        <v>0</v>
      </c>
      <c r="C198" s="2" t="s">
        <v>1879</v>
      </c>
      <c r="D198" s="2">
        <v>4</v>
      </c>
      <c r="E198" s="2">
        <v>3</v>
      </c>
      <c r="F198" s="2" t="s">
        <v>1503</v>
      </c>
    </row>
    <row r="199" spans="1:6" ht="75" x14ac:dyDescent="0.25">
      <c r="A199" s="2" t="s">
        <v>1880</v>
      </c>
      <c r="B199" s="2" t="b">
        <v>0</v>
      </c>
      <c r="C199" s="2" t="s">
        <v>1881</v>
      </c>
      <c r="D199" s="2">
        <v>4</v>
      </c>
      <c r="E199" s="2">
        <v>3</v>
      </c>
      <c r="F199" s="2" t="s">
        <v>1503</v>
      </c>
    </row>
    <row r="200" spans="1:6" ht="75" x14ac:dyDescent="0.25">
      <c r="A200" s="2" t="s">
        <v>1882</v>
      </c>
      <c r="B200" s="2" t="b">
        <v>0</v>
      </c>
      <c r="C200" s="2" t="s">
        <v>1883</v>
      </c>
      <c r="D200" s="2">
        <v>4</v>
      </c>
      <c r="E200" s="2">
        <v>3</v>
      </c>
      <c r="F200" s="2" t="s">
        <v>1503</v>
      </c>
    </row>
    <row r="201" spans="1:6" ht="75" x14ac:dyDescent="0.25">
      <c r="A201" s="2" t="s">
        <v>1884</v>
      </c>
      <c r="B201" s="2" t="b">
        <v>1</v>
      </c>
      <c r="C201" s="2" t="s">
        <v>1885</v>
      </c>
      <c r="D201" s="2">
        <v>4</v>
      </c>
      <c r="E201" s="2">
        <v>2</v>
      </c>
      <c r="F201" s="2" t="s">
        <v>1503</v>
      </c>
    </row>
    <row r="202" spans="1:6" ht="75" x14ac:dyDescent="0.25">
      <c r="A202" s="2" t="s">
        <v>1886</v>
      </c>
      <c r="B202" s="2" t="b">
        <v>1</v>
      </c>
      <c r="C202" s="2" t="s">
        <v>1887</v>
      </c>
      <c r="D202" s="2">
        <v>2</v>
      </c>
      <c r="E202" s="2">
        <v>2</v>
      </c>
      <c r="F202" s="2" t="s">
        <v>1503</v>
      </c>
    </row>
    <row r="203" spans="1:6" ht="75" x14ac:dyDescent="0.25">
      <c r="A203" s="2" t="s">
        <v>1888</v>
      </c>
      <c r="B203" s="2" t="b">
        <v>1</v>
      </c>
      <c r="C203" s="2" t="s">
        <v>1889</v>
      </c>
      <c r="D203" s="2">
        <v>2</v>
      </c>
      <c r="E203" s="2">
        <v>2</v>
      </c>
      <c r="F203" s="2" t="s">
        <v>1503</v>
      </c>
    </row>
    <row r="204" spans="1:6" ht="75" x14ac:dyDescent="0.25">
      <c r="A204" s="2" t="s">
        <v>1890</v>
      </c>
      <c r="B204" s="2" t="b">
        <v>1</v>
      </c>
      <c r="C204" s="2" t="s">
        <v>1891</v>
      </c>
      <c r="D204" s="2">
        <v>2</v>
      </c>
      <c r="E204" s="2">
        <v>2</v>
      </c>
      <c r="F204" s="2" t="s">
        <v>1503</v>
      </c>
    </row>
    <row r="205" spans="1:6" ht="75" x14ac:dyDescent="0.25">
      <c r="A205" s="2" t="s">
        <v>1892</v>
      </c>
      <c r="B205" s="2" t="b">
        <v>1</v>
      </c>
      <c r="C205" s="2" t="s">
        <v>1893</v>
      </c>
      <c r="D205" s="2">
        <v>2</v>
      </c>
      <c r="E205" s="2">
        <v>2</v>
      </c>
      <c r="F205" s="2" t="s">
        <v>1503</v>
      </c>
    </row>
    <row r="206" spans="1:6" ht="75" x14ac:dyDescent="0.25">
      <c r="A206" s="2" t="s">
        <v>1894</v>
      </c>
      <c r="B206" s="2" t="b">
        <v>1</v>
      </c>
      <c r="C206" s="2" t="s">
        <v>1895</v>
      </c>
      <c r="D206" s="2">
        <v>2</v>
      </c>
      <c r="E206" s="2">
        <v>2</v>
      </c>
      <c r="F206" s="2" t="s">
        <v>1503</v>
      </c>
    </row>
    <row r="207" spans="1:6" ht="75" x14ac:dyDescent="0.25">
      <c r="A207" s="2" t="s">
        <v>1896</v>
      </c>
      <c r="B207" s="2" t="b">
        <v>1</v>
      </c>
      <c r="C207" s="2" t="s">
        <v>1897</v>
      </c>
      <c r="D207" s="2">
        <v>2</v>
      </c>
      <c r="E207" s="2">
        <v>2</v>
      </c>
      <c r="F207" s="2" t="s">
        <v>1503</v>
      </c>
    </row>
    <row r="208" spans="1:6" ht="75" x14ac:dyDescent="0.25">
      <c r="A208" s="2" t="s">
        <v>1898</v>
      </c>
      <c r="B208" s="2" t="b">
        <v>1</v>
      </c>
      <c r="C208" s="2" t="s">
        <v>1899</v>
      </c>
      <c r="D208" s="2">
        <v>2</v>
      </c>
      <c r="E208" s="2">
        <v>2</v>
      </c>
      <c r="F208" s="2" t="s">
        <v>1503</v>
      </c>
    </row>
    <row r="209" spans="1:6" ht="75" x14ac:dyDescent="0.25">
      <c r="A209" s="2" t="s">
        <v>1900</v>
      </c>
      <c r="B209" s="2" t="b">
        <v>1</v>
      </c>
      <c r="C209" s="2" t="s">
        <v>1901</v>
      </c>
      <c r="D209" s="2">
        <v>2</v>
      </c>
      <c r="E209" s="2">
        <v>2</v>
      </c>
      <c r="F209" s="2" t="s">
        <v>1503</v>
      </c>
    </row>
    <row r="210" spans="1:6" ht="75" x14ac:dyDescent="0.25">
      <c r="A210" s="2" t="s">
        <v>1902</v>
      </c>
      <c r="B210" s="2" t="b">
        <v>1</v>
      </c>
      <c r="C210" s="2" t="s">
        <v>1903</v>
      </c>
      <c r="D210" s="2">
        <v>2</v>
      </c>
      <c r="E210" s="2">
        <v>2</v>
      </c>
      <c r="F210" s="2" t="s">
        <v>1503</v>
      </c>
    </row>
    <row r="211" spans="1:6" ht="75" x14ac:dyDescent="0.25">
      <c r="A211" s="2" t="s">
        <v>1904</v>
      </c>
      <c r="B211" s="2" t="b">
        <v>1</v>
      </c>
      <c r="C211" s="2" t="s">
        <v>1905</v>
      </c>
      <c r="D211" s="2">
        <v>2</v>
      </c>
      <c r="E211" s="2">
        <v>2</v>
      </c>
      <c r="F211" s="2" t="s">
        <v>1503</v>
      </c>
    </row>
    <row r="212" spans="1:6" ht="75" x14ac:dyDescent="0.25">
      <c r="A212" s="2" t="s">
        <v>1906</v>
      </c>
      <c r="B212" s="2" t="b">
        <v>1</v>
      </c>
      <c r="C212" s="2" t="s">
        <v>1907</v>
      </c>
      <c r="D212" s="2">
        <v>1</v>
      </c>
      <c r="E212" s="2">
        <v>2</v>
      </c>
      <c r="F212" s="2" t="s">
        <v>1503</v>
      </c>
    </row>
    <row r="213" spans="1:6" ht="75" x14ac:dyDescent="0.25">
      <c r="A213" s="2" t="s">
        <v>1908</v>
      </c>
      <c r="B213" s="2" t="b">
        <v>1</v>
      </c>
      <c r="C213" s="2" t="s">
        <v>1909</v>
      </c>
      <c r="D213" s="2">
        <v>1</v>
      </c>
      <c r="E213" s="2">
        <v>2</v>
      </c>
      <c r="F213" s="2" t="s">
        <v>1503</v>
      </c>
    </row>
    <row r="214" spans="1:6" ht="75" x14ac:dyDescent="0.25">
      <c r="A214" s="2" t="s">
        <v>1910</v>
      </c>
      <c r="B214" s="2" t="b">
        <v>1</v>
      </c>
      <c r="C214" s="2" t="s">
        <v>1911</v>
      </c>
      <c r="D214" s="2">
        <v>1</v>
      </c>
      <c r="E214" s="2">
        <v>2</v>
      </c>
      <c r="F214" s="2" t="s">
        <v>1503</v>
      </c>
    </row>
    <row r="215" spans="1:6" ht="75" x14ac:dyDescent="0.25">
      <c r="A215" s="2" t="s">
        <v>1912</v>
      </c>
      <c r="B215" s="2" t="b">
        <v>1</v>
      </c>
      <c r="C215" s="2" t="s">
        <v>1913</v>
      </c>
      <c r="D215" s="2">
        <v>1</v>
      </c>
      <c r="E215" s="2">
        <v>2</v>
      </c>
      <c r="F215" s="2" t="s">
        <v>1503</v>
      </c>
    </row>
    <row r="216" spans="1:6" ht="75" x14ac:dyDescent="0.25">
      <c r="A216" s="2" t="s">
        <v>1914</v>
      </c>
      <c r="B216" s="2" t="b">
        <v>0</v>
      </c>
      <c r="C216" s="2" t="s">
        <v>1915</v>
      </c>
      <c r="D216" s="2">
        <v>4</v>
      </c>
      <c r="E216" s="2">
        <v>2</v>
      </c>
      <c r="F216" s="2" t="s">
        <v>1503</v>
      </c>
    </row>
    <row r="217" spans="1:6" ht="75" x14ac:dyDescent="0.25">
      <c r="A217" s="2" t="s">
        <v>1916</v>
      </c>
      <c r="B217" s="2" t="b">
        <v>0</v>
      </c>
      <c r="C217" s="2" t="s">
        <v>1917</v>
      </c>
      <c r="D217" s="2">
        <v>4</v>
      </c>
      <c r="E217" s="2">
        <v>3</v>
      </c>
      <c r="F217" s="2" t="s">
        <v>1503</v>
      </c>
    </row>
    <row r="218" spans="1:6" ht="75" x14ac:dyDescent="0.25">
      <c r="A218" s="2" t="s">
        <v>1918</v>
      </c>
      <c r="B218" s="2" t="b">
        <v>0</v>
      </c>
      <c r="C218" s="2" t="s">
        <v>1919</v>
      </c>
      <c r="D218" s="2">
        <v>4</v>
      </c>
      <c r="E218" s="2">
        <v>2</v>
      </c>
      <c r="F218" s="2" t="s">
        <v>1503</v>
      </c>
    </row>
    <row r="219" spans="1:6" ht="75" x14ac:dyDescent="0.25">
      <c r="A219" s="2" t="s">
        <v>1920</v>
      </c>
      <c r="B219" s="2" t="b">
        <v>0</v>
      </c>
      <c r="C219" s="2" t="s">
        <v>1921</v>
      </c>
      <c r="D219" s="2">
        <v>4</v>
      </c>
      <c r="E219" s="2">
        <v>2</v>
      </c>
      <c r="F219" s="2" t="s">
        <v>1503</v>
      </c>
    </row>
    <row r="220" spans="1:6" ht="75" x14ac:dyDescent="0.25">
      <c r="A220" s="2" t="s">
        <v>1922</v>
      </c>
      <c r="B220" s="2" t="b">
        <v>1</v>
      </c>
      <c r="C220" s="2" t="s">
        <v>1923</v>
      </c>
      <c r="D220" s="2">
        <v>4</v>
      </c>
      <c r="E220" s="2">
        <v>2</v>
      </c>
      <c r="F220" s="2" t="s">
        <v>1503</v>
      </c>
    </row>
    <row r="221" spans="1:6" ht="75" x14ac:dyDescent="0.25">
      <c r="A221" s="2" t="s">
        <v>1924</v>
      </c>
      <c r="B221" s="2" t="b">
        <v>0</v>
      </c>
      <c r="C221" s="2" t="s">
        <v>1925</v>
      </c>
      <c r="D221" s="2">
        <v>4</v>
      </c>
      <c r="E221" s="2">
        <v>2</v>
      </c>
      <c r="F221" s="2" t="s">
        <v>1503</v>
      </c>
    </row>
    <row r="222" spans="1:6" ht="75" x14ac:dyDescent="0.25">
      <c r="A222" s="2" t="s">
        <v>1926</v>
      </c>
      <c r="B222" s="2" t="b">
        <v>1</v>
      </c>
      <c r="C222" s="2" t="s">
        <v>1927</v>
      </c>
      <c r="D222" s="2">
        <v>2</v>
      </c>
      <c r="E222" s="2">
        <v>2</v>
      </c>
      <c r="F222" s="2" t="s">
        <v>1503</v>
      </c>
    </row>
    <row r="223" spans="1:6" ht="75" x14ac:dyDescent="0.25">
      <c r="A223" s="2" t="s">
        <v>1928</v>
      </c>
      <c r="B223" s="2" t="b">
        <v>1</v>
      </c>
      <c r="C223" s="2" t="s">
        <v>1929</v>
      </c>
      <c r="D223" s="2">
        <v>2</v>
      </c>
      <c r="E223" s="2">
        <v>2</v>
      </c>
      <c r="F223" s="2" t="s">
        <v>1503</v>
      </c>
    </row>
    <row r="224" spans="1:6" ht="75" x14ac:dyDescent="0.25">
      <c r="A224" s="2" t="s">
        <v>1930</v>
      </c>
      <c r="B224" s="2" t="b">
        <v>1</v>
      </c>
      <c r="C224" s="2" t="s">
        <v>1931</v>
      </c>
      <c r="D224" s="2">
        <v>2</v>
      </c>
      <c r="E224" s="2">
        <v>2</v>
      </c>
      <c r="F224" s="2" t="s">
        <v>1503</v>
      </c>
    </row>
    <row r="225" spans="1:6" ht="75" x14ac:dyDescent="0.25">
      <c r="A225" s="2" t="s">
        <v>1932</v>
      </c>
      <c r="B225" s="2" t="b">
        <v>0</v>
      </c>
      <c r="C225" s="2" t="s">
        <v>1933</v>
      </c>
      <c r="D225" s="2">
        <v>4</v>
      </c>
      <c r="E225" s="2">
        <v>3</v>
      </c>
      <c r="F225" s="2" t="s">
        <v>1503</v>
      </c>
    </row>
    <row r="226" spans="1:6" ht="75" x14ac:dyDescent="0.25">
      <c r="A226" s="2" t="s">
        <v>1934</v>
      </c>
      <c r="B226" s="2" t="b">
        <v>0</v>
      </c>
      <c r="C226" s="2" t="s">
        <v>1935</v>
      </c>
      <c r="D226" s="2">
        <v>4</v>
      </c>
      <c r="E226" s="2">
        <v>3</v>
      </c>
      <c r="F226" s="2" t="s">
        <v>1503</v>
      </c>
    </row>
    <row r="227" spans="1:6" ht="75" x14ac:dyDescent="0.25">
      <c r="A227" s="2" t="s">
        <v>1936</v>
      </c>
      <c r="B227" s="2" t="b">
        <v>0</v>
      </c>
      <c r="C227" s="2" t="s">
        <v>1937</v>
      </c>
      <c r="D227" s="2">
        <v>4</v>
      </c>
      <c r="E227" s="2">
        <v>3</v>
      </c>
      <c r="F227" s="2" t="s">
        <v>1503</v>
      </c>
    </row>
    <row r="228" spans="1:6" ht="75" x14ac:dyDescent="0.25">
      <c r="A228" s="2" t="s">
        <v>1938</v>
      </c>
      <c r="B228" s="2" t="b">
        <v>0</v>
      </c>
      <c r="C228" s="2" t="s">
        <v>1939</v>
      </c>
      <c r="D228" s="2">
        <v>4</v>
      </c>
      <c r="E228" s="2">
        <v>3</v>
      </c>
      <c r="F228" s="2" t="s">
        <v>1503</v>
      </c>
    </row>
    <row r="229" spans="1:6" ht="75" x14ac:dyDescent="0.25">
      <c r="A229" s="2" t="s">
        <v>1940</v>
      </c>
      <c r="B229" s="2" t="b">
        <v>0</v>
      </c>
      <c r="C229" s="2" t="s">
        <v>1941</v>
      </c>
      <c r="D229" s="2">
        <v>4</v>
      </c>
      <c r="E229" s="2">
        <v>3</v>
      </c>
      <c r="F229" s="2" t="s">
        <v>1503</v>
      </c>
    </row>
    <row r="230" spans="1:6" ht="75" x14ac:dyDescent="0.25">
      <c r="A230" s="2" t="s">
        <v>1942</v>
      </c>
      <c r="B230" s="2" t="b">
        <v>0</v>
      </c>
      <c r="C230" s="2" t="s">
        <v>1943</v>
      </c>
      <c r="D230" s="2">
        <v>4</v>
      </c>
      <c r="E230" s="2">
        <v>3</v>
      </c>
      <c r="F230" s="2" t="s">
        <v>1503</v>
      </c>
    </row>
    <row r="231" spans="1:6" ht="75" x14ac:dyDescent="0.25">
      <c r="A231" s="2" t="s">
        <v>1944</v>
      </c>
      <c r="B231" s="2" t="b">
        <v>0</v>
      </c>
      <c r="C231" s="2" t="s">
        <v>1945</v>
      </c>
      <c r="D231" s="2">
        <v>4</v>
      </c>
      <c r="E231" s="2">
        <v>3</v>
      </c>
      <c r="F231" s="2" t="s">
        <v>1503</v>
      </c>
    </row>
    <row r="232" spans="1:6" ht="75" x14ac:dyDescent="0.25">
      <c r="A232" s="2" t="s">
        <v>1946</v>
      </c>
      <c r="B232" s="2" t="b">
        <v>0</v>
      </c>
      <c r="C232" s="2" t="s">
        <v>1947</v>
      </c>
      <c r="D232" s="2">
        <v>4</v>
      </c>
      <c r="E232" s="2">
        <v>3</v>
      </c>
      <c r="F232" s="2" t="s">
        <v>1503</v>
      </c>
    </row>
    <row r="233" spans="1:6" ht="75" x14ac:dyDescent="0.25">
      <c r="A233" s="2" t="s">
        <v>1948</v>
      </c>
      <c r="B233" s="2" t="b">
        <v>0</v>
      </c>
      <c r="C233" s="2" t="s">
        <v>1949</v>
      </c>
      <c r="D233" s="2">
        <v>4</v>
      </c>
      <c r="E233" s="2">
        <v>3</v>
      </c>
      <c r="F233" s="2" t="s">
        <v>1503</v>
      </c>
    </row>
    <row r="234" spans="1:6" ht="75" x14ac:dyDescent="0.25">
      <c r="A234" s="2" t="s">
        <v>1950</v>
      </c>
      <c r="B234" s="2" t="b">
        <v>0</v>
      </c>
      <c r="C234" s="2" t="s">
        <v>1951</v>
      </c>
      <c r="D234" s="2">
        <v>4</v>
      </c>
      <c r="E234" s="2">
        <v>3</v>
      </c>
      <c r="F234" s="2" t="s">
        <v>1503</v>
      </c>
    </row>
    <row r="235" spans="1:6" ht="75" x14ac:dyDescent="0.25">
      <c r="A235" s="2" t="s">
        <v>1952</v>
      </c>
      <c r="B235" s="2" t="b">
        <v>0</v>
      </c>
      <c r="C235" s="2" t="s">
        <v>1953</v>
      </c>
      <c r="D235" s="2">
        <v>4</v>
      </c>
      <c r="E235" s="2">
        <v>3</v>
      </c>
      <c r="F235" s="2" t="s">
        <v>1503</v>
      </c>
    </row>
    <row r="236" spans="1:6" ht="75" x14ac:dyDescent="0.25">
      <c r="A236" s="2" t="s">
        <v>1954</v>
      </c>
      <c r="B236" s="2" t="b">
        <v>0</v>
      </c>
      <c r="C236" s="2" t="s">
        <v>1955</v>
      </c>
      <c r="D236" s="2">
        <v>4</v>
      </c>
      <c r="E236" s="2">
        <v>3</v>
      </c>
      <c r="F236" s="2" t="s">
        <v>1503</v>
      </c>
    </row>
    <row r="237" spans="1:6" ht="75" x14ac:dyDescent="0.25">
      <c r="A237" s="2" t="s">
        <v>1956</v>
      </c>
      <c r="B237" s="2" t="b">
        <v>0</v>
      </c>
      <c r="C237" s="2" t="s">
        <v>1957</v>
      </c>
      <c r="D237" s="2">
        <v>4</v>
      </c>
      <c r="E237" s="2">
        <v>3</v>
      </c>
      <c r="F237" s="2" t="s">
        <v>1503</v>
      </c>
    </row>
    <row r="238" spans="1:6" ht="75" x14ac:dyDescent="0.25">
      <c r="A238" s="2" t="s">
        <v>1958</v>
      </c>
      <c r="B238" s="2" t="b">
        <v>0</v>
      </c>
      <c r="C238" s="2" t="s">
        <v>1959</v>
      </c>
      <c r="D238" s="2">
        <v>4</v>
      </c>
      <c r="E238" s="2">
        <v>3</v>
      </c>
      <c r="F238" s="2" t="s">
        <v>1503</v>
      </c>
    </row>
    <row r="239" spans="1:6" ht="75" x14ac:dyDescent="0.25">
      <c r="A239" s="2" t="s">
        <v>1960</v>
      </c>
      <c r="B239" s="2" t="b">
        <v>1</v>
      </c>
      <c r="C239" s="2" t="s">
        <v>1961</v>
      </c>
      <c r="D239" s="2">
        <v>2</v>
      </c>
      <c r="E239" s="2">
        <v>2</v>
      </c>
      <c r="F239" s="2" t="s">
        <v>1503</v>
      </c>
    </row>
    <row r="240" spans="1:6" ht="75" x14ac:dyDescent="0.25">
      <c r="A240" s="2" t="s">
        <v>1962</v>
      </c>
      <c r="B240" s="2" t="b">
        <v>0</v>
      </c>
      <c r="C240" s="2" t="s">
        <v>1963</v>
      </c>
      <c r="D240" s="2">
        <v>3</v>
      </c>
      <c r="E240" s="2">
        <v>2</v>
      </c>
      <c r="F240" s="2" t="s">
        <v>1503</v>
      </c>
    </row>
    <row r="241" spans="1:6" ht="75" x14ac:dyDescent="0.25">
      <c r="A241" s="2" t="s">
        <v>1964</v>
      </c>
      <c r="B241" s="2" t="b">
        <v>0</v>
      </c>
      <c r="C241" s="2" t="s">
        <v>1963</v>
      </c>
      <c r="D241" s="2">
        <v>3</v>
      </c>
      <c r="E241" s="2">
        <v>2</v>
      </c>
      <c r="F241" s="2" t="s">
        <v>1503</v>
      </c>
    </row>
    <row r="242" spans="1:6" ht="75" x14ac:dyDescent="0.25">
      <c r="A242" s="2" t="s">
        <v>1965</v>
      </c>
      <c r="B242" s="2" t="b">
        <v>0</v>
      </c>
      <c r="C242" s="2" t="s">
        <v>1966</v>
      </c>
      <c r="D242" s="2">
        <v>3</v>
      </c>
      <c r="E242" s="2">
        <v>2</v>
      </c>
      <c r="F242" s="2" t="s">
        <v>1503</v>
      </c>
    </row>
    <row r="243" spans="1:6" ht="75" x14ac:dyDescent="0.25">
      <c r="A243" s="2" t="s">
        <v>1967</v>
      </c>
      <c r="B243" s="2" t="b">
        <v>1</v>
      </c>
      <c r="C243" s="2" t="s">
        <v>1968</v>
      </c>
      <c r="D243" s="2">
        <v>2</v>
      </c>
      <c r="E243" s="2">
        <v>2</v>
      </c>
      <c r="F243" s="2" t="s">
        <v>1503</v>
      </c>
    </row>
    <row r="244" spans="1:6" ht="75" x14ac:dyDescent="0.25">
      <c r="A244" s="2" t="s">
        <v>1969</v>
      </c>
      <c r="B244" s="2" t="b">
        <v>1</v>
      </c>
      <c r="C244" s="2" t="s">
        <v>1970</v>
      </c>
      <c r="D244" s="2">
        <v>2</v>
      </c>
      <c r="E244" s="2">
        <v>2</v>
      </c>
      <c r="F244" s="2" t="s">
        <v>1503</v>
      </c>
    </row>
    <row r="245" spans="1:6" ht="75" x14ac:dyDescent="0.25">
      <c r="A245" s="2" t="s">
        <v>1971</v>
      </c>
      <c r="B245" s="2" t="b">
        <v>1</v>
      </c>
      <c r="C245" s="2" t="s">
        <v>1972</v>
      </c>
      <c r="D245" s="2">
        <v>2</v>
      </c>
      <c r="E245" s="2">
        <v>2</v>
      </c>
      <c r="F245" s="2" t="s">
        <v>1503</v>
      </c>
    </row>
    <row r="246" spans="1:6" ht="75" x14ac:dyDescent="0.25">
      <c r="A246" s="2" t="s">
        <v>1973</v>
      </c>
      <c r="B246" s="2" t="b">
        <v>0</v>
      </c>
      <c r="C246" s="2" t="s">
        <v>1974</v>
      </c>
      <c r="D246" s="2">
        <v>3</v>
      </c>
      <c r="E246" s="2">
        <v>2</v>
      </c>
      <c r="F246" s="2" t="s">
        <v>1503</v>
      </c>
    </row>
    <row r="247" spans="1:6" ht="75" x14ac:dyDescent="0.25">
      <c r="A247" s="2" t="s">
        <v>1975</v>
      </c>
      <c r="B247" s="2" t="b">
        <v>1</v>
      </c>
      <c r="C247" s="2" t="s">
        <v>1976</v>
      </c>
      <c r="D247" s="2">
        <v>1</v>
      </c>
      <c r="E247" s="2">
        <v>1</v>
      </c>
      <c r="F247" s="2" t="s">
        <v>1503</v>
      </c>
    </row>
    <row r="248" spans="1:6" ht="75" x14ac:dyDescent="0.25">
      <c r="A248" s="2" t="s">
        <v>1977</v>
      </c>
      <c r="B248" s="2" t="b">
        <v>0</v>
      </c>
      <c r="C248" s="2" t="s">
        <v>1966</v>
      </c>
      <c r="D248" s="2">
        <v>3</v>
      </c>
      <c r="E248" s="2">
        <v>2</v>
      </c>
      <c r="F248" s="2" t="s">
        <v>1503</v>
      </c>
    </row>
    <row r="249" spans="1:6" ht="75" x14ac:dyDescent="0.25">
      <c r="A249" s="2" t="s">
        <v>1978</v>
      </c>
      <c r="B249" s="2" t="b">
        <v>1</v>
      </c>
      <c r="C249" s="2" t="s">
        <v>1979</v>
      </c>
      <c r="D249" s="2">
        <v>1</v>
      </c>
      <c r="E249" s="2">
        <v>2</v>
      </c>
      <c r="F249" s="2" t="s">
        <v>1503</v>
      </c>
    </row>
    <row r="250" spans="1:6" ht="75" x14ac:dyDescent="0.25">
      <c r="A250" s="2" t="s">
        <v>1980</v>
      </c>
      <c r="B250" s="2" t="b">
        <v>1</v>
      </c>
      <c r="C250" s="2" t="s">
        <v>1981</v>
      </c>
      <c r="D250" s="2">
        <v>3</v>
      </c>
      <c r="E250" s="2">
        <v>2</v>
      </c>
      <c r="F250" s="2" t="s">
        <v>1503</v>
      </c>
    </row>
    <row r="251" spans="1:6" ht="75" x14ac:dyDescent="0.25">
      <c r="A251" s="2" t="s">
        <v>1982</v>
      </c>
      <c r="B251" s="2" t="b">
        <v>1</v>
      </c>
      <c r="C251" s="2" t="s">
        <v>1983</v>
      </c>
      <c r="D251" s="2">
        <v>2</v>
      </c>
      <c r="E251" s="2">
        <v>2</v>
      </c>
      <c r="F251" s="2" t="s">
        <v>1503</v>
      </c>
    </row>
    <row r="252" spans="1:6" ht="75" x14ac:dyDescent="0.25">
      <c r="A252" s="2" t="s">
        <v>1984</v>
      </c>
      <c r="B252" s="2" t="b">
        <v>1</v>
      </c>
      <c r="C252" s="2" t="s">
        <v>1985</v>
      </c>
      <c r="D252" s="2">
        <v>2</v>
      </c>
      <c r="E252" s="2">
        <v>2</v>
      </c>
      <c r="F252" s="2" t="s">
        <v>1503</v>
      </c>
    </row>
    <row r="253" spans="1:6" ht="75" x14ac:dyDescent="0.25">
      <c r="A253" s="2" t="s">
        <v>1986</v>
      </c>
      <c r="B253" s="2" t="b">
        <v>1</v>
      </c>
      <c r="C253" s="2" t="s">
        <v>1987</v>
      </c>
      <c r="D253" s="2">
        <v>1</v>
      </c>
      <c r="E253" s="2">
        <v>1</v>
      </c>
      <c r="F253" s="2" t="s">
        <v>1503</v>
      </c>
    </row>
    <row r="254" spans="1:6" ht="75" x14ac:dyDescent="0.25">
      <c r="A254" s="2" t="s">
        <v>1988</v>
      </c>
      <c r="B254" s="2" t="b">
        <v>0</v>
      </c>
      <c r="C254" s="2" t="s">
        <v>1989</v>
      </c>
      <c r="D254" s="2">
        <v>4</v>
      </c>
      <c r="E254" s="2">
        <v>3</v>
      </c>
      <c r="F254" s="2" t="s">
        <v>1503</v>
      </c>
    </row>
    <row r="255" spans="1:6" ht="75" x14ac:dyDescent="0.25">
      <c r="A255" s="2" t="s">
        <v>1990</v>
      </c>
      <c r="B255" s="2" t="b">
        <v>0</v>
      </c>
      <c r="C255" s="2" t="s">
        <v>1991</v>
      </c>
      <c r="D255" s="2">
        <v>4</v>
      </c>
      <c r="E255" s="2">
        <v>3</v>
      </c>
      <c r="F255" s="2" t="s">
        <v>1503</v>
      </c>
    </row>
    <row r="256" spans="1:6" ht="75" x14ac:dyDescent="0.25">
      <c r="A256" s="2" t="s">
        <v>1992</v>
      </c>
      <c r="B256" s="2" t="b">
        <v>0</v>
      </c>
      <c r="C256" s="2" t="s">
        <v>1993</v>
      </c>
      <c r="D256" s="2">
        <v>4</v>
      </c>
      <c r="E256" s="2">
        <v>3</v>
      </c>
      <c r="F256" s="2" t="s">
        <v>1503</v>
      </c>
    </row>
    <row r="257" spans="1:6" ht="75" x14ac:dyDescent="0.25">
      <c r="A257" s="2" t="s">
        <v>1994</v>
      </c>
      <c r="B257" s="2" t="b">
        <v>0</v>
      </c>
      <c r="C257" s="2" t="s">
        <v>1995</v>
      </c>
      <c r="D257" s="2">
        <v>4</v>
      </c>
      <c r="E257" s="2">
        <v>3</v>
      </c>
      <c r="F257" s="2" t="s">
        <v>1503</v>
      </c>
    </row>
    <row r="258" spans="1:6" ht="75" x14ac:dyDescent="0.25">
      <c r="A258" s="2" t="s">
        <v>1996</v>
      </c>
      <c r="B258" s="2" t="b">
        <v>0</v>
      </c>
      <c r="C258" s="2" t="s">
        <v>1997</v>
      </c>
      <c r="D258" s="2">
        <v>4</v>
      </c>
      <c r="E258" s="2">
        <v>3</v>
      </c>
      <c r="F258" s="2" t="s">
        <v>1503</v>
      </c>
    </row>
    <row r="259" spans="1:6" ht="75" x14ac:dyDescent="0.25">
      <c r="A259" s="2" t="s">
        <v>1998</v>
      </c>
      <c r="B259" s="2" t="b">
        <v>0</v>
      </c>
      <c r="C259" s="2" t="s">
        <v>1999</v>
      </c>
      <c r="D259" s="2">
        <v>4</v>
      </c>
      <c r="E259" s="2">
        <v>3</v>
      </c>
      <c r="F259" s="2" t="s">
        <v>1503</v>
      </c>
    </row>
    <row r="260" spans="1:6" ht="75" x14ac:dyDescent="0.25">
      <c r="A260" s="2" t="s">
        <v>2000</v>
      </c>
      <c r="B260" s="2" t="b">
        <v>0</v>
      </c>
      <c r="C260" s="2" t="s">
        <v>2001</v>
      </c>
      <c r="D260" s="2">
        <v>4</v>
      </c>
      <c r="E260" s="2">
        <v>3</v>
      </c>
      <c r="F260" s="2" t="s">
        <v>1503</v>
      </c>
    </row>
    <row r="261" spans="1:6" ht="75" x14ac:dyDescent="0.25">
      <c r="A261" s="2" t="s">
        <v>2002</v>
      </c>
      <c r="B261" s="2" t="b">
        <v>0</v>
      </c>
      <c r="C261" s="2" t="s">
        <v>2003</v>
      </c>
      <c r="D261" s="2">
        <v>4</v>
      </c>
      <c r="E261" s="2">
        <v>2</v>
      </c>
      <c r="F261" s="2" t="s">
        <v>1503</v>
      </c>
    </row>
    <row r="262" spans="1:6" ht="75" x14ac:dyDescent="0.25">
      <c r="A262" s="2" t="s">
        <v>2004</v>
      </c>
      <c r="B262" s="2" t="b">
        <v>0</v>
      </c>
      <c r="C262" s="2" t="s">
        <v>2005</v>
      </c>
      <c r="D262" s="2">
        <v>4</v>
      </c>
      <c r="E262" s="2">
        <v>3</v>
      </c>
      <c r="F262" s="2" t="s">
        <v>1503</v>
      </c>
    </row>
    <row r="263" spans="1:6" ht="75" x14ac:dyDescent="0.25">
      <c r="A263" s="2" t="s">
        <v>2006</v>
      </c>
      <c r="B263" s="2" t="b">
        <v>0</v>
      </c>
      <c r="C263" s="2" t="s">
        <v>2007</v>
      </c>
      <c r="D263" s="2">
        <v>4</v>
      </c>
      <c r="E263" s="2">
        <v>3</v>
      </c>
      <c r="F263" s="2" t="s">
        <v>1503</v>
      </c>
    </row>
    <row r="264" spans="1:6" ht="75" x14ac:dyDescent="0.25">
      <c r="A264" s="2" t="s">
        <v>2008</v>
      </c>
      <c r="B264" s="2" t="b">
        <v>0</v>
      </c>
      <c r="C264" s="2" t="s">
        <v>2009</v>
      </c>
      <c r="D264" s="2">
        <v>2</v>
      </c>
      <c r="E264" s="2">
        <v>2</v>
      </c>
      <c r="F264" s="2" t="s">
        <v>1503</v>
      </c>
    </row>
    <row r="265" spans="1:6" ht="75" x14ac:dyDescent="0.25">
      <c r="A265" s="2" t="s">
        <v>2010</v>
      </c>
      <c r="B265" s="2" t="b">
        <v>0</v>
      </c>
      <c r="C265" s="2" t="s">
        <v>2011</v>
      </c>
      <c r="D265" s="2">
        <v>2</v>
      </c>
      <c r="E265" s="2">
        <v>2</v>
      </c>
      <c r="F265" s="2" t="s">
        <v>1503</v>
      </c>
    </row>
    <row r="266" spans="1:6" ht="75" x14ac:dyDescent="0.25">
      <c r="A266" s="2" t="s">
        <v>2012</v>
      </c>
      <c r="B266" s="2" t="b">
        <v>0</v>
      </c>
      <c r="C266" s="2" t="s">
        <v>2013</v>
      </c>
      <c r="D266" s="2">
        <v>4</v>
      </c>
      <c r="E266" s="2">
        <v>3</v>
      </c>
      <c r="F266" s="2" t="s">
        <v>1503</v>
      </c>
    </row>
    <row r="267" spans="1:6" ht="75" x14ac:dyDescent="0.25">
      <c r="A267" s="2" t="s">
        <v>2014</v>
      </c>
      <c r="B267" s="2" t="b">
        <v>0</v>
      </c>
      <c r="C267" s="2" t="s">
        <v>2015</v>
      </c>
      <c r="D267" s="2">
        <v>4</v>
      </c>
      <c r="E267" s="2">
        <v>3</v>
      </c>
      <c r="F267" s="2" t="s">
        <v>1503</v>
      </c>
    </row>
    <row r="268" spans="1:6" ht="75" x14ac:dyDescent="0.25">
      <c r="A268" s="2" t="s">
        <v>2016</v>
      </c>
      <c r="B268" s="2" t="b">
        <v>1</v>
      </c>
      <c r="C268" s="2" t="s">
        <v>2017</v>
      </c>
      <c r="D268" s="2">
        <v>2</v>
      </c>
      <c r="E268" s="2">
        <v>2</v>
      </c>
      <c r="F268" s="2" t="s">
        <v>1503</v>
      </c>
    </row>
    <row r="269" spans="1:6" ht="75" x14ac:dyDescent="0.25">
      <c r="A269" s="2" t="s">
        <v>2018</v>
      </c>
      <c r="B269" s="2" t="b">
        <v>1</v>
      </c>
      <c r="C269" s="2" t="s">
        <v>2019</v>
      </c>
      <c r="D269" s="2">
        <v>2</v>
      </c>
      <c r="E269" s="2">
        <v>2</v>
      </c>
      <c r="F269" s="2" t="s">
        <v>1503</v>
      </c>
    </row>
    <row r="270" spans="1:6" ht="75" x14ac:dyDescent="0.25">
      <c r="A270" s="2" t="s">
        <v>2020</v>
      </c>
      <c r="B270" s="2" t="b">
        <v>0</v>
      </c>
      <c r="C270" s="2" t="s">
        <v>2021</v>
      </c>
      <c r="D270" s="2">
        <v>4</v>
      </c>
      <c r="E270" s="2">
        <v>2</v>
      </c>
      <c r="F270" s="2" t="s">
        <v>1503</v>
      </c>
    </row>
    <row r="271" spans="1:6" ht="75" x14ac:dyDescent="0.25">
      <c r="A271" s="2" t="s">
        <v>2022</v>
      </c>
      <c r="B271" s="2" t="b">
        <v>1</v>
      </c>
      <c r="C271" s="2" t="s">
        <v>2023</v>
      </c>
      <c r="D271" s="2">
        <v>4</v>
      </c>
      <c r="E271" s="2">
        <v>2</v>
      </c>
      <c r="F271" s="2" t="s">
        <v>1503</v>
      </c>
    </row>
    <row r="272" spans="1:6" ht="75" x14ac:dyDescent="0.25">
      <c r="A272" s="2" t="s">
        <v>2024</v>
      </c>
      <c r="B272" s="2" t="b">
        <v>1</v>
      </c>
      <c r="C272" s="2" t="s">
        <v>2025</v>
      </c>
      <c r="D272" s="2">
        <v>4</v>
      </c>
      <c r="E272" s="2">
        <v>2</v>
      </c>
      <c r="F272" s="2" t="s">
        <v>1503</v>
      </c>
    </row>
    <row r="273" spans="1:6" ht="75" x14ac:dyDescent="0.25">
      <c r="A273" s="2" t="s">
        <v>2026</v>
      </c>
      <c r="B273" s="2" t="b">
        <v>1</v>
      </c>
      <c r="C273" s="2" t="s">
        <v>2027</v>
      </c>
      <c r="D273" s="2">
        <v>4</v>
      </c>
      <c r="E273" s="2">
        <v>2</v>
      </c>
      <c r="F273" s="2" t="s">
        <v>1503</v>
      </c>
    </row>
    <row r="274" spans="1:6" ht="75" x14ac:dyDescent="0.25">
      <c r="A274" s="2" t="s">
        <v>2028</v>
      </c>
      <c r="B274" s="2" t="b">
        <v>1</v>
      </c>
      <c r="C274" s="2" t="s">
        <v>2029</v>
      </c>
      <c r="D274" s="2">
        <v>4</v>
      </c>
      <c r="E274" s="2">
        <v>2</v>
      </c>
      <c r="F274" s="2" t="s">
        <v>1503</v>
      </c>
    </row>
    <row r="275" spans="1:6" ht="75" x14ac:dyDescent="0.25">
      <c r="A275" s="2" t="s">
        <v>2030</v>
      </c>
      <c r="B275" s="2" t="b">
        <v>1</v>
      </c>
      <c r="C275" s="2" t="s">
        <v>2031</v>
      </c>
      <c r="D275" s="2">
        <v>4</v>
      </c>
      <c r="E275" s="2">
        <v>2</v>
      </c>
      <c r="F275" s="2" t="s">
        <v>1503</v>
      </c>
    </row>
    <row r="276" spans="1:6" ht="75" x14ac:dyDescent="0.25">
      <c r="A276" s="2" t="s">
        <v>2032</v>
      </c>
      <c r="B276" s="2" t="b">
        <v>1</v>
      </c>
      <c r="C276" s="2" t="s">
        <v>2033</v>
      </c>
      <c r="D276" s="2">
        <v>4</v>
      </c>
      <c r="E276" s="2">
        <v>2</v>
      </c>
      <c r="F276" s="2" t="s">
        <v>1503</v>
      </c>
    </row>
    <row r="277" spans="1:6" ht="75" x14ac:dyDescent="0.25">
      <c r="A277" s="2" t="s">
        <v>2034</v>
      </c>
      <c r="B277" s="2" t="b">
        <v>1</v>
      </c>
      <c r="C277" s="2" t="s">
        <v>2035</v>
      </c>
      <c r="D277" s="2">
        <v>4</v>
      </c>
      <c r="E277" s="2">
        <v>2</v>
      </c>
      <c r="F277" s="2" t="s">
        <v>1503</v>
      </c>
    </row>
    <row r="278" spans="1:6" ht="75" x14ac:dyDescent="0.25">
      <c r="A278" s="2" t="s">
        <v>2036</v>
      </c>
      <c r="B278" s="2" t="b">
        <v>1</v>
      </c>
      <c r="C278" s="2" t="s">
        <v>2037</v>
      </c>
      <c r="D278" s="2">
        <v>4</v>
      </c>
      <c r="E278" s="2">
        <v>2</v>
      </c>
      <c r="F278" s="2" t="s">
        <v>1503</v>
      </c>
    </row>
    <row r="279" spans="1:6" ht="75" x14ac:dyDescent="0.25">
      <c r="A279" s="2" t="s">
        <v>2038</v>
      </c>
      <c r="B279" s="2" t="b">
        <v>1</v>
      </c>
      <c r="C279" s="2" t="s">
        <v>2039</v>
      </c>
      <c r="D279" s="2">
        <v>4</v>
      </c>
      <c r="E279" s="2">
        <v>2</v>
      </c>
      <c r="F279" s="2" t="s">
        <v>1503</v>
      </c>
    </row>
    <row r="280" spans="1:6" ht="75" x14ac:dyDescent="0.25">
      <c r="A280" s="2" t="s">
        <v>2040</v>
      </c>
      <c r="B280" s="2" t="b">
        <v>1</v>
      </c>
      <c r="C280" s="2" t="s">
        <v>1813</v>
      </c>
      <c r="D280" s="2">
        <v>4</v>
      </c>
      <c r="E280" s="2">
        <v>2</v>
      </c>
      <c r="F280" s="2" t="s">
        <v>1503</v>
      </c>
    </row>
    <row r="281" spans="1:6" ht="75" x14ac:dyDescent="0.25">
      <c r="A281" s="2" t="s">
        <v>2041</v>
      </c>
      <c r="B281" s="2" t="b">
        <v>1</v>
      </c>
      <c r="C281" s="2" t="s">
        <v>2042</v>
      </c>
      <c r="D281" s="2">
        <v>4</v>
      </c>
      <c r="E281" s="2">
        <v>2</v>
      </c>
      <c r="F281" s="2" t="s">
        <v>1503</v>
      </c>
    </row>
    <row r="282" spans="1:6" ht="75" x14ac:dyDescent="0.25">
      <c r="A282" s="2" t="s">
        <v>2043</v>
      </c>
      <c r="B282" s="2" t="b">
        <v>1</v>
      </c>
      <c r="C282" s="2" t="s">
        <v>2044</v>
      </c>
      <c r="D282" s="2">
        <v>4</v>
      </c>
      <c r="E282" s="2">
        <v>2</v>
      </c>
      <c r="F282" s="2" t="s">
        <v>1503</v>
      </c>
    </row>
    <row r="283" spans="1:6" ht="75" x14ac:dyDescent="0.25">
      <c r="A283" s="2" t="s">
        <v>2045</v>
      </c>
      <c r="B283" s="2" t="b">
        <v>1</v>
      </c>
      <c r="C283" s="2" t="s">
        <v>2046</v>
      </c>
      <c r="D283" s="2">
        <v>4</v>
      </c>
      <c r="E283" s="2">
        <v>2</v>
      </c>
      <c r="F283" s="2" t="s">
        <v>1503</v>
      </c>
    </row>
    <row r="284" spans="1:6" ht="75" x14ac:dyDescent="0.25">
      <c r="A284" s="2" t="s">
        <v>2047</v>
      </c>
      <c r="B284" s="2" t="b">
        <v>1</v>
      </c>
      <c r="C284" s="2" t="s">
        <v>2048</v>
      </c>
      <c r="D284" s="2">
        <v>2</v>
      </c>
      <c r="E284" s="2">
        <v>1</v>
      </c>
      <c r="F284" s="2" t="s">
        <v>1503</v>
      </c>
    </row>
    <row r="285" spans="1:6" ht="75" x14ac:dyDescent="0.25">
      <c r="A285" s="2" t="s">
        <v>2049</v>
      </c>
      <c r="B285" s="2" t="b">
        <v>1</v>
      </c>
      <c r="C285" s="2" t="s">
        <v>2050</v>
      </c>
      <c r="D285" s="2">
        <v>2</v>
      </c>
      <c r="E285" s="2">
        <v>1</v>
      </c>
      <c r="F285" s="2" t="s">
        <v>1503</v>
      </c>
    </row>
    <row r="286" spans="1:6" ht="75" x14ac:dyDescent="0.25">
      <c r="A286" s="2" t="s">
        <v>2051</v>
      </c>
      <c r="B286" s="2" t="b">
        <v>1</v>
      </c>
      <c r="C286" s="2" t="s">
        <v>2052</v>
      </c>
      <c r="D286" s="2">
        <v>3</v>
      </c>
      <c r="E286" s="2">
        <v>2</v>
      </c>
      <c r="F286" s="2" t="s">
        <v>1503</v>
      </c>
    </row>
    <row r="287" spans="1:6" ht="75" x14ac:dyDescent="0.25">
      <c r="A287" s="2" t="s">
        <v>2053</v>
      </c>
      <c r="B287" s="2" t="b">
        <v>1</v>
      </c>
      <c r="C287" s="2" t="s">
        <v>2054</v>
      </c>
      <c r="D287" s="2">
        <v>4</v>
      </c>
      <c r="E287" s="2">
        <v>2</v>
      </c>
      <c r="F287" s="2" t="s">
        <v>1503</v>
      </c>
    </row>
    <row r="288" spans="1:6" ht="75" x14ac:dyDescent="0.25">
      <c r="A288" s="2" t="s">
        <v>2055</v>
      </c>
      <c r="B288" s="2" t="b">
        <v>1</v>
      </c>
      <c r="C288" s="2" t="s">
        <v>2056</v>
      </c>
      <c r="D288" s="2">
        <v>4</v>
      </c>
      <c r="E288" s="2">
        <v>2</v>
      </c>
      <c r="F288" s="2" t="s">
        <v>1503</v>
      </c>
    </row>
    <row r="289" spans="1:6" ht="75" x14ac:dyDescent="0.25">
      <c r="A289" s="2" t="s">
        <v>2057</v>
      </c>
      <c r="B289" s="2" t="b">
        <v>1</v>
      </c>
      <c r="C289" s="2" t="s">
        <v>2058</v>
      </c>
      <c r="D289" s="2">
        <v>2</v>
      </c>
      <c r="E289" s="2">
        <v>1</v>
      </c>
      <c r="F289" s="2" t="s">
        <v>1503</v>
      </c>
    </row>
    <row r="290" spans="1:6" ht="75" x14ac:dyDescent="0.25">
      <c r="A290" s="2" t="s">
        <v>2059</v>
      </c>
      <c r="B290" s="2" t="b">
        <v>1</v>
      </c>
      <c r="C290" s="2" t="s">
        <v>2060</v>
      </c>
      <c r="D290" s="2">
        <v>4</v>
      </c>
      <c r="E290" s="2">
        <v>2</v>
      </c>
      <c r="F290" s="2" t="s">
        <v>1503</v>
      </c>
    </row>
    <row r="291" spans="1:6" ht="75" x14ac:dyDescent="0.25">
      <c r="A291" s="2" t="s">
        <v>2061</v>
      </c>
      <c r="B291" s="2" t="b">
        <v>1</v>
      </c>
      <c r="C291" s="2" t="s">
        <v>2062</v>
      </c>
      <c r="D291" s="2">
        <v>4</v>
      </c>
      <c r="E291" s="2">
        <v>2</v>
      </c>
      <c r="F291" s="2" t="s">
        <v>1503</v>
      </c>
    </row>
    <row r="292" spans="1:6" ht="75" x14ac:dyDescent="0.25">
      <c r="A292" s="2" t="s">
        <v>2063</v>
      </c>
      <c r="B292" s="2" t="b">
        <v>1</v>
      </c>
      <c r="C292" s="2" t="s">
        <v>2064</v>
      </c>
      <c r="D292" s="2">
        <v>4</v>
      </c>
      <c r="E292" s="2">
        <v>2</v>
      </c>
      <c r="F292" s="2" t="s">
        <v>1503</v>
      </c>
    </row>
    <row r="293" spans="1:6" ht="75" x14ac:dyDescent="0.25">
      <c r="A293" s="2" t="s">
        <v>302</v>
      </c>
      <c r="B293" s="2" t="b">
        <v>1</v>
      </c>
      <c r="C293" s="2" t="s">
        <v>2065</v>
      </c>
      <c r="D293" s="2">
        <v>4</v>
      </c>
      <c r="E293" s="2">
        <v>2</v>
      </c>
      <c r="F293" s="2" t="s">
        <v>1503</v>
      </c>
    </row>
    <row r="294" spans="1:6" ht="75" x14ac:dyDescent="0.25">
      <c r="A294" s="2" t="s">
        <v>2066</v>
      </c>
      <c r="B294" s="2" t="b">
        <v>1</v>
      </c>
      <c r="C294" s="2" t="s">
        <v>2067</v>
      </c>
      <c r="D294" s="2">
        <v>4</v>
      </c>
      <c r="E294" s="2">
        <v>2</v>
      </c>
      <c r="F294" s="2" t="s">
        <v>1503</v>
      </c>
    </row>
    <row r="295" spans="1:6" ht="75" x14ac:dyDescent="0.25">
      <c r="A295" s="2" t="s">
        <v>2068</v>
      </c>
      <c r="B295" s="2" t="b">
        <v>1</v>
      </c>
      <c r="C295" s="2" t="s">
        <v>2069</v>
      </c>
      <c r="D295" s="2">
        <v>4</v>
      </c>
      <c r="E295" s="2">
        <v>2</v>
      </c>
      <c r="F295" s="2" t="s">
        <v>1503</v>
      </c>
    </row>
    <row r="296" spans="1:6" ht="75" x14ac:dyDescent="0.25">
      <c r="A296" s="2" t="s">
        <v>2070</v>
      </c>
      <c r="B296" s="2" t="b">
        <v>1</v>
      </c>
      <c r="C296" s="2" t="s">
        <v>2071</v>
      </c>
      <c r="D296" s="2">
        <v>4</v>
      </c>
      <c r="E296" s="2">
        <v>2</v>
      </c>
      <c r="F296" s="2" t="s">
        <v>1503</v>
      </c>
    </row>
    <row r="297" spans="1:6" ht="75" x14ac:dyDescent="0.25">
      <c r="A297" s="2" t="s">
        <v>2072</v>
      </c>
      <c r="B297" s="2" t="b">
        <v>1</v>
      </c>
      <c r="C297" s="2" t="s">
        <v>2073</v>
      </c>
      <c r="D297" s="2">
        <v>4</v>
      </c>
      <c r="E297" s="2">
        <v>2</v>
      </c>
      <c r="F297" s="2" t="s">
        <v>1503</v>
      </c>
    </row>
    <row r="298" spans="1:6" ht="75" x14ac:dyDescent="0.25">
      <c r="A298" s="2" t="s">
        <v>2074</v>
      </c>
      <c r="B298" s="2" t="b">
        <v>1</v>
      </c>
      <c r="C298" s="2" t="s">
        <v>2075</v>
      </c>
      <c r="D298" s="2">
        <v>4</v>
      </c>
      <c r="E298" s="2">
        <v>2</v>
      </c>
      <c r="F298" s="2" t="s">
        <v>1503</v>
      </c>
    </row>
    <row r="299" spans="1:6" ht="75" x14ac:dyDescent="0.25">
      <c r="A299" s="2" t="s">
        <v>2076</v>
      </c>
      <c r="B299" s="2" t="b">
        <v>1</v>
      </c>
      <c r="C299" s="2" t="s">
        <v>2077</v>
      </c>
      <c r="D299" s="2">
        <v>3</v>
      </c>
      <c r="E299" s="2">
        <v>2</v>
      </c>
      <c r="F299" s="2" t="s">
        <v>1503</v>
      </c>
    </row>
    <row r="300" spans="1:6" ht="75" x14ac:dyDescent="0.25">
      <c r="A300" s="2" t="s">
        <v>2078</v>
      </c>
      <c r="B300" s="2" t="b">
        <v>1</v>
      </c>
      <c r="C300" s="2" t="s">
        <v>2079</v>
      </c>
      <c r="D300" s="2">
        <v>4</v>
      </c>
      <c r="E300" s="2">
        <v>2</v>
      </c>
      <c r="F300" s="2" t="s">
        <v>1503</v>
      </c>
    </row>
    <row r="301" spans="1:6" ht="75" x14ac:dyDescent="0.25">
      <c r="A301" s="2" t="s">
        <v>2080</v>
      </c>
      <c r="B301" s="2" t="b">
        <v>1</v>
      </c>
      <c r="C301" s="2" t="s">
        <v>2081</v>
      </c>
      <c r="D301" s="2">
        <v>4</v>
      </c>
      <c r="E301" s="2">
        <v>1</v>
      </c>
      <c r="F301" s="2" t="s">
        <v>1503</v>
      </c>
    </row>
    <row r="302" spans="1:6" ht="75" x14ac:dyDescent="0.25">
      <c r="A302" s="2" t="s">
        <v>2082</v>
      </c>
      <c r="B302" s="2" t="b">
        <v>1</v>
      </c>
      <c r="C302" s="2" t="s">
        <v>2083</v>
      </c>
      <c r="D302" s="2">
        <v>4</v>
      </c>
      <c r="E302" s="2">
        <v>1</v>
      </c>
      <c r="F302" s="2" t="s">
        <v>1503</v>
      </c>
    </row>
    <row r="303" spans="1:6" ht="75" x14ac:dyDescent="0.25">
      <c r="A303" s="2" t="s">
        <v>2084</v>
      </c>
      <c r="B303" s="2" t="b">
        <v>1</v>
      </c>
      <c r="C303" s="2" t="s">
        <v>2085</v>
      </c>
      <c r="D303" s="2">
        <v>4</v>
      </c>
      <c r="E303" s="2">
        <v>1</v>
      </c>
      <c r="F303" s="2" t="s">
        <v>1503</v>
      </c>
    </row>
    <row r="304" spans="1:6" ht="75" x14ac:dyDescent="0.25">
      <c r="A304" s="2" t="s">
        <v>2086</v>
      </c>
      <c r="B304" s="2" t="b">
        <v>1</v>
      </c>
      <c r="C304" s="2" t="s">
        <v>2087</v>
      </c>
      <c r="D304" s="2">
        <v>4</v>
      </c>
      <c r="E304" s="2">
        <v>1</v>
      </c>
      <c r="F304" s="2" t="s">
        <v>1503</v>
      </c>
    </row>
    <row r="305" spans="1:6" ht="75" x14ac:dyDescent="0.25">
      <c r="A305" s="2" t="s">
        <v>2088</v>
      </c>
      <c r="B305" s="2" t="b">
        <v>1</v>
      </c>
      <c r="C305" s="2" t="s">
        <v>2089</v>
      </c>
      <c r="D305" s="2">
        <v>4</v>
      </c>
      <c r="E305" s="2">
        <v>2</v>
      </c>
      <c r="F305" s="2" t="s">
        <v>1503</v>
      </c>
    </row>
    <row r="306" spans="1:6" ht="75" x14ac:dyDescent="0.25">
      <c r="A306" s="2" t="s">
        <v>2090</v>
      </c>
      <c r="B306" s="2" t="b">
        <v>1</v>
      </c>
      <c r="C306" s="2" t="s">
        <v>2091</v>
      </c>
      <c r="D306" s="2">
        <v>4</v>
      </c>
      <c r="E306" s="2">
        <v>2</v>
      </c>
      <c r="F306" s="2" t="s">
        <v>1503</v>
      </c>
    </row>
    <row r="307" spans="1:6" ht="75" x14ac:dyDescent="0.25">
      <c r="A307" s="2" t="s">
        <v>2092</v>
      </c>
      <c r="B307" s="2" t="b">
        <v>1</v>
      </c>
      <c r="C307" s="2" t="s">
        <v>2093</v>
      </c>
      <c r="D307" s="2">
        <v>4</v>
      </c>
      <c r="E307" s="2">
        <v>2</v>
      </c>
      <c r="F307" s="2" t="s">
        <v>1503</v>
      </c>
    </row>
    <row r="308" spans="1:6" ht="75" x14ac:dyDescent="0.25">
      <c r="A308" s="2" t="s">
        <v>2094</v>
      </c>
      <c r="B308" s="2" t="b">
        <v>1</v>
      </c>
      <c r="C308" s="2" t="s">
        <v>2095</v>
      </c>
      <c r="D308" s="2">
        <v>4</v>
      </c>
      <c r="E308" s="2">
        <v>2</v>
      </c>
      <c r="F308" s="2" t="s">
        <v>1503</v>
      </c>
    </row>
    <row r="309" spans="1:6" ht="75" x14ac:dyDescent="0.25">
      <c r="A309" s="2" t="s">
        <v>2096</v>
      </c>
      <c r="B309" s="2" t="b">
        <v>1</v>
      </c>
      <c r="C309" s="2" t="s">
        <v>2097</v>
      </c>
      <c r="D309" s="2">
        <v>4</v>
      </c>
      <c r="E309" s="2">
        <v>2</v>
      </c>
      <c r="F309" s="2" t="s">
        <v>1503</v>
      </c>
    </row>
    <row r="310" spans="1:6" ht="75" x14ac:dyDescent="0.25">
      <c r="A310" s="2" t="s">
        <v>2098</v>
      </c>
      <c r="B310" s="2" t="b">
        <v>1</v>
      </c>
      <c r="C310" s="2" t="s">
        <v>2099</v>
      </c>
      <c r="D310" s="2">
        <v>4</v>
      </c>
      <c r="E310" s="2">
        <v>2</v>
      </c>
      <c r="F310" s="2" t="s">
        <v>1503</v>
      </c>
    </row>
    <row r="311" spans="1:6" ht="75" x14ac:dyDescent="0.25">
      <c r="A311" s="2" t="s">
        <v>2100</v>
      </c>
      <c r="B311" s="2" t="b">
        <v>1</v>
      </c>
      <c r="C311" s="2" t="s">
        <v>2101</v>
      </c>
      <c r="D311" s="2">
        <v>4</v>
      </c>
      <c r="E311" s="2">
        <v>2</v>
      </c>
      <c r="F311" s="2" t="s">
        <v>1503</v>
      </c>
    </row>
    <row r="312" spans="1:6" ht="75" x14ac:dyDescent="0.25">
      <c r="A312" s="2" t="s">
        <v>2102</v>
      </c>
      <c r="B312" s="2" t="b">
        <v>0</v>
      </c>
      <c r="C312" s="2" t="s">
        <v>2103</v>
      </c>
      <c r="D312" s="2">
        <v>2</v>
      </c>
      <c r="E312" s="2">
        <v>3</v>
      </c>
      <c r="F312" s="2" t="s">
        <v>1503</v>
      </c>
    </row>
    <row r="313" spans="1:6" ht="75" x14ac:dyDescent="0.25">
      <c r="A313" s="2" t="s">
        <v>2104</v>
      </c>
      <c r="B313" s="2" t="b">
        <v>0</v>
      </c>
      <c r="C313" s="2" t="s">
        <v>2105</v>
      </c>
      <c r="D313" s="2">
        <v>3</v>
      </c>
      <c r="E313" s="2">
        <v>3</v>
      </c>
      <c r="F313" s="2" t="s">
        <v>1503</v>
      </c>
    </row>
    <row r="314" spans="1:6" ht="75" x14ac:dyDescent="0.25">
      <c r="A314" s="2" t="s">
        <v>2106</v>
      </c>
      <c r="B314" s="2" t="b">
        <v>0</v>
      </c>
      <c r="C314" s="2" t="s">
        <v>2107</v>
      </c>
      <c r="D314" s="2">
        <v>4</v>
      </c>
      <c r="E314" s="2">
        <v>3</v>
      </c>
      <c r="F314" s="2" t="s">
        <v>1503</v>
      </c>
    </row>
    <row r="315" spans="1:6" ht="75" x14ac:dyDescent="0.25">
      <c r="A315" s="2" t="s">
        <v>2108</v>
      </c>
      <c r="B315" s="2" t="b">
        <v>0</v>
      </c>
      <c r="C315" s="2" t="s">
        <v>2109</v>
      </c>
      <c r="D315" s="2">
        <v>4</v>
      </c>
      <c r="E315" s="2">
        <v>3</v>
      </c>
      <c r="F315" s="2" t="s">
        <v>1503</v>
      </c>
    </row>
    <row r="316" spans="1:6" ht="75" x14ac:dyDescent="0.25">
      <c r="A316" s="2" t="s">
        <v>2110</v>
      </c>
      <c r="B316" s="2" t="b">
        <v>0</v>
      </c>
      <c r="C316" s="2" t="s">
        <v>2111</v>
      </c>
      <c r="D316" s="2">
        <v>2</v>
      </c>
      <c r="E316" s="2">
        <v>3</v>
      </c>
      <c r="F316" s="2" t="s">
        <v>1503</v>
      </c>
    </row>
    <row r="317" spans="1:6" ht="75" x14ac:dyDescent="0.25">
      <c r="A317" s="2" t="s">
        <v>2112</v>
      </c>
      <c r="B317" s="2" t="b">
        <v>0</v>
      </c>
      <c r="C317" s="2" t="s">
        <v>2113</v>
      </c>
      <c r="D317" s="2">
        <v>4</v>
      </c>
      <c r="E317" s="2">
        <v>3</v>
      </c>
      <c r="F317" s="2" t="s">
        <v>1503</v>
      </c>
    </row>
    <row r="318" spans="1:6" ht="75" x14ac:dyDescent="0.25">
      <c r="A318" s="2" t="s">
        <v>2114</v>
      </c>
      <c r="B318" s="2" t="b">
        <v>0</v>
      </c>
      <c r="C318" s="2" t="s">
        <v>2115</v>
      </c>
      <c r="D318" s="2">
        <v>2</v>
      </c>
      <c r="E318" s="2">
        <v>3</v>
      </c>
      <c r="F318" s="2" t="s">
        <v>1503</v>
      </c>
    </row>
    <row r="319" spans="1:6" ht="75" x14ac:dyDescent="0.25">
      <c r="A319" s="2" t="s">
        <v>2116</v>
      </c>
      <c r="B319" s="2" t="b">
        <v>0</v>
      </c>
      <c r="C319" s="2" t="s">
        <v>2117</v>
      </c>
      <c r="D319" s="2">
        <v>2</v>
      </c>
      <c r="E319" s="2">
        <v>3</v>
      </c>
      <c r="F319" s="2" t="s">
        <v>1503</v>
      </c>
    </row>
    <row r="320" spans="1:6" ht="75" x14ac:dyDescent="0.25">
      <c r="A320" s="2" t="s">
        <v>2118</v>
      </c>
      <c r="B320" s="2" t="b">
        <v>0</v>
      </c>
      <c r="C320" s="2" t="s">
        <v>2119</v>
      </c>
      <c r="D320" s="2">
        <v>2</v>
      </c>
      <c r="E320" s="2">
        <v>3</v>
      </c>
      <c r="F320" s="2" t="s">
        <v>1503</v>
      </c>
    </row>
    <row r="321" spans="1:6" ht="75" x14ac:dyDescent="0.25">
      <c r="A321" s="2" t="s">
        <v>2120</v>
      </c>
      <c r="B321" s="2" t="b">
        <v>1</v>
      </c>
      <c r="C321" s="2" t="s">
        <v>1823</v>
      </c>
      <c r="D321" s="2">
        <v>1</v>
      </c>
      <c r="E321" s="2">
        <v>1</v>
      </c>
      <c r="F321" s="2" t="s">
        <v>1503</v>
      </c>
    </row>
    <row r="322" spans="1:6" ht="75" x14ac:dyDescent="0.25">
      <c r="A322" s="2" t="s">
        <v>2121</v>
      </c>
      <c r="B322" s="2" t="b">
        <v>1</v>
      </c>
      <c r="C322" s="2" t="s">
        <v>1825</v>
      </c>
      <c r="D322" s="2">
        <v>1</v>
      </c>
      <c r="E322" s="2">
        <v>1</v>
      </c>
      <c r="F322" s="2" t="s">
        <v>1503</v>
      </c>
    </row>
    <row r="323" spans="1:6" ht="75" x14ac:dyDescent="0.25">
      <c r="A323" s="2" t="s">
        <v>2122</v>
      </c>
      <c r="B323" s="2" t="b">
        <v>1</v>
      </c>
      <c r="C323" s="2" t="s">
        <v>1827</v>
      </c>
      <c r="D323" s="2">
        <v>1</v>
      </c>
      <c r="E323" s="2">
        <v>1</v>
      </c>
      <c r="F323" s="2" t="s">
        <v>1503</v>
      </c>
    </row>
    <row r="324" spans="1:6" ht="75" x14ac:dyDescent="0.25">
      <c r="A324" s="2" t="s">
        <v>2123</v>
      </c>
      <c r="B324" s="2" t="b">
        <v>1</v>
      </c>
      <c r="C324" s="2" t="s">
        <v>1829</v>
      </c>
      <c r="D324" s="2">
        <v>1</v>
      </c>
      <c r="E324" s="2">
        <v>1</v>
      </c>
      <c r="F324" s="2" t="s">
        <v>1503</v>
      </c>
    </row>
    <row r="325" spans="1:6" ht="75" x14ac:dyDescent="0.25">
      <c r="A325" s="2" t="s">
        <v>2124</v>
      </c>
      <c r="B325" s="2" t="b">
        <v>1</v>
      </c>
      <c r="C325" s="2" t="s">
        <v>1831</v>
      </c>
      <c r="D325" s="2">
        <v>4</v>
      </c>
      <c r="E325" s="2">
        <v>2</v>
      </c>
      <c r="F325" s="2" t="s">
        <v>1503</v>
      </c>
    </row>
    <row r="326" spans="1:6" ht="75" x14ac:dyDescent="0.25">
      <c r="A326" s="2" t="s">
        <v>1067</v>
      </c>
      <c r="B326" s="2" t="b">
        <v>1</v>
      </c>
      <c r="C326" s="2" t="s">
        <v>2125</v>
      </c>
      <c r="D326" s="2">
        <v>6</v>
      </c>
      <c r="E326" s="2">
        <v>1</v>
      </c>
      <c r="F326" s="2" t="s">
        <v>1503</v>
      </c>
    </row>
    <row r="327" spans="1:6" ht="75" x14ac:dyDescent="0.25">
      <c r="A327" s="2" t="s">
        <v>2126</v>
      </c>
      <c r="B327" s="2" t="b">
        <v>1</v>
      </c>
      <c r="C327" s="2" t="s">
        <v>2127</v>
      </c>
      <c r="D327" s="2">
        <v>4</v>
      </c>
      <c r="E327" s="2">
        <v>2</v>
      </c>
      <c r="F327" s="2" t="s">
        <v>1503</v>
      </c>
    </row>
    <row r="328" spans="1:6" ht="75" x14ac:dyDescent="0.25">
      <c r="A328" s="2" t="s">
        <v>2128</v>
      </c>
      <c r="B328" s="2" t="b">
        <v>1</v>
      </c>
      <c r="C328" s="2" t="s">
        <v>2129</v>
      </c>
      <c r="D328" s="2">
        <v>4</v>
      </c>
      <c r="E328" s="2">
        <v>2</v>
      </c>
      <c r="F328" s="2" t="s">
        <v>1503</v>
      </c>
    </row>
    <row r="329" spans="1:6" ht="75" x14ac:dyDescent="0.25">
      <c r="A329" s="2" t="s">
        <v>2130</v>
      </c>
      <c r="B329" s="2" t="b">
        <v>1</v>
      </c>
      <c r="C329" s="2" t="s">
        <v>2131</v>
      </c>
      <c r="D329" s="2">
        <v>4</v>
      </c>
      <c r="E329" s="2">
        <v>2</v>
      </c>
      <c r="F329" s="2" t="s">
        <v>1503</v>
      </c>
    </row>
    <row r="330" spans="1:6" ht="75" x14ac:dyDescent="0.25">
      <c r="A330" s="2" t="s">
        <v>2132</v>
      </c>
      <c r="B330" s="2" t="b">
        <v>1</v>
      </c>
      <c r="C330" s="2" t="s">
        <v>2133</v>
      </c>
      <c r="D330" s="2">
        <v>4</v>
      </c>
      <c r="E330" s="2">
        <v>2</v>
      </c>
      <c r="F330" s="2" t="s">
        <v>1503</v>
      </c>
    </row>
    <row r="331" spans="1:6" ht="75" x14ac:dyDescent="0.25">
      <c r="A331" s="2" t="s">
        <v>2134</v>
      </c>
      <c r="B331" s="2" t="b">
        <v>1</v>
      </c>
      <c r="C331" s="2" t="s">
        <v>2135</v>
      </c>
      <c r="D331" s="2">
        <v>3</v>
      </c>
      <c r="E331" s="2">
        <v>2</v>
      </c>
      <c r="F331" s="2" t="s">
        <v>1503</v>
      </c>
    </row>
    <row r="332" spans="1:6" ht="75" x14ac:dyDescent="0.25">
      <c r="A332" s="2" t="s">
        <v>2136</v>
      </c>
      <c r="B332" s="2" t="b">
        <v>1</v>
      </c>
      <c r="C332" s="2" t="s">
        <v>2137</v>
      </c>
      <c r="D332" s="2">
        <v>3</v>
      </c>
      <c r="E332" s="2">
        <v>2</v>
      </c>
      <c r="F332" s="2" t="s">
        <v>1503</v>
      </c>
    </row>
    <row r="333" spans="1:6" ht="75" x14ac:dyDescent="0.25">
      <c r="A333" s="2" t="s">
        <v>1236</v>
      </c>
      <c r="B333" s="2" t="b">
        <v>1</v>
      </c>
      <c r="C333" s="2" t="s">
        <v>2138</v>
      </c>
      <c r="D333" s="2">
        <v>5</v>
      </c>
      <c r="E333" s="2">
        <v>1</v>
      </c>
      <c r="F333" s="2" t="s">
        <v>1503</v>
      </c>
    </row>
    <row r="334" spans="1:6" ht="75" x14ac:dyDescent="0.25">
      <c r="A334" s="2" t="s">
        <v>1233</v>
      </c>
      <c r="B334" s="2" t="b">
        <v>1</v>
      </c>
      <c r="C334" s="2" t="s">
        <v>2139</v>
      </c>
      <c r="D334" s="2">
        <v>5</v>
      </c>
      <c r="E334" s="2">
        <v>1</v>
      </c>
      <c r="F334" s="2" t="s">
        <v>1503</v>
      </c>
    </row>
    <row r="335" spans="1:6" ht="75" x14ac:dyDescent="0.25">
      <c r="A335" s="2" t="s">
        <v>1234</v>
      </c>
      <c r="B335" s="2" t="b">
        <v>1</v>
      </c>
      <c r="C335" s="2" t="s">
        <v>2140</v>
      </c>
      <c r="D335" s="2">
        <v>5</v>
      </c>
      <c r="E335" s="2">
        <v>1</v>
      </c>
      <c r="F335" s="2" t="s">
        <v>1503</v>
      </c>
    </row>
    <row r="336" spans="1:6" ht="75" x14ac:dyDescent="0.25">
      <c r="A336" s="2" t="s">
        <v>1237</v>
      </c>
      <c r="B336" s="2" t="b">
        <v>1</v>
      </c>
      <c r="C336" s="2" t="s">
        <v>2141</v>
      </c>
      <c r="D336" s="2">
        <v>5</v>
      </c>
      <c r="E336" s="2">
        <v>1</v>
      </c>
      <c r="F336" s="2" t="s">
        <v>1503</v>
      </c>
    </row>
    <row r="337" spans="1:6" ht="75" x14ac:dyDescent="0.25">
      <c r="A337" s="2" t="s">
        <v>1226</v>
      </c>
      <c r="B337" s="2" t="b">
        <v>1</v>
      </c>
      <c r="C337" s="2" t="s">
        <v>2142</v>
      </c>
      <c r="D337" s="2">
        <v>6</v>
      </c>
      <c r="E337" s="2">
        <v>1</v>
      </c>
      <c r="F337" s="2" t="s">
        <v>1503</v>
      </c>
    </row>
    <row r="338" spans="1:6" ht="75" x14ac:dyDescent="0.25">
      <c r="A338" s="2" t="s">
        <v>2143</v>
      </c>
      <c r="B338" s="2" t="b">
        <v>0</v>
      </c>
      <c r="C338" s="2" t="s">
        <v>2144</v>
      </c>
      <c r="D338" s="2">
        <v>4</v>
      </c>
      <c r="E338" s="2">
        <v>2</v>
      </c>
      <c r="F338" s="2" t="s">
        <v>1503</v>
      </c>
    </row>
    <row r="339" spans="1:6" ht="75" x14ac:dyDescent="0.25">
      <c r="A339" s="2" t="s">
        <v>2145</v>
      </c>
      <c r="B339" s="2" t="b">
        <v>0</v>
      </c>
      <c r="C339" s="2" t="s">
        <v>2146</v>
      </c>
      <c r="D339" s="2">
        <v>4</v>
      </c>
      <c r="E339" s="2">
        <v>2</v>
      </c>
      <c r="F339" s="2" t="s">
        <v>1503</v>
      </c>
    </row>
    <row r="340" spans="1:6" ht="75" x14ac:dyDescent="0.25">
      <c r="A340" s="2" t="s">
        <v>2147</v>
      </c>
      <c r="B340" s="2" t="b">
        <v>0</v>
      </c>
      <c r="C340" s="2" t="s">
        <v>2148</v>
      </c>
      <c r="D340" s="2">
        <v>4</v>
      </c>
      <c r="E340" s="2">
        <v>2</v>
      </c>
      <c r="F340" s="2" t="s">
        <v>1503</v>
      </c>
    </row>
    <row r="341" spans="1:6" ht="75" x14ac:dyDescent="0.25">
      <c r="A341" s="2" t="s">
        <v>1235</v>
      </c>
      <c r="B341" s="2" t="b">
        <v>1</v>
      </c>
      <c r="C341" s="2" t="s">
        <v>2149</v>
      </c>
      <c r="D341" s="2">
        <v>5</v>
      </c>
      <c r="E341" s="2">
        <v>1</v>
      </c>
      <c r="F341" s="2" t="s">
        <v>1503</v>
      </c>
    </row>
    <row r="342" spans="1:6" ht="75" x14ac:dyDescent="0.25">
      <c r="A342" s="2" t="s">
        <v>1238</v>
      </c>
      <c r="B342" s="2" t="b">
        <v>1</v>
      </c>
      <c r="C342" s="2" t="s">
        <v>2150</v>
      </c>
      <c r="D342" s="2">
        <v>5</v>
      </c>
      <c r="E342" s="2">
        <v>1</v>
      </c>
      <c r="F342" s="2" t="s">
        <v>1503</v>
      </c>
    </row>
    <row r="343" spans="1:6" ht="75" x14ac:dyDescent="0.25">
      <c r="A343" s="2" t="s">
        <v>1009</v>
      </c>
      <c r="B343" s="2" t="b">
        <v>1</v>
      </c>
      <c r="C343" s="2" t="s">
        <v>2151</v>
      </c>
      <c r="D343" s="2">
        <v>5</v>
      </c>
      <c r="E343" s="2">
        <v>1</v>
      </c>
      <c r="F343" s="2" t="s">
        <v>1503</v>
      </c>
    </row>
    <row r="344" spans="1:6" ht="75" x14ac:dyDescent="0.25">
      <c r="A344" s="2" t="s">
        <v>1008</v>
      </c>
      <c r="B344" s="2" t="b">
        <v>1</v>
      </c>
      <c r="C344" s="2" t="s">
        <v>2152</v>
      </c>
      <c r="D344" s="2">
        <v>5</v>
      </c>
      <c r="E344" s="2">
        <v>1</v>
      </c>
      <c r="F344" s="2" t="s">
        <v>1503</v>
      </c>
    </row>
    <row r="345" spans="1:6" ht="75" x14ac:dyDescent="0.25">
      <c r="A345" s="2" t="s">
        <v>2153</v>
      </c>
      <c r="B345" s="2" t="b">
        <v>1</v>
      </c>
      <c r="C345" s="2" t="s">
        <v>2154</v>
      </c>
      <c r="D345" s="2">
        <v>2</v>
      </c>
      <c r="E345" s="2">
        <v>1</v>
      </c>
      <c r="F345" s="2" t="s">
        <v>1503</v>
      </c>
    </row>
    <row r="346" spans="1:6" ht="75" x14ac:dyDescent="0.25">
      <c r="A346" s="2" t="s">
        <v>2155</v>
      </c>
      <c r="B346" s="2" t="b">
        <v>1</v>
      </c>
      <c r="C346" s="2" t="s">
        <v>2156</v>
      </c>
      <c r="D346" s="2">
        <v>2</v>
      </c>
      <c r="E346" s="2">
        <v>1</v>
      </c>
      <c r="F346" s="2" t="s">
        <v>1503</v>
      </c>
    </row>
    <row r="347" spans="1:6" ht="75" x14ac:dyDescent="0.25">
      <c r="A347" s="2" t="s">
        <v>2157</v>
      </c>
      <c r="B347" s="2" t="b">
        <v>1</v>
      </c>
      <c r="C347" s="2" t="s">
        <v>2158</v>
      </c>
      <c r="D347" s="2">
        <v>2</v>
      </c>
      <c r="E347" s="2">
        <v>1</v>
      </c>
      <c r="F347" s="2" t="s">
        <v>1503</v>
      </c>
    </row>
    <row r="348" spans="1:6" ht="75" x14ac:dyDescent="0.25">
      <c r="A348" s="2" t="s">
        <v>2159</v>
      </c>
      <c r="B348" s="2" t="b">
        <v>1</v>
      </c>
      <c r="C348" s="2" t="s">
        <v>2160</v>
      </c>
      <c r="D348" s="2">
        <v>4</v>
      </c>
      <c r="E348" s="2">
        <v>2</v>
      </c>
      <c r="F348" s="2" t="s">
        <v>1503</v>
      </c>
    </row>
    <row r="349" spans="1:6" ht="75" x14ac:dyDescent="0.25">
      <c r="A349" s="2" t="s">
        <v>2161</v>
      </c>
      <c r="B349" s="2" t="b">
        <v>1</v>
      </c>
      <c r="C349" s="2" t="s">
        <v>2162</v>
      </c>
      <c r="D349" s="2">
        <v>3</v>
      </c>
      <c r="E349" s="2">
        <v>2</v>
      </c>
      <c r="F349" s="2" t="s">
        <v>1503</v>
      </c>
    </row>
    <row r="350" spans="1:6" ht="75" x14ac:dyDescent="0.25">
      <c r="A350" s="2" t="s">
        <v>2163</v>
      </c>
      <c r="B350" s="2" t="b">
        <v>1</v>
      </c>
      <c r="C350" s="2" t="s">
        <v>2164</v>
      </c>
      <c r="D350" s="2">
        <v>2</v>
      </c>
      <c r="E350" s="2">
        <v>1</v>
      </c>
      <c r="F350" s="2" t="s">
        <v>1503</v>
      </c>
    </row>
    <row r="351" spans="1:6" ht="75" x14ac:dyDescent="0.25">
      <c r="A351" s="2" t="s">
        <v>2165</v>
      </c>
      <c r="B351" s="2" t="b">
        <v>1</v>
      </c>
      <c r="C351" s="2" t="s">
        <v>2164</v>
      </c>
      <c r="D351" s="2">
        <v>2</v>
      </c>
      <c r="E351" s="2">
        <v>1</v>
      </c>
      <c r="F351" s="2" t="s">
        <v>1503</v>
      </c>
    </row>
    <row r="352" spans="1:6" ht="75" x14ac:dyDescent="0.25">
      <c r="A352" s="2" t="s">
        <v>2166</v>
      </c>
      <c r="B352" s="2" t="b">
        <v>1</v>
      </c>
      <c r="C352" s="2" t="s">
        <v>2164</v>
      </c>
      <c r="D352" s="2">
        <v>2</v>
      </c>
      <c r="E352" s="2">
        <v>1</v>
      </c>
      <c r="F352" s="2" t="s">
        <v>1503</v>
      </c>
    </row>
    <row r="353" spans="1:6" ht="75" x14ac:dyDescent="0.25">
      <c r="A353" s="2" t="s">
        <v>499</v>
      </c>
      <c r="B353" s="2" t="b">
        <v>1</v>
      </c>
      <c r="C353" s="2" t="s">
        <v>2167</v>
      </c>
      <c r="D353" s="2">
        <v>6</v>
      </c>
      <c r="E353" s="2">
        <v>1</v>
      </c>
      <c r="F353" s="2" t="s">
        <v>1503</v>
      </c>
    </row>
    <row r="354" spans="1:6" ht="75" x14ac:dyDescent="0.25">
      <c r="A354" s="2" t="s">
        <v>277</v>
      </c>
      <c r="B354" s="2" t="b">
        <v>1</v>
      </c>
      <c r="C354" s="2" t="s">
        <v>2167</v>
      </c>
      <c r="D354" s="2">
        <v>6</v>
      </c>
      <c r="E354" s="2">
        <v>1</v>
      </c>
      <c r="F354" s="2" t="s">
        <v>1503</v>
      </c>
    </row>
    <row r="355" spans="1:6" ht="75" x14ac:dyDescent="0.25">
      <c r="A355" s="2" t="s">
        <v>2168</v>
      </c>
      <c r="B355" s="2" t="b">
        <v>1</v>
      </c>
      <c r="C355" s="2" t="s">
        <v>2169</v>
      </c>
      <c r="D355" s="2">
        <v>3</v>
      </c>
      <c r="E355" s="2">
        <v>2</v>
      </c>
      <c r="F355" s="2" t="s">
        <v>1503</v>
      </c>
    </row>
    <row r="356" spans="1:6" ht="75" x14ac:dyDescent="0.25">
      <c r="A356" s="2" t="s">
        <v>2170</v>
      </c>
      <c r="B356" s="2" t="b">
        <v>1</v>
      </c>
      <c r="C356" s="2" t="s">
        <v>2171</v>
      </c>
      <c r="D356" s="2">
        <v>3</v>
      </c>
      <c r="E356" s="2">
        <v>2</v>
      </c>
      <c r="F356" s="2" t="s">
        <v>1503</v>
      </c>
    </row>
    <row r="357" spans="1:6" ht="75" x14ac:dyDescent="0.25">
      <c r="A357" s="2" t="s">
        <v>2172</v>
      </c>
      <c r="B357" s="2" t="b">
        <v>1</v>
      </c>
      <c r="C357" s="2" t="s">
        <v>2171</v>
      </c>
      <c r="D357" s="2">
        <v>3</v>
      </c>
      <c r="E357" s="2">
        <v>2</v>
      </c>
      <c r="F357" s="2" t="s">
        <v>1503</v>
      </c>
    </row>
    <row r="358" spans="1:6" ht="75" x14ac:dyDescent="0.25">
      <c r="A358" s="2" t="s">
        <v>2173</v>
      </c>
      <c r="B358" s="2" t="b">
        <v>1</v>
      </c>
      <c r="C358" s="2" t="s">
        <v>2174</v>
      </c>
      <c r="D358" s="2">
        <v>4</v>
      </c>
      <c r="E358" s="2">
        <v>2</v>
      </c>
      <c r="F358" s="2" t="s">
        <v>1503</v>
      </c>
    </row>
    <row r="359" spans="1:6" ht="75" x14ac:dyDescent="0.25">
      <c r="A359" s="2" t="s">
        <v>2175</v>
      </c>
      <c r="B359" s="2" t="b">
        <v>1</v>
      </c>
      <c r="C359" s="2" t="s">
        <v>2174</v>
      </c>
      <c r="D359" s="2">
        <v>4</v>
      </c>
      <c r="E359" s="2">
        <v>2</v>
      </c>
      <c r="F359" s="2" t="s">
        <v>1503</v>
      </c>
    </row>
    <row r="360" spans="1:6" ht="75" x14ac:dyDescent="0.25">
      <c r="A360" s="2" t="s">
        <v>2176</v>
      </c>
      <c r="B360" s="2" t="b">
        <v>0</v>
      </c>
      <c r="C360" s="2" t="s">
        <v>2177</v>
      </c>
      <c r="D360" s="2">
        <v>4</v>
      </c>
      <c r="E360" s="2">
        <v>3</v>
      </c>
      <c r="F360" s="2" t="s">
        <v>1503</v>
      </c>
    </row>
    <row r="361" spans="1:6" ht="75" x14ac:dyDescent="0.25">
      <c r="A361" s="2" t="s">
        <v>2178</v>
      </c>
      <c r="B361" s="2" t="b">
        <v>0</v>
      </c>
      <c r="C361" s="2" t="s">
        <v>2179</v>
      </c>
      <c r="D361" s="2">
        <v>4</v>
      </c>
      <c r="E361" s="2">
        <v>3</v>
      </c>
      <c r="F361" s="2" t="s">
        <v>1503</v>
      </c>
    </row>
    <row r="362" spans="1:6" ht="75" x14ac:dyDescent="0.25">
      <c r="A362" s="2" t="s">
        <v>2180</v>
      </c>
      <c r="B362" s="2" t="b">
        <v>0</v>
      </c>
      <c r="C362" s="2" t="s">
        <v>2181</v>
      </c>
      <c r="D362" s="2">
        <v>4</v>
      </c>
      <c r="E362" s="2">
        <v>3</v>
      </c>
      <c r="F362" s="2" t="s">
        <v>1503</v>
      </c>
    </row>
    <row r="363" spans="1:6" ht="75" x14ac:dyDescent="0.25">
      <c r="A363" s="2" t="s">
        <v>2182</v>
      </c>
      <c r="B363" s="2" t="b">
        <v>0</v>
      </c>
      <c r="C363" s="2" t="s">
        <v>2183</v>
      </c>
      <c r="D363" s="2">
        <v>4</v>
      </c>
      <c r="E363" s="2">
        <v>3</v>
      </c>
      <c r="F363" s="2" t="s">
        <v>1503</v>
      </c>
    </row>
    <row r="364" spans="1:6" ht="75" x14ac:dyDescent="0.25">
      <c r="A364" s="2" t="s">
        <v>2184</v>
      </c>
      <c r="B364" s="2" t="b">
        <v>0</v>
      </c>
      <c r="C364" s="2" t="s">
        <v>2185</v>
      </c>
      <c r="D364" s="2">
        <v>4</v>
      </c>
      <c r="E364" s="2">
        <v>3</v>
      </c>
      <c r="F364" s="2" t="s">
        <v>1503</v>
      </c>
    </row>
    <row r="365" spans="1:6" ht="75" x14ac:dyDescent="0.25">
      <c r="A365" s="2" t="s">
        <v>2186</v>
      </c>
      <c r="B365" s="2" t="b">
        <v>0</v>
      </c>
      <c r="C365" s="2" t="s">
        <v>2187</v>
      </c>
      <c r="D365" s="2">
        <v>4</v>
      </c>
      <c r="E365" s="2">
        <v>3</v>
      </c>
      <c r="F365" s="2" t="s">
        <v>1503</v>
      </c>
    </row>
    <row r="366" spans="1:6" ht="75" x14ac:dyDescent="0.25">
      <c r="A366" s="2" t="s">
        <v>2188</v>
      </c>
      <c r="B366" s="2" t="b">
        <v>0</v>
      </c>
      <c r="C366" s="2" t="s">
        <v>1935</v>
      </c>
      <c r="D366" s="2">
        <v>4</v>
      </c>
      <c r="E366" s="2">
        <v>3</v>
      </c>
      <c r="F366" s="2" t="s">
        <v>1503</v>
      </c>
    </row>
    <row r="367" spans="1:6" ht="75" x14ac:dyDescent="0.25">
      <c r="A367" s="2" t="s">
        <v>2189</v>
      </c>
      <c r="B367" s="2" t="b">
        <v>0</v>
      </c>
      <c r="C367" s="2" t="s">
        <v>1937</v>
      </c>
      <c r="D367" s="2">
        <v>4</v>
      </c>
      <c r="E367" s="2">
        <v>3</v>
      </c>
      <c r="F367" s="2" t="s">
        <v>1503</v>
      </c>
    </row>
    <row r="368" spans="1:6" ht="75" x14ac:dyDescent="0.25">
      <c r="A368" s="2" t="s">
        <v>2190</v>
      </c>
      <c r="B368" s="2" t="b">
        <v>0</v>
      </c>
      <c r="C368" s="2" t="s">
        <v>1939</v>
      </c>
      <c r="D368" s="2">
        <v>4</v>
      </c>
      <c r="E368" s="2">
        <v>3</v>
      </c>
      <c r="F368" s="2" t="s">
        <v>1503</v>
      </c>
    </row>
    <row r="369" spans="1:6" ht="75" x14ac:dyDescent="0.25">
      <c r="A369" s="2" t="s">
        <v>2191</v>
      </c>
      <c r="B369" s="2" t="b">
        <v>0</v>
      </c>
      <c r="C369" s="2" t="s">
        <v>1941</v>
      </c>
      <c r="D369" s="2">
        <v>4</v>
      </c>
      <c r="E369" s="2">
        <v>3</v>
      </c>
      <c r="F369" s="2" t="s">
        <v>1503</v>
      </c>
    </row>
    <row r="370" spans="1:6" ht="75" x14ac:dyDescent="0.25">
      <c r="A370" s="2" t="s">
        <v>2192</v>
      </c>
      <c r="B370" s="2" t="b">
        <v>0</v>
      </c>
      <c r="C370" s="2" t="s">
        <v>2193</v>
      </c>
      <c r="D370" s="2">
        <v>4</v>
      </c>
      <c r="E370" s="2">
        <v>3</v>
      </c>
      <c r="F370" s="2" t="s">
        <v>1503</v>
      </c>
    </row>
    <row r="371" spans="1:6" ht="75" x14ac:dyDescent="0.25">
      <c r="A371" s="2" t="s">
        <v>2194</v>
      </c>
      <c r="B371" s="2" t="b">
        <v>0</v>
      </c>
      <c r="C371" s="2" t="s">
        <v>2195</v>
      </c>
      <c r="D371" s="2">
        <v>4</v>
      </c>
      <c r="E371" s="2">
        <v>3</v>
      </c>
      <c r="F371" s="2" t="s">
        <v>1503</v>
      </c>
    </row>
    <row r="372" spans="1:6" ht="75" x14ac:dyDescent="0.25">
      <c r="A372" s="2" t="s">
        <v>2196</v>
      </c>
      <c r="B372" s="2" t="b">
        <v>0</v>
      </c>
      <c r="C372" s="2" t="s">
        <v>2197</v>
      </c>
      <c r="D372" s="2">
        <v>4</v>
      </c>
      <c r="E372" s="2">
        <v>3</v>
      </c>
      <c r="F372" s="2" t="s">
        <v>1503</v>
      </c>
    </row>
    <row r="373" spans="1:6" ht="75" x14ac:dyDescent="0.25">
      <c r="A373" s="2" t="s">
        <v>2198</v>
      </c>
      <c r="B373" s="2" t="b">
        <v>0</v>
      </c>
      <c r="C373" s="2" t="s">
        <v>2199</v>
      </c>
      <c r="D373" s="2">
        <v>4</v>
      </c>
      <c r="E373" s="2">
        <v>3</v>
      </c>
      <c r="F373" s="2" t="s">
        <v>1503</v>
      </c>
    </row>
    <row r="374" spans="1:6" ht="75" x14ac:dyDescent="0.25">
      <c r="A374" s="2" t="s">
        <v>2200</v>
      </c>
      <c r="B374" s="2" t="b">
        <v>0</v>
      </c>
      <c r="C374" s="2" t="s">
        <v>2015</v>
      </c>
      <c r="D374" s="2">
        <v>4</v>
      </c>
      <c r="E374" s="2">
        <v>3</v>
      </c>
      <c r="F374" s="2" t="s">
        <v>1503</v>
      </c>
    </row>
    <row r="375" spans="1:6" ht="75" x14ac:dyDescent="0.25">
      <c r="A375" s="2" t="s">
        <v>2201</v>
      </c>
      <c r="B375" s="2" t="b">
        <v>1</v>
      </c>
      <c r="C375" s="2" t="s">
        <v>2202</v>
      </c>
      <c r="D375" s="2">
        <v>3</v>
      </c>
      <c r="E375" s="2">
        <v>2</v>
      </c>
      <c r="F375" s="2" t="s">
        <v>1503</v>
      </c>
    </row>
    <row r="376" spans="1:6" ht="75" x14ac:dyDescent="0.25">
      <c r="A376" s="2" t="s">
        <v>2203</v>
      </c>
      <c r="B376" s="2" t="b">
        <v>1</v>
      </c>
      <c r="C376" s="2" t="s">
        <v>2204</v>
      </c>
      <c r="D376" s="2">
        <v>3</v>
      </c>
      <c r="E376" s="2">
        <v>2</v>
      </c>
      <c r="F376" s="2" t="s">
        <v>1503</v>
      </c>
    </row>
    <row r="377" spans="1:6" ht="75" x14ac:dyDescent="0.25">
      <c r="A377" s="2" t="s">
        <v>2205</v>
      </c>
      <c r="B377" s="2" t="b">
        <v>1</v>
      </c>
      <c r="C377" s="2" t="s">
        <v>2206</v>
      </c>
      <c r="D377" s="2">
        <v>3</v>
      </c>
      <c r="E377" s="2">
        <v>2</v>
      </c>
      <c r="F377" s="2" t="s">
        <v>1503</v>
      </c>
    </row>
    <row r="378" spans="1:6" ht="75" x14ac:dyDescent="0.25">
      <c r="A378" s="2" t="s">
        <v>2207</v>
      </c>
      <c r="B378" s="2" t="b">
        <v>1</v>
      </c>
      <c r="C378" s="2" t="s">
        <v>2208</v>
      </c>
      <c r="D378" s="2">
        <v>4</v>
      </c>
      <c r="E378" s="2">
        <v>2</v>
      </c>
      <c r="F378" s="2" t="s">
        <v>1503</v>
      </c>
    </row>
    <row r="379" spans="1:6" ht="75" x14ac:dyDescent="0.25">
      <c r="A379" s="2" t="s">
        <v>2209</v>
      </c>
      <c r="B379" s="2" t="b">
        <v>0</v>
      </c>
      <c r="C379" s="2" t="s">
        <v>2210</v>
      </c>
      <c r="D379" s="2">
        <v>4</v>
      </c>
      <c r="E379" s="2">
        <v>2</v>
      </c>
      <c r="F379" s="2" t="s">
        <v>1503</v>
      </c>
    </row>
    <row r="380" spans="1:6" ht="75" x14ac:dyDescent="0.25">
      <c r="A380" s="2" t="s">
        <v>2211</v>
      </c>
      <c r="B380" s="2" t="b">
        <v>1</v>
      </c>
      <c r="C380" s="2" t="s">
        <v>2212</v>
      </c>
      <c r="D380" s="2">
        <v>4</v>
      </c>
      <c r="E380" s="2">
        <v>2</v>
      </c>
      <c r="F380" s="2" t="s">
        <v>1503</v>
      </c>
    </row>
    <row r="381" spans="1:6" ht="75" x14ac:dyDescent="0.25">
      <c r="A381" s="2" t="s">
        <v>2213</v>
      </c>
      <c r="B381" s="2" t="b">
        <v>1</v>
      </c>
      <c r="C381" s="2" t="s">
        <v>2214</v>
      </c>
      <c r="D381" s="2">
        <v>4</v>
      </c>
      <c r="E381" s="2">
        <v>2</v>
      </c>
      <c r="F381" s="2" t="s">
        <v>1503</v>
      </c>
    </row>
    <row r="382" spans="1:6" ht="75" x14ac:dyDescent="0.25">
      <c r="A382" s="2" t="s">
        <v>2215</v>
      </c>
      <c r="B382" s="2" t="b">
        <v>1</v>
      </c>
      <c r="C382" s="2" t="s">
        <v>2216</v>
      </c>
      <c r="D382" s="2">
        <v>4</v>
      </c>
      <c r="E382" s="2">
        <v>2</v>
      </c>
      <c r="F382" s="2" t="s">
        <v>1503</v>
      </c>
    </row>
    <row r="383" spans="1:6" ht="75" x14ac:dyDescent="0.25">
      <c r="A383" s="2" t="s">
        <v>2217</v>
      </c>
      <c r="B383" s="2" t="b">
        <v>1</v>
      </c>
      <c r="C383" s="2" t="s">
        <v>2218</v>
      </c>
      <c r="D383" s="2">
        <v>4</v>
      </c>
      <c r="E383" s="2">
        <v>0</v>
      </c>
      <c r="F383" s="2" t="s">
        <v>1503</v>
      </c>
    </row>
    <row r="384" spans="1:6" ht="75" x14ac:dyDescent="0.25">
      <c r="A384" s="2" t="s">
        <v>2219</v>
      </c>
      <c r="B384" s="2" t="b">
        <v>1</v>
      </c>
      <c r="C384" s="2" t="s">
        <v>2220</v>
      </c>
      <c r="D384" s="2">
        <v>4</v>
      </c>
      <c r="E384" s="2">
        <v>2</v>
      </c>
      <c r="F384" s="2" t="s">
        <v>1503</v>
      </c>
    </row>
    <row r="385" spans="1:6" ht="75" x14ac:dyDescent="0.25">
      <c r="A385" s="2" t="s">
        <v>2221</v>
      </c>
      <c r="B385" s="2" t="b">
        <v>1</v>
      </c>
      <c r="C385" s="2" t="s">
        <v>2214</v>
      </c>
      <c r="D385" s="2">
        <v>4</v>
      </c>
      <c r="E385" s="2">
        <v>2</v>
      </c>
      <c r="F385" s="2" t="s">
        <v>1503</v>
      </c>
    </row>
    <row r="386" spans="1:6" ht="75" x14ac:dyDescent="0.25">
      <c r="A386" s="2" t="s">
        <v>2222</v>
      </c>
      <c r="B386" s="2" t="b">
        <v>1</v>
      </c>
      <c r="C386" s="2" t="s">
        <v>2223</v>
      </c>
      <c r="D386" s="2">
        <v>4</v>
      </c>
      <c r="E386" s="2">
        <v>2</v>
      </c>
      <c r="F386" s="2" t="s">
        <v>1503</v>
      </c>
    </row>
    <row r="387" spans="1:6" ht="75" x14ac:dyDescent="0.25">
      <c r="A387" s="2" t="s">
        <v>2224</v>
      </c>
      <c r="B387" s="2" t="b">
        <v>1</v>
      </c>
      <c r="C387" s="2" t="s">
        <v>2225</v>
      </c>
      <c r="D387" s="2">
        <v>3</v>
      </c>
      <c r="E387" s="2">
        <v>2</v>
      </c>
      <c r="F387" s="2" t="s">
        <v>1503</v>
      </c>
    </row>
    <row r="388" spans="1:6" ht="75" x14ac:dyDescent="0.25">
      <c r="A388" s="2" t="s">
        <v>2226</v>
      </c>
      <c r="B388" s="2" t="b">
        <v>1</v>
      </c>
      <c r="C388" s="2" t="s">
        <v>2227</v>
      </c>
      <c r="D388" s="2">
        <v>4</v>
      </c>
      <c r="E388" s="2">
        <v>2</v>
      </c>
      <c r="F388" s="2" t="s">
        <v>1503</v>
      </c>
    </row>
    <row r="389" spans="1:6" ht="75" x14ac:dyDescent="0.25">
      <c r="A389" s="2" t="s">
        <v>2228</v>
      </c>
      <c r="B389" s="2" t="b">
        <v>1</v>
      </c>
      <c r="C389" s="2" t="s">
        <v>2229</v>
      </c>
      <c r="D389" s="2">
        <v>4</v>
      </c>
      <c r="E389" s="2">
        <v>2</v>
      </c>
      <c r="F389" s="2" t="s">
        <v>1503</v>
      </c>
    </row>
    <row r="390" spans="1:6" ht="75" x14ac:dyDescent="0.25">
      <c r="A390" s="2" t="s">
        <v>2230</v>
      </c>
      <c r="B390" s="2" t="b">
        <v>1</v>
      </c>
      <c r="C390" s="2" t="s">
        <v>2231</v>
      </c>
      <c r="D390" s="2">
        <v>4</v>
      </c>
      <c r="E390" s="2">
        <v>2</v>
      </c>
      <c r="F390" s="2" t="s">
        <v>1503</v>
      </c>
    </row>
    <row r="391" spans="1:6" ht="75" x14ac:dyDescent="0.25">
      <c r="A391" s="2" t="s">
        <v>2232</v>
      </c>
      <c r="B391" s="2" t="b">
        <v>1</v>
      </c>
      <c r="C391" s="2" t="s">
        <v>2233</v>
      </c>
      <c r="D391" s="2">
        <v>4</v>
      </c>
      <c r="E391" s="2">
        <v>2</v>
      </c>
      <c r="F391" s="2" t="s">
        <v>1503</v>
      </c>
    </row>
    <row r="392" spans="1:6" ht="75" x14ac:dyDescent="0.25">
      <c r="A392" s="2" t="s">
        <v>2234</v>
      </c>
      <c r="B392" s="2" t="b">
        <v>1</v>
      </c>
      <c r="C392" s="2" t="s">
        <v>2235</v>
      </c>
      <c r="D392" s="2">
        <v>3</v>
      </c>
      <c r="E392" s="2">
        <v>2</v>
      </c>
      <c r="F392" s="2" t="s">
        <v>1503</v>
      </c>
    </row>
    <row r="393" spans="1:6" ht="75" x14ac:dyDescent="0.25">
      <c r="A393" s="2" t="s">
        <v>2236</v>
      </c>
      <c r="B393" s="2" t="b">
        <v>1</v>
      </c>
      <c r="C393" s="2" t="s">
        <v>2237</v>
      </c>
      <c r="D393" s="2">
        <v>3</v>
      </c>
      <c r="E393" s="2">
        <v>2</v>
      </c>
      <c r="F393" s="2" t="s">
        <v>1503</v>
      </c>
    </row>
    <row r="394" spans="1:6" ht="75" x14ac:dyDescent="0.25">
      <c r="A394" s="2" t="s">
        <v>2238</v>
      </c>
      <c r="B394" s="2" t="b">
        <v>1</v>
      </c>
      <c r="C394" s="2" t="s">
        <v>2239</v>
      </c>
      <c r="D394" s="2">
        <v>4</v>
      </c>
      <c r="E394" s="2">
        <v>2</v>
      </c>
      <c r="F394" s="2" t="s">
        <v>1503</v>
      </c>
    </row>
    <row r="395" spans="1:6" ht="75" x14ac:dyDescent="0.25">
      <c r="A395" s="2" t="s">
        <v>2240</v>
      </c>
      <c r="B395" s="2" t="b">
        <v>1</v>
      </c>
      <c r="C395" s="2" t="s">
        <v>2241</v>
      </c>
      <c r="D395" s="2">
        <v>4</v>
      </c>
      <c r="E395" s="2">
        <v>2</v>
      </c>
      <c r="F395" s="2" t="s">
        <v>1503</v>
      </c>
    </row>
    <row r="396" spans="1:6" ht="75" x14ac:dyDescent="0.25">
      <c r="A396" s="2" t="s">
        <v>2242</v>
      </c>
      <c r="B396" s="2" t="b">
        <v>1</v>
      </c>
      <c r="C396" s="2" t="s">
        <v>2243</v>
      </c>
      <c r="D396" s="2">
        <v>4</v>
      </c>
      <c r="E396" s="2">
        <v>2</v>
      </c>
      <c r="F396" s="2" t="s">
        <v>1503</v>
      </c>
    </row>
    <row r="397" spans="1:6" ht="75" x14ac:dyDescent="0.25">
      <c r="A397" s="2" t="s">
        <v>2244</v>
      </c>
      <c r="B397" s="2" t="b">
        <v>1</v>
      </c>
      <c r="C397" s="2" t="s">
        <v>2245</v>
      </c>
      <c r="D397" s="2">
        <v>4</v>
      </c>
      <c r="E397" s="2">
        <v>2</v>
      </c>
      <c r="F397" s="2" t="s">
        <v>1503</v>
      </c>
    </row>
    <row r="398" spans="1:6" ht="75" x14ac:dyDescent="0.25">
      <c r="A398" s="2" t="s">
        <v>2246</v>
      </c>
      <c r="B398" s="2" t="b">
        <v>1</v>
      </c>
      <c r="C398" s="2" t="s">
        <v>2247</v>
      </c>
      <c r="D398" s="2">
        <v>2</v>
      </c>
      <c r="E398" s="2">
        <v>2</v>
      </c>
      <c r="F398" s="2" t="s">
        <v>1503</v>
      </c>
    </row>
    <row r="399" spans="1:6" ht="75" x14ac:dyDescent="0.25">
      <c r="A399" s="2" t="s">
        <v>2248</v>
      </c>
      <c r="B399" s="2" t="b">
        <v>1</v>
      </c>
      <c r="C399" s="2" t="s">
        <v>2249</v>
      </c>
      <c r="D399" s="2">
        <v>4</v>
      </c>
      <c r="E399" s="2">
        <v>2</v>
      </c>
      <c r="F399" s="2" t="s">
        <v>1503</v>
      </c>
    </row>
    <row r="400" spans="1:6" ht="75" x14ac:dyDescent="0.25">
      <c r="A400" s="2" t="s">
        <v>2250</v>
      </c>
      <c r="B400" s="2" t="b">
        <v>1</v>
      </c>
      <c r="C400" s="2" t="s">
        <v>2251</v>
      </c>
      <c r="D400" s="2">
        <v>4</v>
      </c>
      <c r="E400" s="2">
        <v>2</v>
      </c>
      <c r="F400" s="2" t="s">
        <v>1503</v>
      </c>
    </row>
    <row r="401" spans="1:6" ht="75" x14ac:dyDescent="0.25">
      <c r="A401" s="2" t="s">
        <v>2252</v>
      </c>
      <c r="B401" s="2" t="b">
        <v>1</v>
      </c>
      <c r="C401" s="2" t="s">
        <v>2253</v>
      </c>
      <c r="D401" s="2">
        <v>4</v>
      </c>
      <c r="E401" s="2">
        <v>2</v>
      </c>
      <c r="F401" s="2" t="s">
        <v>1503</v>
      </c>
    </row>
    <row r="402" spans="1:6" ht="75" x14ac:dyDescent="0.25">
      <c r="A402" s="2" t="s">
        <v>2254</v>
      </c>
      <c r="B402" s="2" t="b">
        <v>0</v>
      </c>
      <c r="C402" s="2" t="s">
        <v>2255</v>
      </c>
      <c r="D402" s="2">
        <v>4</v>
      </c>
      <c r="E402" s="2">
        <v>2</v>
      </c>
      <c r="F402" s="2" t="s">
        <v>1503</v>
      </c>
    </row>
    <row r="403" spans="1:6" ht="75" x14ac:dyDescent="0.25">
      <c r="A403" s="2" t="s">
        <v>2256</v>
      </c>
      <c r="B403" s="2" t="b">
        <v>1</v>
      </c>
      <c r="C403" s="2" t="s">
        <v>2257</v>
      </c>
      <c r="D403" s="2">
        <v>4</v>
      </c>
      <c r="E403" s="2">
        <v>2</v>
      </c>
      <c r="F403" s="2" t="s">
        <v>1503</v>
      </c>
    </row>
    <row r="404" spans="1:6" ht="75" x14ac:dyDescent="0.25">
      <c r="A404" s="2" t="s">
        <v>2258</v>
      </c>
      <c r="B404" s="2" t="b">
        <v>1</v>
      </c>
      <c r="C404" s="2" t="s">
        <v>2259</v>
      </c>
      <c r="D404" s="2">
        <v>4</v>
      </c>
      <c r="E404" s="2">
        <v>2</v>
      </c>
      <c r="F404" s="2" t="s">
        <v>1503</v>
      </c>
    </row>
    <row r="405" spans="1:6" ht="75" x14ac:dyDescent="0.25">
      <c r="A405" s="2" t="s">
        <v>2260</v>
      </c>
      <c r="B405" s="2" t="b">
        <v>1</v>
      </c>
      <c r="C405" s="2" t="s">
        <v>2261</v>
      </c>
      <c r="D405" s="2">
        <v>4</v>
      </c>
      <c r="E405" s="2">
        <v>2</v>
      </c>
      <c r="F405" s="2" t="s">
        <v>1503</v>
      </c>
    </row>
    <row r="406" spans="1:6" ht="75" x14ac:dyDescent="0.25">
      <c r="A406" s="2" t="s">
        <v>2262</v>
      </c>
      <c r="B406" s="2" t="b">
        <v>0</v>
      </c>
      <c r="C406" s="2" t="s">
        <v>2263</v>
      </c>
      <c r="D406" s="2">
        <v>4</v>
      </c>
      <c r="E406" s="2">
        <v>2</v>
      </c>
      <c r="F406" s="2" t="s">
        <v>1503</v>
      </c>
    </row>
    <row r="407" spans="1:6" ht="75" x14ac:dyDescent="0.25">
      <c r="A407" s="2" t="s">
        <v>2264</v>
      </c>
      <c r="B407" s="2" t="b">
        <v>1</v>
      </c>
      <c r="C407" s="2" t="s">
        <v>2265</v>
      </c>
      <c r="D407" s="2">
        <v>4</v>
      </c>
      <c r="E407" s="2">
        <v>2</v>
      </c>
      <c r="F407" s="2" t="s">
        <v>1503</v>
      </c>
    </row>
    <row r="408" spans="1:6" ht="75" x14ac:dyDescent="0.25">
      <c r="A408" s="2" t="s">
        <v>2266</v>
      </c>
      <c r="B408" s="2" t="b">
        <v>1</v>
      </c>
      <c r="C408" s="2" t="s">
        <v>2267</v>
      </c>
      <c r="D408" s="2">
        <v>4</v>
      </c>
      <c r="E408" s="2">
        <v>2</v>
      </c>
      <c r="F408" s="2" t="s">
        <v>1503</v>
      </c>
    </row>
    <row r="409" spans="1:6" ht="75" x14ac:dyDescent="0.25">
      <c r="A409" s="2" t="s">
        <v>2268</v>
      </c>
      <c r="B409" s="2" t="b">
        <v>1</v>
      </c>
      <c r="C409" s="2" t="s">
        <v>2269</v>
      </c>
      <c r="D409" s="2">
        <v>4</v>
      </c>
      <c r="E409" s="2">
        <v>2</v>
      </c>
      <c r="F409" s="2" t="s">
        <v>1503</v>
      </c>
    </row>
    <row r="410" spans="1:6" ht="75" x14ac:dyDescent="0.25">
      <c r="A410" s="2" t="s">
        <v>2270</v>
      </c>
      <c r="B410" s="2" t="b">
        <v>1</v>
      </c>
      <c r="C410" s="2" t="s">
        <v>2271</v>
      </c>
      <c r="D410" s="2">
        <v>4</v>
      </c>
      <c r="E410" s="2">
        <v>2</v>
      </c>
      <c r="F410" s="2" t="s">
        <v>1503</v>
      </c>
    </row>
    <row r="411" spans="1:6" ht="75" x14ac:dyDescent="0.25">
      <c r="A411" s="2" t="s">
        <v>2272</v>
      </c>
      <c r="B411" s="2" t="b">
        <v>1</v>
      </c>
      <c r="C411" s="2" t="s">
        <v>2273</v>
      </c>
      <c r="D411" s="2">
        <v>3</v>
      </c>
      <c r="E411" s="2">
        <v>2</v>
      </c>
      <c r="F411" s="2" t="s">
        <v>1503</v>
      </c>
    </row>
    <row r="412" spans="1:6" ht="75" x14ac:dyDescent="0.25">
      <c r="A412" s="2" t="s">
        <v>2274</v>
      </c>
      <c r="B412" s="2" t="b">
        <v>1</v>
      </c>
      <c r="C412" s="2" t="s">
        <v>2275</v>
      </c>
      <c r="D412" s="2">
        <v>3</v>
      </c>
      <c r="E412" s="2">
        <v>2</v>
      </c>
      <c r="F412" s="2" t="s">
        <v>1503</v>
      </c>
    </row>
    <row r="413" spans="1:6" ht="75" x14ac:dyDescent="0.25">
      <c r="A413" s="2" t="s">
        <v>2276</v>
      </c>
      <c r="B413" s="2" t="b">
        <v>1</v>
      </c>
      <c r="C413" s="2" t="s">
        <v>2277</v>
      </c>
      <c r="D413" s="2">
        <v>4</v>
      </c>
      <c r="E413" s="2">
        <v>2</v>
      </c>
      <c r="F413" s="2" t="s">
        <v>1503</v>
      </c>
    </row>
    <row r="414" spans="1:6" ht="75" x14ac:dyDescent="0.25">
      <c r="A414" s="2" t="s">
        <v>2278</v>
      </c>
      <c r="B414" s="2" t="b">
        <v>0</v>
      </c>
      <c r="C414" s="2" t="s">
        <v>2279</v>
      </c>
      <c r="D414" s="2">
        <v>4</v>
      </c>
      <c r="E414" s="2">
        <v>2</v>
      </c>
      <c r="F414" s="2" t="s">
        <v>1503</v>
      </c>
    </row>
    <row r="415" spans="1:6" ht="75" x14ac:dyDescent="0.25">
      <c r="A415" s="2" t="s">
        <v>2280</v>
      </c>
      <c r="B415" s="2" t="b">
        <v>1</v>
      </c>
      <c r="C415" s="2" t="s">
        <v>2281</v>
      </c>
      <c r="D415" s="2">
        <v>3</v>
      </c>
      <c r="E415" s="2">
        <v>2</v>
      </c>
      <c r="F415" s="2" t="s">
        <v>1503</v>
      </c>
    </row>
    <row r="416" spans="1:6" ht="75" x14ac:dyDescent="0.25">
      <c r="A416" s="2" t="s">
        <v>2282</v>
      </c>
      <c r="B416" s="2" t="b">
        <v>1</v>
      </c>
      <c r="C416" s="2" t="s">
        <v>2283</v>
      </c>
      <c r="D416" s="2">
        <v>4</v>
      </c>
      <c r="E416" s="2">
        <v>2</v>
      </c>
      <c r="F416" s="2" t="s">
        <v>1503</v>
      </c>
    </row>
    <row r="417" spans="1:6" ht="75" x14ac:dyDescent="0.25">
      <c r="A417" s="2" t="s">
        <v>2284</v>
      </c>
      <c r="B417" s="2" t="b">
        <v>1</v>
      </c>
      <c r="C417" s="2" t="s">
        <v>2285</v>
      </c>
      <c r="D417" s="2">
        <v>2</v>
      </c>
      <c r="E417" s="2">
        <v>2</v>
      </c>
      <c r="F417" s="2" t="s">
        <v>1503</v>
      </c>
    </row>
    <row r="418" spans="1:6" ht="75" x14ac:dyDescent="0.25">
      <c r="A418" s="2" t="s">
        <v>2286</v>
      </c>
      <c r="B418" s="2" t="b">
        <v>1</v>
      </c>
      <c r="C418" s="2" t="s">
        <v>2287</v>
      </c>
      <c r="D418" s="2">
        <v>4</v>
      </c>
      <c r="E418" s="2">
        <v>2</v>
      </c>
      <c r="F418" s="2" t="s">
        <v>1503</v>
      </c>
    </row>
    <row r="419" spans="1:6" ht="75" x14ac:dyDescent="0.25">
      <c r="A419" s="2" t="s">
        <v>2288</v>
      </c>
      <c r="B419" s="2" t="b">
        <v>1</v>
      </c>
      <c r="C419" s="2" t="s">
        <v>2289</v>
      </c>
      <c r="D419" s="2">
        <v>4</v>
      </c>
      <c r="E419" s="2">
        <v>2</v>
      </c>
      <c r="F419" s="2" t="s">
        <v>1503</v>
      </c>
    </row>
    <row r="420" spans="1:6" ht="75" x14ac:dyDescent="0.25">
      <c r="A420" s="2" t="s">
        <v>1082</v>
      </c>
      <c r="B420" s="2" t="b">
        <v>1</v>
      </c>
      <c r="C420" s="2" t="s">
        <v>2290</v>
      </c>
      <c r="D420" s="2">
        <v>7</v>
      </c>
      <c r="E420" s="2">
        <v>1</v>
      </c>
      <c r="F420" s="2" t="s">
        <v>1503</v>
      </c>
    </row>
    <row r="421" spans="1:6" ht="75" x14ac:dyDescent="0.25">
      <c r="A421" s="2" t="s">
        <v>1036</v>
      </c>
      <c r="B421" s="2" t="b">
        <v>1</v>
      </c>
      <c r="C421" s="2" t="s">
        <v>2291</v>
      </c>
      <c r="D421" s="2">
        <v>6</v>
      </c>
      <c r="E421" s="2">
        <v>1</v>
      </c>
      <c r="F421" s="2" t="s">
        <v>1503</v>
      </c>
    </row>
    <row r="422" spans="1:6" ht="75" x14ac:dyDescent="0.25">
      <c r="A422" s="2" t="s">
        <v>1037</v>
      </c>
      <c r="B422" s="2" t="b">
        <v>1</v>
      </c>
      <c r="C422" s="2" t="s">
        <v>2291</v>
      </c>
      <c r="D422" s="2">
        <v>6</v>
      </c>
      <c r="E422" s="2">
        <v>1</v>
      </c>
      <c r="F422" s="2" t="s">
        <v>1503</v>
      </c>
    </row>
    <row r="423" spans="1:6" ht="75" x14ac:dyDescent="0.25">
      <c r="A423" s="2" t="s">
        <v>1035</v>
      </c>
      <c r="B423" s="2" t="b">
        <v>1</v>
      </c>
      <c r="C423" s="2" t="s">
        <v>2291</v>
      </c>
      <c r="D423" s="2">
        <v>6</v>
      </c>
      <c r="E423" s="2">
        <v>1</v>
      </c>
      <c r="F423" s="2" t="s">
        <v>1503</v>
      </c>
    </row>
    <row r="424" spans="1:6" ht="75" x14ac:dyDescent="0.25">
      <c r="A424" s="2" t="s">
        <v>2292</v>
      </c>
      <c r="B424" s="2" t="b">
        <v>0</v>
      </c>
      <c r="C424" s="2" t="s">
        <v>2293</v>
      </c>
      <c r="D424" s="2">
        <v>3</v>
      </c>
      <c r="E424" s="2">
        <v>2</v>
      </c>
      <c r="F424" s="2" t="s">
        <v>1503</v>
      </c>
    </row>
    <row r="425" spans="1:6" ht="75" x14ac:dyDescent="0.25">
      <c r="A425" s="2" t="s">
        <v>2294</v>
      </c>
      <c r="B425" s="2" t="b">
        <v>0</v>
      </c>
      <c r="C425" s="2" t="s">
        <v>2293</v>
      </c>
      <c r="D425" s="2">
        <v>3</v>
      </c>
      <c r="E425" s="2">
        <v>2</v>
      </c>
      <c r="F425" s="2" t="s">
        <v>1503</v>
      </c>
    </row>
    <row r="426" spans="1:6" ht="75" x14ac:dyDescent="0.25">
      <c r="A426" s="2" t="s">
        <v>1064</v>
      </c>
      <c r="B426" s="2" t="b">
        <v>1</v>
      </c>
      <c r="C426" s="2" t="s">
        <v>2295</v>
      </c>
      <c r="D426" s="2">
        <v>6</v>
      </c>
      <c r="E426" s="2">
        <v>1</v>
      </c>
      <c r="F426" s="2" t="s">
        <v>1503</v>
      </c>
    </row>
    <row r="427" spans="1:6" ht="75" x14ac:dyDescent="0.25">
      <c r="A427" s="2" t="s">
        <v>2296</v>
      </c>
      <c r="B427" s="2" t="b">
        <v>0</v>
      </c>
      <c r="C427" s="2"/>
      <c r="D427" s="2">
        <v>8</v>
      </c>
      <c r="E427" s="2">
        <v>3</v>
      </c>
      <c r="F427" s="2" t="s">
        <v>1503</v>
      </c>
    </row>
    <row r="428" spans="1:6" ht="75" x14ac:dyDescent="0.25">
      <c r="A428" s="2" t="s">
        <v>377</v>
      </c>
      <c r="B428" s="2" t="b">
        <v>1</v>
      </c>
      <c r="C428" s="2"/>
      <c r="D428" s="2">
        <v>8</v>
      </c>
      <c r="E428" s="2">
        <v>3</v>
      </c>
      <c r="F428" s="2" t="s">
        <v>1503</v>
      </c>
    </row>
    <row r="429" spans="1:6" ht="75" x14ac:dyDescent="0.25">
      <c r="A429" s="2" t="s">
        <v>2297</v>
      </c>
      <c r="B429" s="2" t="b">
        <v>0</v>
      </c>
      <c r="C429" s="2"/>
      <c r="D429" s="2">
        <v>8</v>
      </c>
      <c r="E429" s="2">
        <v>3</v>
      </c>
      <c r="F429" s="2" t="s">
        <v>1503</v>
      </c>
    </row>
    <row r="430" spans="1:6" ht="75" x14ac:dyDescent="0.25">
      <c r="A430" s="2" t="s">
        <v>179</v>
      </c>
      <c r="B430" s="2" t="b">
        <v>1</v>
      </c>
      <c r="C430" s="2"/>
      <c r="D430" s="2">
        <v>8</v>
      </c>
      <c r="E430" s="2">
        <v>3</v>
      </c>
      <c r="F430" s="2" t="s">
        <v>1503</v>
      </c>
    </row>
    <row r="431" spans="1:6" ht="75" x14ac:dyDescent="0.25">
      <c r="A431" s="2" t="s">
        <v>2298</v>
      </c>
      <c r="B431" s="2" t="b">
        <v>0</v>
      </c>
      <c r="C431" s="2"/>
      <c r="D431" s="2">
        <v>8</v>
      </c>
      <c r="E431" s="2">
        <v>3</v>
      </c>
      <c r="F431" s="2" t="s">
        <v>1503</v>
      </c>
    </row>
    <row r="432" spans="1:6" ht="75" x14ac:dyDescent="0.25">
      <c r="A432" s="2" t="s">
        <v>2299</v>
      </c>
      <c r="B432" s="2" t="b">
        <v>0</v>
      </c>
      <c r="C432" s="2"/>
      <c r="D432" s="2">
        <v>8</v>
      </c>
      <c r="E432" s="2">
        <v>3</v>
      </c>
      <c r="F432" s="2" t="s">
        <v>1503</v>
      </c>
    </row>
    <row r="433" spans="1:6" ht="75" x14ac:dyDescent="0.25">
      <c r="A433" s="2" t="s">
        <v>454</v>
      </c>
      <c r="B433" s="2" t="b">
        <v>1</v>
      </c>
      <c r="C433" s="2"/>
      <c r="D433" s="2">
        <v>8</v>
      </c>
      <c r="E433" s="2">
        <v>3</v>
      </c>
      <c r="F433" s="2" t="s">
        <v>1503</v>
      </c>
    </row>
    <row r="434" spans="1:6" ht="75" x14ac:dyDescent="0.25">
      <c r="A434" s="2" t="s">
        <v>380</v>
      </c>
      <c r="B434" s="2" t="b">
        <v>1</v>
      </c>
      <c r="C434" s="2"/>
      <c r="D434" s="2">
        <v>8</v>
      </c>
      <c r="E434" s="2">
        <v>3</v>
      </c>
      <c r="F434" s="2" t="s">
        <v>1503</v>
      </c>
    </row>
    <row r="435" spans="1:6" ht="75" x14ac:dyDescent="0.25">
      <c r="A435" s="2" t="s">
        <v>2300</v>
      </c>
      <c r="B435" s="2" t="b">
        <v>0</v>
      </c>
      <c r="C435" s="2"/>
      <c r="D435" s="2">
        <v>8</v>
      </c>
      <c r="E435" s="2">
        <v>3</v>
      </c>
      <c r="F435" s="2" t="s">
        <v>1503</v>
      </c>
    </row>
    <row r="436" spans="1:6" ht="75" x14ac:dyDescent="0.25">
      <c r="A436" s="2" t="s">
        <v>2301</v>
      </c>
      <c r="B436" s="2" t="b">
        <v>0</v>
      </c>
      <c r="C436" s="2"/>
      <c r="D436" s="2">
        <v>8</v>
      </c>
      <c r="E436" s="2">
        <v>3</v>
      </c>
      <c r="F436" s="2" t="s">
        <v>1503</v>
      </c>
    </row>
    <row r="437" spans="1:6" ht="75" x14ac:dyDescent="0.25">
      <c r="A437" s="2" t="s">
        <v>2302</v>
      </c>
      <c r="B437" s="2" t="b">
        <v>1</v>
      </c>
      <c r="C437" s="2"/>
      <c r="D437" s="2">
        <v>8</v>
      </c>
      <c r="E437" s="2">
        <v>3</v>
      </c>
      <c r="F437" s="2" t="s">
        <v>1503</v>
      </c>
    </row>
    <row r="438" spans="1:6" ht="75" x14ac:dyDescent="0.25">
      <c r="A438" s="2" t="s">
        <v>2303</v>
      </c>
      <c r="B438" s="2" t="b">
        <v>0</v>
      </c>
      <c r="C438" s="2"/>
      <c r="D438" s="2">
        <v>8</v>
      </c>
      <c r="E438" s="2">
        <v>3</v>
      </c>
      <c r="F438" s="2" t="s">
        <v>1503</v>
      </c>
    </row>
    <row r="439" spans="1:6" ht="75" x14ac:dyDescent="0.25">
      <c r="A439" s="2" t="s">
        <v>2304</v>
      </c>
      <c r="B439" s="2" t="b">
        <v>1</v>
      </c>
      <c r="C439" s="2"/>
      <c r="D439" s="2">
        <v>8</v>
      </c>
      <c r="E439" s="2">
        <v>3</v>
      </c>
      <c r="F439" s="2" t="s">
        <v>1503</v>
      </c>
    </row>
    <row r="440" spans="1:6" ht="75" x14ac:dyDescent="0.25">
      <c r="A440" s="2" t="s">
        <v>2305</v>
      </c>
      <c r="B440" s="2" t="b">
        <v>0</v>
      </c>
      <c r="C440" s="2"/>
      <c r="D440" s="2">
        <v>8</v>
      </c>
      <c r="E440" s="2">
        <v>3</v>
      </c>
      <c r="F440" s="2" t="s">
        <v>1503</v>
      </c>
    </row>
    <row r="441" spans="1:6" ht="75" x14ac:dyDescent="0.25">
      <c r="A441" s="2" t="s">
        <v>2306</v>
      </c>
      <c r="B441" s="2" t="b">
        <v>0</v>
      </c>
      <c r="C441" s="2"/>
      <c r="D441" s="2">
        <v>8</v>
      </c>
      <c r="E441" s="2">
        <v>3</v>
      </c>
      <c r="F441" s="2" t="s">
        <v>1503</v>
      </c>
    </row>
    <row r="442" spans="1:6" ht="75" x14ac:dyDescent="0.25">
      <c r="A442" s="2" t="s">
        <v>2307</v>
      </c>
      <c r="B442" s="2" t="b">
        <v>1</v>
      </c>
      <c r="C442" s="2"/>
      <c r="D442" s="2">
        <v>8</v>
      </c>
      <c r="E442" s="2">
        <v>3</v>
      </c>
      <c r="F442" s="2" t="s">
        <v>1503</v>
      </c>
    </row>
    <row r="443" spans="1:6" ht="75" x14ac:dyDescent="0.25">
      <c r="A443" s="2" t="s">
        <v>2308</v>
      </c>
      <c r="B443" s="2" t="b">
        <v>1</v>
      </c>
      <c r="C443" s="2"/>
      <c r="D443" s="2">
        <v>8</v>
      </c>
      <c r="E443" s="2">
        <v>3</v>
      </c>
      <c r="F443" s="2" t="s">
        <v>1503</v>
      </c>
    </row>
    <row r="444" spans="1:6" ht="75" x14ac:dyDescent="0.25">
      <c r="A444" s="2" t="s">
        <v>2309</v>
      </c>
      <c r="B444" s="2" t="b">
        <v>0</v>
      </c>
      <c r="C444" s="2"/>
      <c r="D444" s="2">
        <v>8</v>
      </c>
      <c r="E444" s="2">
        <v>3</v>
      </c>
      <c r="F444" s="2" t="s">
        <v>1503</v>
      </c>
    </row>
    <row r="445" spans="1:6" ht="75" x14ac:dyDescent="0.25">
      <c r="A445" s="2" t="s">
        <v>2310</v>
      </c>
      <c r="B445" s="2" t="b">
        <v>0</v>
      </c>
      <c r="C445" s="2" t="s">
        <v>2311</v>
      </c>
      <c r="D445" s="2">
        <v>4</v>
      </c>
      <c r="E445" s="2">
        <v>1</v>
      </c>
      <c r="F445" s="2" t="s">
        <v>1503</v>
      </c>
    </row>
    <row r="446" spans="1:6" ht="75" x14ac:dyDescent="0.25">
      <c r="A446" s="2" t="s">
        <v>2312</v>
      </c>
      <c r="B446" s="2" t="b">
        <v>0</v>
      </c>
      <c r="C446" s="2" t="s">
        <v>2313</v>
      </c>
      <c r="D446" s="2">
        <v>4</v>
      </c>
      <c r="E446" s="2">
        <v>1</v>
      </c>
      <c r="F446" s="2" t="s">
        <v>1503</v>
      </c>
    </row>
    <row r="447" spans="1:6" ht="75" x14ac:dyDescent="0.25">
      <c r="A447" s="2" t="s">
        <v>2314</v>
      </c>
      <c r="B447" s="2" t="b">
        <v>0</v>
      </c>
      <c r="C447" s="2" t="s">
        <v>2315</v>
      </c>
      <c r="D447" s="2">
        <v>4</v>
      </c>
      <c r="E447" s="2">
        <v>3</v>
      </c>
      <c r="F447" s="2" t="s">
        <v>1503</v>
      </c>
    </row>
    <row r="448" spans="1:6" ht="75" x14ac:dyDescent="0.25">
      <c r="A448" s="2" t="s">
        <v>2316</v>
      </c>
      <c r="B448" s="2" t="b">
        <v>0</v>
      </c>
      <c r="C448" s="2" t="s">
        <v>2315</v>
      </c>
      <c r="D448" s="2">
        <v>4</v>
      </c>
      <c r="E448" s="2">
        <v>3</v>
      </c>
      <c r="F448" s="2" t="s">
        <v>1503</v>
      </c>
    </row>
    <row r="449" spans="1:6" ht="75" x14ac:dyDescent="0.25">
      <c r="A449" s="2" t="s">
        <v>1042</v>
      </c>
      <c r="B449" s="2" t="b">
        <v>1</v>
      </c>
      <c r="C449" s="2" t="s">
        <v>1041</v>
      </c>
      <c r="D449" s="2">
        <v>6</v>
      </c>
      <c r="E449" s="2">
        <v>1</v>
      </c>
      <c r="F449" s="2" t="s">
        <v>1503</v>
      </c>
    </row>
    <row r="450" spans="1:6" ht="75" x14ac:dyDescent="0.25">
      <c r="A450" s="2" t="s">
        <v>821</v>
      </c>
      <c r="B450" s="2" t="b">
        <v>1</v>
      </c>
      <c r="C450" s="2" t="s">
        <v>2317</v>
      </c>
      <c r="D450" s="2">
        <v>6</v>
      </c>
      <c r="E450" s="2">
        <v>1</v>
      </c>
      <c r="F450" s="2" t="s">
        <v>1503</v>
      </c>
    </row>
    <row r="451" spans="1:6" ht="75" x14ac:dyDescent="0.25">
      <c r="A451" s="2" t="s">
        <v>2318</v>
      </c>
      <c r="B451" s="2" t="b">
        <v>0</v>
      </c>
      <c r="C451" s="2" t="s">
        <v>2319</v>
      </c>
      <c r="D451" s="2">
        <v>4</v>
      </c>
      <c r="E451" s="2">
        <v>1</v>
      </c>
      <c r="F451" s="2" t="s">
        <v>1503</v>
      </c>
    </row>
    <row r="452" spans="1:6" ht="75" x14ac:dyDescent="0.25">
      <c r="A452" s="2" t="s">
        <v>1047</v>
      </c>
      <c r="B452" s="2" t="b">
        <v>1</v>
      </c>
      <c r="C452" s="2" t="s">
        <v>2320</v>
      </c>
      <c r="D452" s="2">
        <v>5</v>
      </c>
      <c r="E452" s="2">
        <v>1</v>
      </c>
      <c r="F452" s="2" t="s">
        <v>1503</v>
      </c>
    </row>
    <row r="453" spans="1:6" ht="75" x14ac:dyDescent="0.25">
      <c r="A453" s="2" t="s">
        <v>2321</v>
      </c>
      <c r="B453" s="2" t="b">
        <v>0</v>
      </c>
      <c r="C453" s="2" t="s">
        <v>2322</v>
      </c>
      <c r="D453" s="2">
        <v>4</v>
      </c>
      <c r="E453" s="2">
        <v>1</v>
      </c>
      <c r="F453" s="2" t="s">
        <v>1503</v>
      </c>
    </row>
    <row r="454" spans="1:6" ht="75" x14ac:dyDescent="0.25">
      <c r="A454" s="2" t="s">
        <v>934</v>
      </c>
      <c r="B454" s="2" t="b">
        <v>1</v>
      </c>
      <c r="C454" s="2" t="s">
        <v>2323</v>
      </c>
      <c r="D454" s="2">
        <v>7</v>
      </c>
      <c r="E454" s="2">
        <v>1</v>
      </c>
      <c r="F454" s="2" t="s">
        <v>1503</v>
      </c>
    </row>
    <row r="455" spans="1:6" ht="75" x14ac:dyDescent="0.25">
      <c r="A455" s="2" t="s">
        <v>2324</v>
      </c>
      <c r="B455" s="2" t="b">
        <v>0</v>
      </c>
      <c r="C455" s="2" t="s">
        <v>2325</v>
      </c>
      <c r="D455" s="2">
        <v>4</v>
      </c>
      <c r="E455" s="2">
        <v>1</v>
      </c>
      <c r="F455" s="2" t="s">
        <v>1503</v>
      </c>
    </row>
    <row r="456" spans="1:6" ht="75" x14ac:dyDescent="0.25">
      <c r="A456" s="2" t="s">
        <v>2326</v>
      </c>
      <c r="B456" s="2" t="b">
        <v>0</v>
      </c>
      <c r="C456" s="2" t="s">
        <v>2327</v>
      </c>
      <c r="D456" s="2">
        <v>4</v>
      </c>
      <c r="E456" s="2">
        <v>1</v>
      </c>
      <c r="F456" s="2" t="s">
        <v>1503</v>
      </c>
    </row>
    <row r="457" spans="1:6" ht="75" x14ac:dyDescent="0.25">
      <c r="A457" s="2" t="s">
        <v>2328</v>
      </c>
      <c r="B457" s="2" t="b">
        <v>0</v>
      </c>
      <c r="C457" s="2" t="s">
        <v>2329</v>
      </c>
      <c r="D457" s="2">
        <v>4</v>
      </c>
      <c r="E457" s="2">
        <v>1</v>
      </c>
      <c r="F457" s="2" t="s">
        <v>1503</v>
      </c>
    </row>
    <row r="458" spans="1:6" ht="75" x14ac:dyDescent="0.25">
      <c r="A458" s="2" t="s">
        <v>2330</v>
      </c>
      <c r="B458" s="2" t="b">
        <v>0</v>
      </c>
      <c r="C458" s="2" t="s">
        <v>2331</v>
      </c>
      <c r="D458" s="2">
        <v>4</v>
      </c>
      <c r="E458" s="2">
        <v>1</v>
      </c>
      <c r="F458" s="2" t="s">
        <v>1503</v>
      </c>
    </row>
    <row r="459" spans="1:6" ht="75" x14ac:dyDescent="0.25">
      <c r="A459" s="2" t="s">
        <v>1311</v>
      </c>
      <c r="B459" s="2" t="b">
        <v>1</v>
      </c>
      <c r="C459" s="2" t="s">
        <v>2332</v>
      </c>
      <c r="D459" s="2">
        <v>6</v>
      </c>
      <c r="E459" s="2">
        <v>1</v>
      </c>
      <c r="F459" s="2" t="s">
        <v>1503</v>
      </c>
    </row>
    <row r="460" spans="1:6" ht="75" x14ac:dyDescent="0.25">
      <c r="A460" s="2" t="s">
        <v>2333</v>
      </c>
      <c r="B460" s="2" t="b">
        <v>0</v>
      </c>
      <c r="C460" s="2" t="s">
        <v>2334</v>
      </c>
      <c r="D460" s="2">
        <v>4</v>
      </c>
      <c r="E460" s="2">
        <v>1</v>
      </c>
      <c r="F460" s="2" t="s">
        <v>1503</v>
      </c>
    </row>
    <row r="461" spans="1:6" ht="75" x14ac:dyDescent="0.25">
      <c r="A461" s="2" t="s">
        <v>1306</v>
      </c>
      <c r="B461" s="2" t="b">
        <v>1</v>
      </c>
      <c r="C461" s="2" t="s">
        <v>2335</v>
      </c>
      <c r="D461" s="2">
        <v>6</v>
      </c>
      <c r="E461" s="2">
        <v>1</v>
      </c>
      <c r="F461" s="2" t="s">
        <v>1503</v>
      </c>
    </row>
    <row r="462" spans="1:6" ht="75" x14ac:dyDescent="0.25">
      <c r="A462" s="2" t="s">
        <v>2336</v>
      </c>
      <c r="B462" s="2" t="b">
        <v>0</v>
      </c>
      <c r="C462" s="2" t="s">
        <v>2337</v>
      </c>
      <c r="D462" s="2">
        <v>4</v>
      </c>
      <c r="E462" s="2">
        <v>1</v>
      </c>
      <c r="F462" s="2" t="s">
        <v>1503</v>
      </c>
    </row>
    <row r="463" spans="1:6" ht="75" x14ac:dyDescent="0.25">
      <c r="A463" s="2" t="s">
        <v>2338</v>
      </c>
      <c r="B463" s="2" t="b">
        <v>0</v>
      </c>
      <c r="C463" s="2" t="s">
        <v>2339</v>
      </c>
      <c r="D463" s="2">
        <v>4</v>
      </c>
      <c r="E463" s="2">
        <v>1</v>
      </c>
      <c r="F463" s="2" t="s">
        <v>1503</v>
      </c>
    </row>
    <row r="464" spans="1:6" ht="75" x14ac:dyDescent="0.25">
      <c r="A464" s="2" t="s">
        <v>2340</v>
      </c>
      <c r="B464" s="2" t="b">
        <v>0</v>
      </c>
      <c r="C464" s="2" t="s">
        <v>2339</v>
      </c>
      <c r="D464" s="2">
        <v>4</v>
      </c>
      <c r="E464" s="2">
        <v>1</v>
      </c>
      <c r="F464" s="2" t="s">
        <v>1503</v>
      </c>
    </row>
    <row r="465" spans="1:6" ht="75" x14ac:dyDescent="0.25">
      <c r="A465" s="2" t="s">
        <v>2341</v>
      </c>
      <c r="B465" s="2" t="b">
        <v>0</v>
      </c>
      <c r="C465" s="2" t="s">
        <v>2342</v>
      </c>
      <c r="D465" s="2">
        <v>4</v>
      </c>
      <c r="E465" s="2">
        <v>1</v>
      </c>
      <c r="F465" s="2" t="s">
        <v>1503</v>
      </c>
    </row>
    <row r="466" spans="1:6" ht="75" x14ac:dyDescent="0.25">
      <c r="A466" s="2" t="s">
        <v>966</v>
      </c>
      <c r="B466" s="2" t="b">
        <v>1</v>
      </c>
      <c r="C466" s="2" t="s">
        <v>2343</v>
      </c>
      <c r="D466" s="2">
        <v>7</v>
      </c>
      <c r="E466" s="2">
        <v>1</v>
      </c>
      <c r="F466" s="2" t="s">
        <v>1503</v>
      </c>
    </row>
    <row r="467" spans="1:6" ht="75" x14ac:dyDescent="0.25">
      <c r="A467" s="2" t="s">
        <v>754</v>
      </c>
      <c r="B467" s="2" t="b">
        <v>1</v>
      </c>
      <c r="C467" s="2" t="s">
        <v>2344</v>
      </c>
      <c r="D467" s="2">
        <v>7</v>
      </c>
      <c r="E467" s="2">
        <v>1</v>
      </c>
      <c r="F467" s="2" t="s">
        <v>1503</v>
      </c>
    </row>
    <row r="468" spans="1:6" ht="75" x14ac:dyDescent="0.25">
      <c r="A468" s="2" t="s">
        <v>200</v>
      </c>
      <c r="B468" s="2" t="b">
        <v>1</v>
      </c>
      <c r="C468" s="2" t="s">
        <v>202</v>
      </c>
      <c r="D468" s="2">
        <v>6</v>
      </c>
      <c r="E468" s="2">
        <v>1</v>
      </c>
      <c r="F468" s="2" t="s">
        <v>1503</v>
      </c>
    </row>
    <row r="469" spans="1:6" ht="75" x14ac:dyDescent="0.25">
      <c r="A469" s="2" t="s">
        <v>2345</v>
      </c>
      <c r="B469" s="2" t="b">
        <v>0</v>
      </c>
      <c r="C469" s="2" t="s">
        <v>2346</v>
      </c>
      <c r="D469" s="2">
        <v>4</v>
      </c>
      <c r="E469" s="2">
        <v>1</v>
      </c>
      <c r="F469" s="2" t="s">
        <v>1503</v>
      </c>
    </row>
    <row r="470" spans="1:6" ht="75" x14ac:dyDescent="0.25">
      <c r="A470" s="2" t="s">
        <v>2347</v>
      </c>
      <c r="B470" s="2" t="b">
        <v>0</v>
      </c>
      <c r="C470" s="2" t="s">
        <v>2348</v>
      </c>
      <c r="D470" s="2">
        <v>4</v>
      </c>
      <c r="E470" s="2">
        <v>1</v>
      </c>
      <c r="F470" s="2" t="s">
        <v>1503</v>
      </c>
    </row>
    <row r="471" spans="1:6" ht="75" x14ac:dyDescent="0.25">
      <c r="A471" s="2" t="s">
        <v>2349</v>
      </c>
      <c r="B471" s="2" t="b">
        <v>0</v>
      </c>
      <c r="C471" s="2" t="s">
        <v>2350</v>
      </c>
      <c r="D471" s="2">
        <v>4</v>
      </c>
      <c r="E471" s="2">
        <v>1</v>
      </c>
      <c r="F471" s="2" t="s">
        <v>1503</v>
      </c>
    </row>
    <row r="472" spans="1:6" ht="75" x14ac:dyDescent="0.25">
      <c r="A472" s="2" t="s">
        <v>2351</v>
      </c>
      <c r="B472" s="2" t="b">
        <v>0</v>
      </c>
      <c r="C472" s="2" t="s">
        <v>2352</v>
      </c>
      <c r="D472" s="2">
        <v>4</v>
      </c>
      <c r="E472" s="2">
        <v>1</v>
      </c>
      <c r="F472" s="2" t="s">
        <v>1503</v>
      </c>
    </row>
    <row r="473" spans="1:6" ht="75" x14ac:dyDescent="0.25">
      <c r="A473" s="2" t="s">
        <v>882</v>
      </c>
      <c r="B473" s="2" t="b">
        <v>1</v>
      </c>
      <c r="C473" s="2" t="s">
        <v>2353</v>
      </c>
      <c r="D473" s="2">
        <v>6</v>
      </c>
      <c r="E473" s="2">
        <v>1</v>
      </c>
      <c r="F473" s="2" t="s">
        <v>1503</v>
      </c>
    </row>
    <row r="474" spans="1:6" ht="75" x14ac:dyDescent="0.25">
      <c r="A474" s="2" t="s">
        <v>2354</v>
      </c>
      <c r="B474" s="2" t="b">
        <v>0</v>
      </c>
      <c r="C474" s="2" t="s">
        <v>2355</v>
      </c>
      <c r="D474" s="2">
        <v>4</v>
      </c>
      <c r="E474" s="2">
        <v>1</v>
      </c>
      <c r="F474" s="2" t="s">
        <v>1503</v>
      </c>
    </row>
    <row r="475" spans="1:6" ht="75" x14ac:dyDescent="0.25">
      <c r="A475" s="2" t="s">
        <v>885</v>
      </c>
      <c r="B475" s="2" t="b">
        <v>1</v>
      </c>
      <c r="C475" s="2" t="s">
        <v>2356</v>
      </c>
      <c r="D475" s="2">
        <v>6</v>
      </c>
      <c r="E475" s="2">
        <v>1</v>
      </c>
      <c r="F475" s="2" t="s">
        <v>1503</v>
      </c>
    </row>
    <row r="476" spans="1:6" ht="75" x14ac:dyDescent="0.25">
      <c r="A476" s="2" t="s">
        <v>2357</v>
      </c>
      <c r="B476" s="2" t="b">
        <v>0</v>
      </c>
      <c r="C476" s="2" t="s">
        <v>2358</v>
      </c>
      <c r="D476" s="2">
        <v>4</v>
      </c>
      <c r="E476" s="2">
        <v>1</v>
      </c>
      <c r="F476" s="2" t="s">
        <v>1503</v>
      </c>
    </row>
    <row r="477" spans="1:6" ht="75" x14ac:dyDescent="0.25">
      <c r="A477" s="2" t="s">
        <v>2359</v>
      </c>
      <c r="B477" s="2" t="b">
        <v>0</v>
      </c>
      <c r="C477" s="2" t="s">
        <v>2360</v>
      </c>
      <c r="D477" s="2">
        <v>4</v>
      </c>
      <c r="E477" s="2">
        <v>1</v>
      </c>
      <c r="F477" s="2" t="s">
        <v>1503</v>
      </c>
    </row>
    <row r="478" spans="1:6" ht="75" x14ac:dyDescent="0.25">
      <c r="A478" s="2" t="s">
        <v>2361</v>
      </c>
      <c r="B478" s="2" t="b">
        <v>0</v>
      </c>
      <c r="C478" s="2" t="s">
        <v>2362</v>
      </c>
      <c r="D478" s="2">
        <v>4</v>
      </c>
      <c r="E478" s="2">
        <v>1</v>
      </c>
      <c r="F478" s="2" t="s">
        <v>1503</v>
      </c>
    </row>
    <row r="479" spans="1:6" ht="75" x14ac:dyDescent="0.25">
      <c r="A479" s="2" t="s">
        <v>2363</v>
      </c>
      <c r="B479" s="2" t="b">
        <v>0</v>
      </c>
      <c r="C479" s="2" t="s">
        <v>2364</v>
      </c>
      <c r="D479" s="2">
        <v>4</v>
      </c>
      <c r="E479" s="2">
        <v>1</v>
      </c>
      <c r="F479" s="2" t="s">
        <v>1503</v>
      </c>
    </row>
    <row r="480" spans="1:6" ht="75" x14ac:dyDescent="0.25">
      <c r="A480" s="2" t="s">
        <v>2365</v>
      </c>
      <c r="B480" s="2" t="b">
        <v>0</v>
      </c>
      <c r="C480" s="2" t="s">
        <v>2366</v>
      </c>
      <c r="D480" s="2">
        <v>4</v>
      </c>
      <c r="E480" s="2">
        <v>1</v>
      </c>
      <c r="F480" s="2" t="s">
        <v>1503</v>
      </c>
    </row>
    <row r="481" spans="1:6" ht="75" x14ac:dyDescent="0.25">
      <c r="A481" s="2" t="s">
        <v>445</v>
      </c>
      <c r="B481" s="2" t="b">
        <v>1</v>
      </c>
      <c r="C481" s="2" t="s">
        <v>2367</v>
      </c>
      <c r="D481" s="2">
        <v>7</v>
      </c>
      <c r="E481" s="2">
        <v>1</v>
      </c>
      <c r="F481" s="2" t="s">
        <v>1503</v>
      </c>
    </row>
    <row r="482" spans="1:6" ht="75" x14ac:dyDescent="0.25">
      <c r="A482" s="2" t="s">
        <v>896</v>
      </c>
      <c r="B482" s="2" t="b">
        <v>1</v>
      </c>
      <c r="C482" s="2" t="s">
        <v>2368</v>
      </c>
      <c r="D482" s="2">
        <v>6</v>
      </c>
      <c r="E482" s="2">
        <v>1</v>
      </c>
      <c r="F482" s="2" t="s">
        <v>1503</v>
      </c>
    </row>
    <row r="483" spans="1:6" ht="75" x14ac:dyDescent="0.25">
      <c r="A483" s="2" t="s">
        <v>400</v>
      </c>
      <c r="B483" s="2" t="b">
        <v>1</v>
      </c>
      <c r="C483" s="2" t="s">
        <v>2369</v>
      </c>
      <c r="D483" s="2">
        <v>6</v>
      </c>
      <c r="E483" s="2">
        <v>1</v>
      </c>
      <c r="F483" s="2" t="s">
        <v>1503</v>
      </c>
    </row>
    <row r="484" spans="1:6" ht="75" x14ac:dyDescent="0.25">
      <c r="A484" s="2" t="s">
        <v>2370</v>
      </c>
      <c r="B484" s="2" t="b">
        <v>0</v>
      </c>
      <c r="C484" s="2" t="s">
        <v>2371</v>
      </c>
      <c r="D484" s="2">
        <v>4</v>
      </c>
      <c r="E484" s="2">
        <v>1</v>
      </c>
      <c r="F484" s="2" t="s">
        <v>1503</v>
      </c>
    </row>
    <row r="485" spans="1:6" ht="75" x14ac:dyDescent="0.25">
      <c r="A485" s="2" t="s">
        <v>2372</v>
      </c>
      <c r="B485" s="2" t="b">
        <v>0</v>
      </c>
      <c r="C485" s="2" t="s">
        <v>2373</v>
      </c>
      <c r="D485" s="2">
        <v>4</v>
      </c>
      <c r="E485" s="2">
        <v>1</v>
      </c>
      <c r="F485" s="2" t="s">
        <v>1503</v>
      </c>
    </row>
    <row r="486" spans="1:6" ht="75" x14ac:dyDescent="0.25">
      <c r="A486" s="2" t="s">
        <v>2374</v>
      </c>
      <c r="B486" s="2" t="b">
        <v>0</v>
      </c>
      <c r="C486" s="2" t="s">
        <v>2375</v>
      </c>
      <c r="D486" s="2">
        <v>4</v>
      </c>
      <c r="E486" s="2">
        <v>1</v>
      </c>
      <c r="F486" s="2" t="s">
        <v>1503</v>
      </c>
    </row>
    <row r="487" spans="1:6" ht="75" x14ac:dyDescent="0.25">
      <c r="A487" s="2" t="s">
        <v>2376</v>
      </c>
      <c r="B487" s="2" t="b">
        <v>0</v>
      </c>
      <c r="C487" s="2" t="s">
        <v>2377</v>
      </c>
      <c r="D487" s="2">
        <v>4</v>
      </c>
      <c r="E487" s="2">
        <v>1</v>
      </c>
      <c r="F487" s="2" t="s">
        <v>1503</v>
      </c>
    </row>
    <row r="488" spans="1:6" ht="75" x14ac:dyDescent="0.25">
      <c r="A488" s="2" t="s">
        <v>2378</v>
      </c>
      <c r="B488" s="2" t="b">
        <v>0</v>
      </c>
      <c r="C488" s="2" t="s">
        <v>2379</v>
      </c>
      <c r="D488" s="2">
        <v>4</v>
      </c>
      <c r="E488" s="2">
        <v>1</v>
      </c>
      <c r="F488" s="2" t="s">
        <v>1503</v>
      </c>
    </row>
    <row r="489" spans="1:6" ht="75" x14ac:dyDescent="0.25">
      <c r="A489" s="2" t="s">
        <v>2380</v>
      </c>
      <c r="B489" s="2" t="b">
        <v>0</v>
      </c>
      <c r="C489" s="2" t="s">
        <v>2381</v>
      </c>
      <c r="D489" s="2">
        <v>4</v>
      </c>
      <c r="E489" s="2">
        <v>1</v>
      </c>
      <c r="F489" s="2" t="s">
        <v>1503</v>
      </c>
    </row>
    <row r="490" spans="1:6" ht="75" x14ac:dyDescent="0.25">
      <c r="A490" s="2" t="s">
        <v>263</v>
      </c>
      <c r="B490" s="2" t="b">
        <v>1</v>
      </c>
      <c r="C490" s="2" t="s">
        <v>265</v>
      </c>
      <c r="D490" s="2">
        <v>6</v>
      </c>
      <c r="E490" s="2">
        <v>1</v>
      </c>
      <c r="F490" s="2" t="s">
        <v>1503</v>
      </c>
    </row>
    <row r="491" spans="1:6" ht="75" x14ac:dyDescent="0.25">
      <c r="A491" s="2" t="s">
        <v>316</v>
      </c>
      <c r="B491" s="2" t="b">
        <v>1</v>
      </c>
      <c r="C491" s="2" t="s">
        <v>2382</v>
      </c>
      <c r="D491" s="2">
        <v>7</v>
      </c>
      <c r="E491" s="2">
        <v>1</v>
      </c>
      <c r="F491" s="2" t="s">
        <v>1503</v>
      </c>
    </row>
    <row r="492" spans="1:6" ht="75" x14ac:dyDescent="0.25">
      <c r="A492" s="2" t="s">
        <v>2383</v>
      </c>
      <c r="B492" s="2" t="b">
        <v>0</v>
      </c>
      <c r="C492" s="2" t="s">
        <v>2384</v>
      </c>
      <c r="D492" s="2">
        <v>4</v>
      </c>
      <c r="E492" s="2">
        <v>1</v>
      </c>
      <c r="F492" s="2" t="s">
        <v>1503</v>
      </c>
    </row>
    <row r="493" spans="1:6" ht="75" x14ac:dyDescent="0.25">
      <c r="A493" s="2" t="s">
        <v>2385</v>
      </c>
      <c r="B493" s="2" t="b">
        <v>0</v>
      </c>
      <c r="C493" s="2" t="s">
        <v>2386</v>
      </c>
      <c r="D493" s="2">
        <v>4</v>
      </c>
      <c r="E493" s="2">
        <v>1</v>
      </c>
      <c r="F493" s="2" t="s">
        <v>1503</v>
      </c>
    </row>
    <row r="494" spans="1:6" ht="75" x14ac:dyDescent="0.25">
      <c r="A494" s="2" t="s">
        <v>2387</v>
      </c>
      <c r="B494" s="2" t="b">
        <v>0</v>
      </c>
      <c r="C494" s="2" t="s">
        <v>2388</v>
      </c>
      <c r="D494" s="2">
        <v>4</v>
      </c>
      <c r="E494" s="2">
        <v>1</v>
      </c>
      <c r="F494" s="2" t="s">
        <v>1503</v>
      </c>
    </row>
    <row r="495" spans="1:6" ht="75" x14ac:dyDescent="0.25">
      <c r="A495" s="2" t="s">
        <v>2389</v>
      </c>
      <c r="B495" s="2" t="b">
        <v>0</v>
      </c>
      <c r="C495" s="2" t="s">
        <v>2390</v>
      </c>
      <c r="D495" s="2">
        <v>4</v>
      </c>
      <c r="E495" s="2">
        <v>1</v>
      </c>
      <c r="F495" s="2" t="s">
        <v>1503</v>
      </c>
    </row>
    <row r="496" spans="1:6" ht="75" x14ac:dyDescent="0.25">
      <c r="A496" s="2" t="s">
        <v>2391</v>
      </c>
      <c r="B496" s="2" t="b">
        <v>0</v>
      </c>
      <c r="C496" s="2" t="s">
        <v>2392</v>
      </c>
      <c r="D496" s="2">
        <v>4</v>
      </c>
      <c r="E496" s="2">
        <v>1</v>
      </c>
      <c r="F496" s="2" t="s">
        <v>1503</v>
      </c>
    </row>
    <row r="497" spans="1:6" ht="75" x14ac:dyDescent="0.25">
      <c r="A497" s="2" t="s">
        <v>2393</v>
      </c>
      <c r="B497" s="2" t="b">
        <v>0</v>
      </c>
      <c r="C497" s="2" t="s">
        <v>2394</v>
      </c>
      <c r="D497" s="2">
        <v>4</v>
      </c>
      <c r="E497" s="2">
        <v>1</v>
      </c>
      <c r="F497" s="2" t="s">
        <v>1503</v>
      </c>
    </row>
    <row r="498" spans="1:6" ht="75" x14ac:dyDescent="0.25">
      <c r="A498" s="2" t="s">
        <v>2395</v>
      </c>
      <c r="B498" s="2" t="b">
        <v>0</v>
      </c>
      <c r="C498" s="2" t="s">
        <v>2396</v>
      </c>
      <c r="D498" s="2">
        <v>4</v>
      </c>
      <c r="E498" s="2">
        <v>1</v>
      </c>
      <c r="F498" s="2" t="s">
        <v>1503</v>
      </c>
    </row>
    <row r="499" spans="1:6" ht="75" x14ac:dyDescent="0.25">
      <c r="A499" s="2" t="s">
        <v>1270</v>
      </c>
      <c r="B499" s="2" t="b">
        <v>1</v>
      </c>
      <c r="C499" s="2" t="s">
        <v>2397</v>
      </c>
      <c r="D499" s="2">
        <v>7</v>
      </c>
      <c r="E499" s="2">
        <v>1</v>
      </c>
      <c r="F499" s="2" t="s">
        <v>1503</v>
      </c>
    </row>
    <row r="500" spans="1:6" ht="75" x14ac:dyDescent="0.25">
      <c r="A500" s="2" t="s">
        <v>914</v>
      </c>
      <c r="B500" s="2" t="b">
        <v>1</v>
      </c>
      <c r="C500" s="2" t="s">
        <v>2398</v>
      </c>
      <c r="D500" s="2">
        <v>7</v>
      </c>
      <c r="E500" s="2">
        <v>1</v>
      </c>
      <c r="F500" s="2" t="s">
        <v>1503</v>
      </c>
    </row>
    <row r="501" spans="1:6" ht="75" x14ac:dyDescent="0.25">
      <c r="A501" s="2" t="s">
        <v>917</v>
      </c>
      <c r="B501" s="2" t="b">
        <v>1</v>
      </c>
      <c r="C501" s="2" t="s">
        <v>2399</v>
      </c>
      <c r="D501" s="2">
        <v>7</v>
      </c>
      <c r="E501" s="2">
        <v>1</v>
      </c>
      <c r="F501" s="2" t="s">
        <v>1503</v>
      </c>
    </row>
    <row r="502" spans="1:6" ht="75" x14ac:dyDescent="0.25">
      <c r="A502" s="2" t="s">
        <v>2400</v>
      </c>
      <c r="B502" s="2" t="b">
        <v>0</v>
      </c>
      <c r="C502" s="2" t="s">
        <v>2401</v>
      </c>
      <c r="D502" s="2">
        <v>4</v>
      </c>
      <c r="E502" s="2">
        <v>1</v>
      </c>
      <c r="F502" s="2" t="s">
        <v>1503</v>
      </c>
    </row>
    <row r="503" spans="1:6" ht="75" x14ac:dyDescent="0.25">
      <c r="A503" s="2" t="s">
        <v>2402</v>
      </c>
      <c r="B503" s="2" t="b">
        <v>0</v>
      </c>
      <c r="C503" s="2" t="s">
        <v>2403</v>
      </c>
      <c r="D503" s="2">
        <v>4</v>
      </c>
      <c r="E503" s="2">
        <v>1</v>
      </c>
      <c r="F503" s="2" t="s">
        <v>1503</v>
      </c>
    </row>
    <row r="504" spans="1:6" ht="75" x14ac:dyDescent="0.25">
      <c r="A504" s="2" t="s">
        <v>2404</v>
      </c>
      <c r="B504" s="2" t="b">
        <v>0</v>
      </c>
      <c r="C504" s="2" t="s">
        <v>2405</v>
      </c>
      <c r="D504" s="2">
        <v>4</v>
      </c>
      <c r="E504" s="2">
        <v>1</v>
      </c>
      <c r="F504" s="2" t="s">
        <v>1503</v>
      </c>
    </row>
    <row r="505" spans="1:6" ht="75" x14ac:dyDescent="0.25">
      <c r="A505" s="2" t="s">
        <v>2406</v>
      </c>
      <c r="B505" s="2" t="b">
        <v>0</v>
      </c>
      <c r="C505" s="2" t="s">
        <v>2407</v>
      </c>
      <c r="D505" s="2">
        <v>4</v>
      </c>
      <c r="E505" s="2">
        <v>1</v>
      </c>
      <c r="F505" s="2" t="s">
        <v>1503</v>
      </c>
    </row>
    <row r="506" spans="1:6" ht="75" x14ac:dyDescent="0.25">
      <c r="A506" s="2" t="s">
        <v>2408</v>
      </c>
      <c r="B506" s="2" t="b">
        <v>0</v>
      </c>
      <c r="C506" s="2" t="s">
        <v>2409</v>
      </c>
      <c r="D506" s="2">
        <v>4</v>
      </c>
      <c r="E506" s="2">
        <v>1</v>
      </c>
      <c r="F506" s="2" t="s">
        <v>1503</v>
      </c>
    </row>
    <row r="507" spans="1:6" ht="75" x14ac:dyDescent="0.25">
      <c r="A507" s="2" t="s">
        <v>2410</v>
      </c>
      <c r="B507" s="2" t="b">
        <v>0</v>
      </c>
      <c r="C507" s="2" t="s">
        <v>2411</v>
      </c>
      <c r="D507" s="2">
        <v>4</v>
      </c>
      <c r="E507" s="2">
        <v>1</v>
      </c>
      <c r="F507" s="2" t="s">
        <v>1503</v>
      </c>
    </row>
    <row r="508" spans="1:6" ht="75" x14ac:dyDescent="0.25">
      <c r="A508" s="2" t="s">
        <v>2412</v>
      </c>
      <c r="B508" s="2" t="b">
        <v>0</v>
      </c>
      <c r="C508" s="2" t="s">
        <v>2413</v>
      </c>
      <c r="D508" s="2">
        <v>4</v>
      </c>
      <c r="E508" s="2">
        <v>1</v>
      </c>
      <c r="F508" s="2" t="s">
        <v>1503</v>
      </c>
    </row>
    <row r="509" spans="1:6" ht="75" x14ac:dyDescent="0.25">
      <c r="A509" s="2" t="s">
        <v>2414</v>
      </c>
      <c r="B509" s="2" t="b">
        <v>0</v>
      </c>
      <c r="C509" s="2" t="s">
        <v>2415</v>
      </c>
      <c r="D509" s="2">
        <v>4</v>
      </c>
      <c r="E509" s="2">
        <v>1</v>
      </c>
      <c r="F509" s="2" t="s">
        <v>1503</v>
      </c>
    </row>
    <row r="510" spans="1:6" ht="75" x14ac:dyDescent="0.25">
      <c r="A510" s="2" t="s">
        <v>2416</v>
      </c>
      <c r="B510" s="2" t="b">
        <v>0</v>
      </c>
      <c r="C510" s="2" t="s">
        <v>2417</v>
      </c>
      <c r="D510" s="2">
        <v>4</v>
      </c>
      <c r="E510" s="2">
        <v>1</v>
      </c>
      <c r="F510" s="2" t="s">
        <v>1503</v>
      </c>
    </row>
    <row r="511" spans="1:6" ht="75" x14ac:dyDescent="0.25">
      <c r="A511" s="2" t="s">
        <v>581</v>
      </c>
      <c r="B511" s="2" t="b">
        <v>1</v>
      </c>
      <c r="C511" s="2" t="s">
        <v>2418</v>
      </c>
      <c r="D511" s="2">
        <v>6</v>
      </c>
      <c r="E511" s="2">
        <v>1</v>
      </c>
      <c r="F511" s="2" t="s">
        <v>1503</v>
      </c>
    </row>
    <row r="512" spans="1:6" ht="75" x14ac:dyDescent="0.25">
      <c r="A512" s="2" t="s">
        <v>2419</v>
      </c>
      <c r="B512" s="2" t="b">
        <v>0</v>
      </c>
      <c r="C512" s="2" t="s">
        <v>2420</v>
      </c>
      <c r="D512" s="2">
        <v>4</v>
      </c>
      <c r="E512" s="2">
        <v>1</v>
      </c>
      <c r="F512" s="2" t="s">
        <v>1503</v>
      </c>
    </row>
    <row r="513" spans="1:6" ht="75" x14ac:dyDescent="0.25">
      <c r="A513" s="2" t="s">
        <v>2421</v>
      </c>
      <c r="B513" s="2" t="b">
        <v>0</v>
      </c>
      <c r="C513" s="2" t="s">
        <v>2422</v>
      </c>
      <c r="D513" s="2">
        <v>4</v>
      </c>
      <c r="E513" s="2">
        <v>1</v>
      </c>
      <c r="F513" s="2" t="s">
        <v>1503</v>
      </c>
    </row>
    <row r="514" spans="1:6" ht="75" x14ac:dyDescent="0.25">
      <c r="A514" s="2" t="s">
        <v>2423</v>
      </c>
      <c r="B514" s="2" t="b">
        <v>0</v>
      </c>
      <c r="C514" s="2" t="s">
        <v>2424</v>
      </c>
      <c r="D514" s="2">
        <v>4</v>
      </c>
      <c r="E514" s="2">
        <v>1</v>
      </c>
      <c r="F514" s="2" t="s">
        <v>1503</v>
      </c>
    </row>
    <row r="515" spans="1:6" ht="75" x14ac:dyDescent="0.25">
      <c r="A515" s="2" t="s">
        <v>2425</v>
      </c>
      <c r="B515" s="2" t="b">
        <v>0</v>
      </c>
      <c r="C515" s="2" t="s">
        <v>2426</v>
      </c>
      <c r="D515" s="2">
        <v>4</v>
      </c>
      <c r="E515" s="2">
        <v>1</v>
      </c>
      <c r="F515" s="2" t="s">
        <v>1503</v>
      </c>
    </row>
    <row r="516" spans="1:6" ht="75" x14ac:dyDescent="0.25">
      <c r="A516" s="2" t="s">
        <v>2427</v>
      </c>
      <c r="B516" s="2" t="b">
        <v>0</v>
      </c>
      <c r="C516" s="2" t="s">
        <v>2428</v>
      </c>
      <c r="D516" s="2">
        <v>4</v>
      </c>
      <c r="E516" s="2">
        <v>1</v>
      </c>
      <c r="F516" s="2" t="s">
        <v>1503</v>
      </c>
    </row>
    <row r="517" spans="1:6" ht="75" x14ac:dyDescent="0.25">
      <c r="A517" s="2" t="s">
        <v>2429</v>
      </c>
      <c r="B517" s="2" t="b">
        <v>0</v>
      </c>
      <c r="C517" s="2" t="s">
        <v>2428</v>
      </c>
      <c r="D517" s="2">
        <v>4</v>
      </c>
      <c r="E517" s="2">
        <v>1</v>
      </c>
      <c r="F517" s="2" t="s">
        <v>1503</v>
      </c>
    </row>
    <row r="518" spans="1:6" ht="75" x14ac:dyDescent="0.25">
      <c r="A518" s="2" t="s">
        <v>2430</v>
      </c>
      <c r="B518" s="2" t="b">
        <v>0</v>
      </c>
      <c r="C518" s="2" t="s">
        <v>2431</v>
      </c>
      <c r="D518" s="2">
        <v>4</v>
      </c>
      <c r="E518" s="2">
        <v>1</v>
      </c>
      <c r="F518" s="2" t="s">
        <v>1503</v>
      </c>
    </row>
    <row r="519" spans="1:6" ht="75" x14ac:dyDescent="0.25">
      <c r="A519" s="2" t="s">
        <v>1333</v>
      </c>
      <c r="B519" s="2" t="b">
        <v>1</v>
      </c>
      <c r="C519" s="2" t="s">
        <v>2432</v>
      </c>
      <c r="D519" s="2">
        <v>7</v>
      </c>
      <c r="E519" s="2">
        <v>1</v>
      </c>
      <c r="F519" s="2" t="s">
        <v>1503</v>
      </c>
    </row>
    <row r="520" spans="1:6" ht="75" x14ac:dyDescent="0.25">
      <c r="A520" s="2" t="s">
        <v>2433</v>
      </c>
      <c r="B520" s="2" t="b">
        <v>0</v>
      </c>
      <c r="C520" s="2" t="s">
        <v>2434</v>
      </c>
      <c r="D520" s="2">
        <v>4</v>
      </c>
      <c r="E520" s="2">
        <v>1</v>
      </c>
      <c r="F520" s="2" t="s">
        <v>1503</v>
      </c>
    </row>
    <row r="521" spans="1:6" ht="75" x14ac:dyDescent="0.25">
      <c r="A521" s="2" t="s">
        <v>1330</v>
      </c>
      <c r="B521" s="2" t="b">
        <v>1</v>
      </c>
      <c r="C521" s="2" t="s">
        <v>2435</v>
      </c>
      <c r="D521" s="2">
        <v>6</v>
      </c>
      <c r="E521" s="2">
        <v>1</v>
      </c>
      <c r="F521" s="2" t="s">
        <v>1503</v>
      </c>
    </row>
    <row r="522" spans="1:6" ht="75" x14ac:dyDescent="0.25">
      <c r="A522" s="2" t="s">
        <v>2436</v>
      </c>
      <c r="B522" s="2" t="b">
        <v>0</v>
      </c>
      <c r="C522" s="2" t="s">
        <v>2437</v>
      </c>
      <c r="D522" s="2">
        <v>4</v>
      </c>
      <c r="E522" s="2">
        <v>1</v>
      </c>
      <c r="F522" s="2" t="s">
        <v>1503</v>
      </c>
    </row>
    <row r="523" spans="1:6" ht="75" x14ac:dyDescent="0.25">
      <c r="A523" s="2" t="s">
        <v>2438</v>
      </c>
      <c r="B523" s="2" t="b">
        <v>0</v>
      </c>
      <c r="C523" s="2" t="s">
        <v>2439</v>
      </c>
      <c r="D523" s="2">
        <v>4</v>
      </c>
      <c r="E523" s="2">
        <v>1</v>
      </c>
      <c r="F523" s="2" t="s">
        <v>1503</v>
      </c>
    </row>
    <row r="524" spans="1:6" ht="75" x14ac:dyDescent="0.25">
      <c r="A524" s="2" t="s">
        <v>1327</v>
      </c>
      <c r="B524" s="2" t="b">
        <v>1</v>
      </c>
      <c r="C524" s="2" t="s">
        <v>2440</v>
      </c>
      <c r="D524" s="2">
        <v>6</v>
      </c>
      <c r="E524" s="2">
        <v>1</v>
      </c>
      <c r="F524" s="2" t="s">
        <v>1503</v>
      </c>
    </row>
    <row r="525" spans="1:6" ht="75" x14ac:dyDescent="0.25">
      <c r="A525" s="2" t="s">
        <v>2441</v>
      </c>
      <c r="B525" s="2" t="b">
        <v>0</v>
      </c>
      <c r="C525" s="2" t="s">
        <v>2442</v>
      </c>
      <c r="D525" s="2">
        <v>4</v>
      </c>
      <c r="E525" s="2">
        <v>1</v>
      </c>
      <c r="F525" s="2" t="s">
        <v>1503</v>
      </c>
    </row>
    <row r="526" spans="1:6" ht="75" x14ac:dyDescent="0.25">
      <c r="A526" s="2" t="s">
        <v>2443</v>
      </c>
      <c r="B526" s="2" t="b">
        <v>0</v>
      </c>
      <c r="C526" s="2" t="s">
        <v>2444</v>
      </c>
      <c r="D526" s="2">
        <v>4</v>
      </c>
      <c r="E526" s="2">
        <v>1</v>
      </c>
      <c r="F526" s="2" t="s">
        <v>1503</v>
      </c>
    </row>
    <row r="527" spans="1:6" ht="75" x14ac:dyDescent="0.25">
      <c r="A527" s="2" t="s">
        <v>587</v>
      </c>
      <c r="B527" s="2" t="b">
        <v>1</v>
      </c>
      <c r="C527" s="2" t="s">
        <v>589</v>
      </c>
      <c r="D527" s="2">
        <v>7</v>
      </c>
      <c r="E527" s="2">
        <v>1</v>
      </c>
      <c r="F527" s="2" t="s">
        <v>1503</v>
      </c>
    </row>
    <row r="528" spans="1:6" ht="75" x14ac:dyDescent="0.25">
      <c r="A528" s="2" t="s">
        <v>2445</v>
      </c>
      <c r="B528" s="2" t="b">
        <v>0</v>
      </c>
      <c r="C528" s="2" t="s">
        <v>2446</v>
      </c>
      <c r="D528" s="2">
        <v>4</v>
      </c>
      <c r="E528" s="2">
        <v>1</v>
      </c>
      <c r="F528" s="2" t="s">
        <v>1503</v>
      </c>
    </row>
    <row r="529" spans="1:6" ht="75" x14ac:dyDescent="0.25">
      <c r="A529" s="2" t="s">
        <v>2447</v>
      </c>
      <c r="B529" s="2" t="b">
        <v>0</v>
      </c>
      <c r="C529" s="2" t="s">
        <v>2448</v>
      </c>
      <c r="D529" s="2">
        <v>4</v>
      </c>
      <c r="E529" s="2">
        <v>1</v>
      </c>
      <c r="F529" s="2" t="s">
        <v>1503</v>
      </c>
    </row>
    <row r="530" spans="1:6" ht="75" x14ac:dyDescent="0.25">
      <c r="A530" s="2" t="s">
        <v>2449</v>
      </c>
      <c r="B530" s="2" t="b">
        <v>0</v>
      </c>
      <c r="C530" s="2" t="s">
        <v>2450</v>
      </c>
      <c r="D530" s="2">
        <v>4</v>
      </c>
      <c r="E530" s="2">
        <v>1</v>
      </c>
      <c r="F530" s="2" t="s">
        <v>1503</v>
      </c>
    </row>
    <row r="531" spans="1:6" ht="75" x14ac:dyDescent="0.25">
      <c r="A531" s="2" t="s">
        <v>1285</v>
      </c>
      <c r="B531" s="2" t="b">
        <v>0</v>
      </c>
      <c r="C531" s="2" t="s">
        <v>2451</v>
      </c>
      <c r="D531" s="2">
        <v>6</v>
      </c>
      <c r="E531" s="2">
        <v>1</v>
      </c>
      <c r="F531" s="2" t="s">
        <v>1503</v>
      </c>
    </row>
    <row r="532" spans="1:6" ht="75" x14ac:dyDescent="0.25">
      <c r="A532" s="2" t="s">
        <v>1289</v>
      </c>
      <c r="B532" s="2" t="b">
        <v>0</v>
      </c>
      <c r="C532" s="2" t="s">
        <v>2451</v>
      </c>
      <c r="D532" s="2">
        <v>6</v>
      </c>
      <c r="E532" s="2">
        <v>1</v>
      </c>
      <c r="F532" s="2" t="s">
        <v>1503</v>
      </c>
    </row>
    <row r="533" spans="1:6" ht="75" x14ac:dyDescent="0.25">
      <c r="A533" s="2" t="s">
        <v>1089</v>
      </c>
      <c r="B533" s="2" t="b">
        <v>1</v>
      </c>
      <c r="C533" s="2" t="s">
        <v>2452</v>
      </c>
      <c r="D533" s="2">
        <v>7</v>
      </c>
      <c r="E533" s="2">
        <v>1</v>
      </c>
      <c r="F533" s="2" t="s">
        <v>1503</v>
      </c>
    </row>
    <row r="534" spans="1:6" ht="75" x14ac:dyDescent="0.25">
      <c r="A534" s="2" t="s">
        <v>2453</v>
      </c>
      <c r="B534" s="2" t="b">
        <v>0</v>
      </c>
      <c r="C534" s="2" t="s">
        <v>2454</v>
      </c>
      <c r="D534" s="2">
        <v>4</v>
      </c>
      <c r="E534" s="2">
        <v>1</v>
      </c>
      <c r="F534" s="2" t="s">
        <v>1503</v>
      </c>
    </row>
    <row r="535" spans="1:6" ht="75" x14ac:dyDescent="0.25">
      <c r="A535" s="2" t="s">
        <v>1094</v>
      </c>
      <c r="B535" s="2" t="b">
        <v>1</v>
      </c>
      <c r="C535" s="2" t="s">
        <v>2455</v>
      </c>
      <c r="D535" s="2">
        <v>6</v>
      </c>
      <c r="E535" s="2">
        <v>1</v>
      </c>
      <c r="F535" s="2" t="s">
        <v>1503</v>
      </c>
    </row>
    <row r="536" spans="1:6" ht="75" x14ac:dyDescent="0.25">
      <c r="A536" s="2" t="s">
        <v>1097</v>
      </c>
      <c r="B536" s="2" t="b">
        <v>1</v>
      </c>
      <c r="C536" s="2" t="s">
        <v>2456</v>
      </c>
      <c r="D536" s="2">
        <v>6</v>
      </c>
      <c r="E536" s="2">
        <v>1</v>
      </c>
      <c r="F536" s="2" t="s">
        <v>1503</v>
      </c>
    </row>
    <row r="537" spans="1:6" ht="75" x14ac:dyDescent="0.25">
      <c r="A537" s="2" t="s">
        <v>1205</v>
      </c>
      <c r="B537" s="2" t="b">
        <v>1</v>
      </c>
      <c r="C537" s="2" t="s">
        <v>2442</v>
      </c>
      <c r="D537" s="2">
        <v>6</v>
      </c>
      <c r="E537" s="2">
        <v>1</v>
      </c>
      <c r="F537" s="2" t="s">
        <v>1503</v>
      </c>
    </row>
    <row r="538" spans="1:6" ht="75" x14ac:dyDescent="0.25">
      <c r="A538" s="2" t="s">
        <v>1150</v>
      </c>
      <c r="B538" s="2" t="b">
        <v>1</v>
      </c>
      <c r="C538" s="2" t="s">
        <v>2457</v>
      </c>
      <c r="D538" s="2">
        <v>6</v>
      </c>
      <c r="E538" s="2">
        <v>1</v>
      </c>
      <c r="F538" s="2" t="s">
        <v>1503</v>
      </c>
    </row>
    <row r="539" spans="1:6" ht="75" x14ac:dyDescent="0.25">
      <c r="A539" s="2" t="s">
        <v>1145</v>
      </c>
      <c r="B539" s="2" t="b">
        <v>1</v>
      </c>
      <c r="C539" s="2" t="s">
        <v>2458</v>
      </c>
      <c r="D539" s="2">
        <v>6</v>
      </c>
      <c r="E539" s="2">
        <v>1</v>
      </c>
      <c r="F539" s="2" t="s">
        <v>1503</v>
      </c>
    </row>
    <row r="540" spans="1:6" ht="75" x14ac:dyDescent="0.25">
      <c r="A540" s="2" t="s">
        <v>1116</v>
      </c>
      <c r="B540" s="2" t="b">
        <v>1</v>
      </c>
      <c r="C540" s="2" t="s">
        <v>1113</v>
      </c>
      <c r="D540" s="2">
        <v>6</v>
      </c>
      <c r="E540" s="2">
        <v>1</v>
      </c>
      <c r="F540" s="2" t="s">
        <v>1503</v>
      </c>
    </row>
    <row r="541" spans="1:6" ht="75" x14ac:dyDescent="0.25">
      <c r="A541" s="2" t="s">
        <v>1114</v>
      </c>
      <c r="B541" s="2" t="b">
        <v>1</v>
      </c>
      <c r="C541" s="2" t="s">
        <v>1113</v>
      </c>
      <c r="D541" s="2">
        <v>6</v>
      </c>
      <c r="E541" s="2">
        <v>1</v>
      </c>
      <c r="F541" s="2" t="s">
        <v>1503</v>
      </c>
    </row>
    <row r="542" spans="1:6" ht="75" x14ac:dyDescent="0.25">
      <c r="A542" s="2" t="s">
        <v>1142</v>
      </c>
      <c r="B542" s="2" t="b">
        <v>1</v>
      </c>
      <c r="C542" s="2" t="s">
        <v>2459</v>
      </c>
      <c r="D542" s="2">
        <v>6</v>
      </c>
      <c r="E542" s="2">
        <v>1</v>
      </c>
      <c r="F542" s="2" t="s">
        <v>1503</v>
      </c>
    </row>
    <row r="543" spans="1:6" ht="75" x14ac:dyDescent="0.25">
      <c r="A543" s="2" t="s">
        <v>2460</v>
      </c>
      <c r="B543" s="2" t="b">
        <v>0</v>
      </c>
      <c r="C543" s="2" t="s">
        <v>2461</v>
      </c>
      <c r="D543" s="2">
        <v>4</v>
      </c>
      <c r="E543" s="2">
        <v>1</v>
      </c>
      <c r="F543" s="2" t="s">
        <v>1503</v>
      </c>
    </row>
    <row r="544" spans="1:6" ht="75" x14ac:dyDescent="0.25">
      <c r="A544" s="2" t="s">
        <v>2462</v>
      </c>
      <c r="B544" s="2" t="b">
        <v>0</v>
      </c>
      <c r="C544" s="2" t="s">
        <v>2463</v>
      </c>
      <c r="D544" s="2">
        <v>4</v>
      </c>
      <c r="E544" s="2">
        <v>1</v>
      </c>
      <c r="F544" s="2" t="s">
        <v>1503</v>
      </c>
    </row>
    <row r="545" spans="1:6" ht="75" x14ac:dyDescent="0.25">
      <c r="A545" s="2" t="s">
        <v>2464</v>
      </c>
      <c r="B545" s="2" t="b">
        <v>0</v>
      </c>
      <c r="C545" s="2" t="s">
        <v>2465</v>
      </c>
      <c r="D545" s="2">
        <v>4</v>
      </c>
      <c r="E545" s="2">
        <v>1</v>
      </c>
      <c r="F545" s="2" t="s">
        <v>1503</v>
      </c>
    </row>
    <row r="546" spans="1:6" ht="75" x14ac:dyDescent="0.25">
      <c r="A546" s="2" t="s">
        <v>1131</v>
      </c>
      <c r="B546" s="2" t="b">
        <v>1</v>
      </c>
      <c r="C546" s="2" t="s">
        <v>2466</v>
      </c>
      <c r="D546" s="2">
        <v>6</v>
      </c>
      <c r="E546" s="2">
        <v>1</v>
      </c>
      <c r="F546" s="2" t="s">
        <v>1503</v>
      </c>
    </row>
    <row r="547" spans="1:6" ht="75" x14ac:dyDescent="0.25">
      <c r="A547" s="2" t="s">
        <v>2467</v>
      </c>
      <c r="B547" s="2" t="b">
        <v>0</v>
      </c>
      <c r="C547" s="2" t="s">
        <v>2468</v>
      </c>
      <c r="D547" s="2">
        <v>4</v>
      </c>
      <c r="E547" s="2">
        <v>1</v>
      </c>
      <c r="F547" s="2" t="s">
        <v>1503</v>
      </c>
    </row>
    <row r="548" spans="1:6" ht="75" x14ac:dyDescent="0.25">
      <c r="A548" s="2" t="s">
        <v>1105</v>
      </c>
      <c r="B548" s="2" t="b">
        <v>1</v>
      </c>
      <c r="C548" s="2" t="s">
        <v>2469</v>
      </c>
      <c r="D548" s="2">
        <v>6</v>
      </c>
      <c r="E548" s="2">
        <v>1</v>
      </c>
      <c r="F548" s="2" t="s">
        <v>1503</v>
      </c>
    </row>
    <row r="549" spans="1:6" ht="75" x14ac:dyDescent="0.25">
      <c r="A549" s="2" t="s">
        <v>1135</v>
      </c>
      <c r="B549" s="2" t="b">
        <v>1</v>
      </c>
      <c r="C549" s="2" t="s">
        <v>2470</v>
      </c>
      <c r="D549" s="2">
        <v>6</v>
      </c>
      <c r="E549" s="2">
        <v>1</v>
      </c>
      <c r="F549" s="2" t="s">
        <v>1503</v>
      </c>
    </row>
    <row r="550" spans="1:6" ht="75" x14ac:dyDescent="0.25">
      <c r="A550" s="2" t="s">
        <v>2471</v>
      </c>
      <c r="B550" s="2" t="b">
        <v>0</v>
      </c>
      <c r="C550" s="2" t="s">
        <v>2472</v>
      </c>
      <c r="D550" s="2">
        <v>4</v>
      </c>
      <c r="E550" s="2">
        <v>1</v>
      </c>
      <c r="F550" s="2" t="s">
        <v>1503</v>
      </c>
    </row>
    <row r="551" spans="1:6" ht="75" x14ac:dyDescent="0.25">
      <c r="A551" s="2" t="s">
        <v>1104</v>
      </c>
      <c r="B551" s="2" t="b">
        <v>1</v>
      </c>
      <c r="C551" s="2" t="s">
        <v>2473</v>
      </c>
      <c r="D551" s="2">
        <v>6</v>
      </c>
      <c r="E551" s="2">
        <v>1</v>
      </c>
      <c r="F551" s="2" t="s">
        <v>1503</v>
      </c>
    </row>
    <row r="552" spans="1:6" ht="75" x14ac:dyDescent="0.25">
      <c r="A552" s="2" t="s">
        <v>1103</v>
      </c>
      <c r="B552" s="2" t="b">
        <v>1</v>
      </c>
      <c r="C552" s="2" t="s">
        <v>2474</v>
      </c>
      <c r="D552" s="2">
        <v>6</v>
      </c>
      <c r="E552" s="2">
        <v>1</v>
      </c>
      <c r="F552" s="2" t="s">
        <v>1503</v>
      </c>
    </row>
    <row r="553" spans="1:6" ht="75" x14ac:dyDescent="0.25">
      <c r="A553" s="2" t="s">
        <v>1336</v>
      </c>
      <c r="B553" s="2" t="b">
        <v>1</v>
      </c>
      <c r="C553" s="2" t="s">
        <v>2475</v>
      </c>
      <c r="D553" s="2">
        <v>6</v>
      </c>
      <c r="E553" s="2">
        <v>1</v>
      </c>
      <c r="F553" s="2" t="s">
        <v>1503</v>
      </c>
    </row>
    <row r="554" spans="1:6" ht="75" x14ac:dyDescent="0.25">
      <c r="A554" s="2" t="s">
        <v>2476</v>
      </c>
      <c r="B554" s="2" t="b">
        <v>0</v>
      </c>
      <c r="C554" s="2" t="s">
        <v>2477</v>
      </c>
      <c r="D554" s="2">
        <v>4</v>
      </c>
      <c r="E554" s="2">
        <v>1</v>
      </c>
      <c r="F554" s="2" t="s">
        <v>1503</v>
      </c>
    </row>
    <row r="555" spans="1:6" ht="75" x14ac:dyDescent="0.25">
      <c r="A555" s="2" t="s">
        <v>2478</v>
      </c>
      <c r="B555" s="2" t="b">
        <v>0</v>
      </c>
      <c r="C555" s="2" t="s">
        <v>2479</v>
      </c>
      <c r="D555" s="2">
        <v>4</v>
      </c>
      <c r="E555" s="2">
        <v>1</v>
      </c>
      <c r="F555" s="2" t="s">
        <v>1503</v>
      </c>
    </row>
    <row r="556" spans="1:6" ht="75" x14ac:dyDescent="0.25">
      <c r="A556" s="2" t="s">
        <v>206</v>
      </c>
      <c r="B556" s="2" t="b">
        <v>1</v>
      </c>
      <c r="C556" s="2" t="s">
        <v>2480</v>
      </c>
      <c r="D556" s="2">
        <v>6</v>
      </c>
      <c r="E556" s="2">
        <v>1</v>
      </c>
      <c r="F556" s="2" t="s">
        <v>1503</v>
      </c>
    </row>
    <row r="557" spans="1:6" ht="75" x14ac:dyDescent="0.25">
      <c r="A557" s="2" t="s">
        <v>864</v>
      </c>
      <c r="B557" s="2" t="b">
        <v>1</v>
      </c>
      <c r="C557" s="2" t="s">
        <v>2481</v>
      </c>
      <c r="D557" s="2">
        <v>6</v>
      </c>
      <c r="E557" s="2">
        <v>1</v>
      </c>
      <c r="F557" s="2" t="s">
        <v>1503</v>
      </c>
    </row>
    <row r="558" spans="1:6" ht="75" x14ac:dyDescent="0.25">
      <c r="A558" s="2" t="s">
        <v>870</v>
      </c>
      <c r="B558" s="2" t="b">
        <v>1</v>
      </c>
      <c r="C558" s="2" t="s">
        <v>2482</v>
      </c>
      <c r="D558" s="2">
        <v>6</v>
      </c>
      <c r="E558" s="2">
        <v>1</v>
      </c>
      <c r="F558" s="2" t="s">
        <v>1503</v>
      </c>
    </row>
    <row r="559" spans="1:6" ht="75" x14ac:dyDescent="0.25">
      <c r="A559" s="2" t="s">
        <v>878</v>
      </c>
      <c r="B559" s="2" t="b">
        <v>1</v>
      </c>
      <c r="C559" s="2" t="s">
        <v>2483</v>
      </c>
      <c r="D559" s="2">
        <v>6</v>
      </c>
      <c r="E559" s="2">
        <v>1</v>
      </c>
      <c r="F559" s="2" t="s">
        <v>1503</v>
      </c>
    </row>
    <row r="560" spans="1:6" ht="75" x14ac:dyDescent="0.25">
      <c r="A560" s="2" t="s">
        <v>879</v>
      </c>
      <c r="B560" s="2" t="b">
        <v>1</v>
      </c>
      <c r="C560" s="2" t="s">
        <v>2484</v>
      </c>
      <c r="D560" s="2">
        <v>6</v>
      </c>
      <c r="E560" s="2">
        <v>1</v>
      </c>
      <c r="F560" s="2" t="s">
        <v>1503</v>
      </c>
    </row>
    <row r="561" spans="1:6" ht="75" x14ac:dyDescent="0.25">
      <c r="A561" s="2" t="s">
        <v>873</v>
      </c>
      <c r="B561" s="2" t="b">
        <v>1</v>
      </c>
      <c r="C561" s="2" t="s">
        <v>2485</v>
      </c>
      <c r="D561" s="2">
        <v>6</v>
      </c>
      <c r="E561" s="2">
        <v>1</v>
      </c>
      <c r="F561" s="2" t="s">
        <v>1503</v>
      </c>
    </row>
    <row r="562" spans="1:6" ht="75" x14ac:dyDescent="0.25">
      <c r="A562" s="2" t="s">
        <v>867</v>
      </c>
      <c r="B562" s="2" t="b">
        <v>1</v>
      </c>
      <c r="C562" s="2" t="s">
        <v>2486</v>
      </c>
      <c r="D562" s="2">
        <v>7</v>
      </c>
      <c r="E562" s="2">
        <v>1</v>
      </c>
      <c r="F562" s="2" t="s">
        <v>1503</v>
      </c>
    </row>
    <row r="563" spans="1:6" ht="75" x14ac:dyDescent="0.25">
      <c r="A563" s="2" t="s">
        <v>857</v>
      </c>
      <c r="B563" s="2" t="b">
        <v>1</v>
      </c>
      <c r="C563" s="2" t="s">
        <v>2487</v>
      </c>
      <c r="D563" s="2">
        <v>6</v>
      </c>
      <c r="E563" s="2">
        <v>1</v>
      </c>
      <c r="F563" s="2" t="s">
        <v>1503</v>
      </c>
    </row>
    <row r="564" spans="1:6" ht="75" x14ac:dyDescent="0.25">
      <c r="A564" s="2" t="s">
        <v>853</v>
      </c>
      <c r="B564" s="2" t="b">
        <v>1</v>
      </c>
      <c r="C564" s="2" t="s">
        <v>2488</v>
      </c>
      <c r="D564" s="2">
        <v>6</v>
      </c>
      <c r="E564" s="2">
        <v>1</v>
      </c>
      <c r="F564" s="2" t="s">
        <v>1503</v>
      </c>
    </row>
    <row r="565" spans="1:6" ht="75" x14ac:dyDescent="0.25">
      <c r="A565" s="2" t="s">
        <v>851</v>
      </c>
      <c r="B565" s="2" t="b">
        <v>1</v>
      </c>
      <c r="C565" s="2" t="s">
        <v>2489</v>
      </c>
      <c r="D565" s="2">
        <v>6</v>
      </c>
      <c r="E565" s="2">
        <v>1</v>
      </c>
      <c r="F565" s="2" t="s">
        <v>1503</v>
      </c>
    </row>
    <row r="566" spans="1:6" ht="75" x14ac:dyDescent="0.25">
      <c r="A566" s="2" t="s">
        <v>852</v>
      </c>
      <c r="B566" s="2" t="b">
        <v>1</v>
      </c>
      <c r="C566" s="2" t="s">
        <v>2490</v>
      </c>
      <c r="D566" s="2">
        <v>6</v>
      </c>
      <c r="E566" s="2">
        <v>1</v>
      </c>
      <c r="F566" s="2" t="s">
        <v>1503</v>
      </c>
    </row>
    <row r="567" spans="1:6" ht="75" x14ac:dyDescent="0.25">
      <c r="A567" s="2" t="s">
        <v>854</v>
      </c>
      <c r="B567" s="2" t="b">
        <v>1</v>
      </c>
      <c r="C567" s="2" t="s">
        <v>2491</v>
      </c>
      <c r="D567" s="2">
        <v>6</v>
      </c>
      <c r="E567" s="2">
        <v>1</v>
      </c>
      <c r="F567" s="2" t="s">
        <v>1503</v>
      </c>
    </row>
    <row r="568" spans="1:6" ht="75" x14ac:dyDescent="0.25">
      <c r="A568" s="2" t="s">
        <v>1124</v>
      </c>
      <c r="B568" s="2" t="b">
        <v>1</v>
      </c>
      <c r="C568" s="2" t="s">
        <v>2492</v>
      </c>
      <c r="D568" s="2">
        <v>6</v>
      </c>
      <c r="E568" s="2">
        <v>1</v>
      </c>
      <c r="F568" s="2" t="s">
        <v>1503</v>
      </c>
    </row>
    <row r="569" spans="1:6" ht="75" x14ac:dyDescent="0.25">
      <c r="A569" s="2" t="s">
        <v>2493</v>
      </c>
      <c r="B569" s="2" t="b">
        <v>0</v>
      </c>
      <c r="C569" s="2" t="s">
        <v>2494</v>
      </c>
      <c r="D569" s="2">
        <v>4</v>
      </c>
      <c r="E569" s="2">
        <v>1</v>
      </c>
      <c r="F569" s="2" t="s">
        <v>1503</v>
      </c>
    </row>
    <row r="570" spans="1:6" ht="75" x14ac:dyDescent="0.25">
      <c r="A570" s="2" t="s">
        <v>2495</v>
      </c>
      <c r="B570" s="2" t="b">
        <v>0</v>
      </c>
      <c r="C570" s="2" t="s">
        <v>2496</v>
      </c>
      <c r="D570" s="2">
        <v>4</v>
      </c>
      <c r="E570" s="2">
        <v>1</v>
      </c>
      <c r="F570" s="2" t="s">
        <v>1503</v>
      </c>
    </row>
    <row r="571" spans="1:6" ht="75" x14ac:dyDescent="0.25">
      <c r="A571" s="2" t="s">
        <v>2497</v>
      </c>
      <c r="B571" s="2" t="b">
        <v>0</v>
      </c>
      <c r="C571" s="2" t="s">
        <v>2498</v>
      </c>
      <c r="D571" s="2">
        <v>4</v>
      </c>
      <c r="E571" s="2">
        <v>1</v>
      </c>
      <c r="F571" s="2" t="s">
        <v>1503</v>
      </c>
    </row>
    <row r="572" spans="1:6" ht="75" x14ac:dyDescent="0.25">
      <c r="A572" s="2" t="s">
        <v>905</v>
      </c>
      <c r="B572" s="2" t="b">
        <v>1</v>
      </c>
      <c r="C572" s="2" t="s">
        <v>2499</v>
      </c>
      <c r="D572" s="2">
        <v>7</v>
      </c>
      <c r="E572" s="2">
        <v>1</v>
      </c>
      <c r="F572" s="2" t="s">
        <v>1503</v>
      </c>
    </row>
    <row r="573" spans="1:6" ht="75" x14ac:dyDescent="0.25">
      <c r="A573" s="2" t="s">
        <v>2500</v>
      </c>
      <c r="B573" s="2" t="b">
        <v>0</v>
      </c>
      <c r="C573" s="2" t="s">
        <v>2501</v>
      </c>
      <c r="D573" s="2">
        <v>4</v>
      </c>
      <c r="E573" s="2">
        <v>1</v>
      </c>
      <c r="F573" s="2" t="s">
        <v>1503</v>
      </c>
    </row>
    <row r="574" spans="1:6" ht="75" x14ac:dyDescent="0.25">
      <c r="A574" s="2" t="s">
        <v>2502</v>
      </c>
      <c r="B574" s="2" t="b">
        <v>0</v>
      </c>
      <c r="C574" s="2" t="s">
        <v>2501</v>
      </c>
      <c r="D574" s="2">
        <v>4</v>
      </c>
      <c r="E574" s="2">
        <v>1</v>
      </c>
      <c r="F574" s="2" t="s">
        <v>1503</v>
      </c>
    </row>
    <row r="575" spans="1:6" ht="75" x14ac:dyDescent="0.25">
      <c r="A575" s="2" t="s">
        <v>906</v>
      </c>
      <c r="B575" s="2" t="b">
        <v>1</v>
      </c>
      <c r="C575" s="2" t="s">
        <v>2503</v>
      </c>
      <c r="D575" s="2">
        <v>7</v>
      </c>
      <c r="E575" s="2">
        <v>1</v>
      </c>
      <c r="F575" s="2" t="s">
        <v>1503</v>
      </c>
    </row>
    <row r="576" spans="1:6" ht="75" x14ac:dyDescent="0.25">
      <c r="A576" s="2" t="s">
        <v>923</v>
      </c>
      <c r="B576" s="2" t="b">
        <v>1</v>
      </c>
      <c r="C576" s="2" t="s">
        <v>2504</v>
      </c>
      <c r="D576" s="2">
        <v>5</v>
      </c>
      <c r="E576" s="2">
        <v>1</v>
      </c>
      <c r="F576" s="2" t="s">
        <v>1503</v>
      </c>
    </row>
    <row r="577" spans="1:6" ht="75" x14ac:dyDescent="0.25">
      <c r="A577" s="2" t="s">
        <v>2505</v>
      </c>
      <c r="B577" s="2" t="b">
        <v>0</v>
      </c>
      <c r="C577" s="2" t="s">
        <v>2506</v>
      </c>
      <c r="D577" s="2">
        <v>4</v>
      </c>
      <c r="E577" s="2">
        <v>1</v>
      </c>
      <c r="F577" s="2" t="s">
        <v>1503</v>
      </c>
    </row>
    <row r="578" spans="1:6" ht="75" x14ac:dyDescent="0.25">
      <c r="A578" s="2" t="s">
        <v>1246</v>
      </c>
      <c r="B578" s="2" t="b">
        <v>1</v>
      </c>
      <c r="C578" s="2" t="s">
        <v>1245</v>
      </c>
      <c r="D578" s="2">
        <v>5</v>
      </c>
      <c r="E578" s="2">
        <v>1</v>
      </c>
      <c r="F578" s="2" t="s">
        <v>1503</v>
      </c>
    </row>
    <row r="579" spans="1:6" ht="75" x14ac:dyDescent="0.25">
      <c r="A579" s="2" t="s">
        <v>1249</v>
      </c>
      <c r="B579" s="2" t="b">
        <v>1</v>
      </c>
      <c r="C579" s="2" t="s">
        <v>2507</v>
      </c>
      <c r="D579" s="2">
        <v>5</v>
      </c>
      <c r="E579" s="2">
        <v>1</v>
      </c>
      <c r="F579" s="2" t="s">
        <v>1503</v>
      </c>
    </row>
    <row r="580" spans="1:6" ht="75" x14ac:dyDescent="0.25">
      <c r="A580" s="2" t="s">
        <v>1248</v>
      </c>
      <c r="B580" s="2" t="b">
        <v>1</v>
      </c>
      <c r="C580" s="2" t="s">
        <v>2508</v>
      </c>
      <c r="D580" s="2">
        <v>5</v>
      </c>
      <c r="E580" s="2">
        <v>1</v>
      </c>
      <c r="F580" s="2" t="s">
        <v>1503</v>
      </c>
    </row>
    <row r="581" spans="1:6" ht="75" x14ac:dyDescent="0.25">
      <c r="A581" s="2" t="s">
        <v>1247</v>
      </c>
      <c r="B581" s="2" t="b">
        <v>1</v>
      </c>
      <c r="C581" s="2" t="s">
        <v>2509</v>
      </c>
      <c r="D581" s="2">
        <v>5</v>
      </c>
      <c r="E581" s="2">
        <v>1</v>
      </c>
      <c r="F581" s="2" t="s">
        <v>1503</v>
      </c>
    </row>
    <row r="582" spans="1:6" ht="75" x14ac:dyDescent="0.25">
      <c r="A582" s="2" t="s">
        <v>2510</v>
      </c>
      <c r="B582" s="2" t="b">
        <v>0</v>
      </c>
      <c r="C582" s="2" t="s">
        <v>2511</v>
      </c>
      <c r="D582" s="2">
        <v>4</v>
      </c>
      <c r="E582" s="2">
        <v>1</v>
      </c>
      <c r="F582" s="2" t="s">
        <v>1503</v>
      </c>
    </row>
    <row r="583" spans="1:6" ht="75" x14ac:dyDescent="0.25">
      <c r="A583" s="2" t="s">
        <v>2512</v>
      </c>
      <c r="B583" s="2" t="b">
        <v>0</v>
      </c>
      <c r="C583" s="2" t="s">
        <v>2513</v>
      </c>
      <c r="D583" s="2">
        <v>4</v>
      </c>
      <c r="E583" s="2">
        <v>1</v>
      </c>
      <c r="F583" s="2" t="s">
        <v>1503</v>
      </c>
    </row>
    <row r="584" spans="1:6" ht="75" x14ac:dyDescent="0.25">
      <c r="A584" s="2" t="s">
        <v>2514</v>
      </c>
      <c r="B584" s="2" t="b">
        <v>0</v>
      </c>
      <c r="C584" s="2" t="s">
        <v>2515</v>
      </c>
      <c r="D584" s="2">
        <v>4</v>
      </c>
      <c r="E584" s="2">
        <v>3</v>
      </c>
      <c r="F584" s="2" t="s">
        <v>1503</v>
      </c>
    </row>
    <row r="585" spans="1:6" ht="75" x14ac:dyDescent="0.25">
      <c r="A585" s="2" t="s">
        <v>2516</v>
      </c>
      <c r="B585" s="2" t="b">
        <v>0</v>
      </c>
      <c r="C585" s="2" t="s">
        <v>2515</v>
      </c>
      <c r="D585" s="2">
        <v>4</v>
      </c>
      <c r="E585" s="2">
        <v>3</v>
      </c>
      <c r="F585" s="2" t="s">
        <v>1503</v>
      </c>
    </row>
    <row r="586" spans="1:6" ht="75" x14ac:dyDescent="0.25">
      <c r="A586" s="2" t="s">
        <v>2517</v>
      </c>
      <c r="B586" s="2" t="b">
        <v>0</v>
      </c>
      <c r="C586" s="2" t="s">
        <v>2518</v>
      </c>
      <c r="D586" s="2">
        <v>4</v>
      </c>
      <c r="E586" s="2">
        <v>1</v>
      </c>
      <c r="F586" s="2" t="s">
        <v>1503</v>
      </c>
    </row>
    <row r="587" spans="1:6" ht="75" x14ac:dyDescent="0.25">
      <c r="A587" s="2" t="s">
        <v>2519</v>
      </c>
      <c r="B587" s="2" t="b">
        <v>0</v>
      </c>
      <c r="C587" s="2" t="s">
        <v>2520</v>
      </c>
      <c r="D587" s="2">
        <v>4</v>
      </c>
      <c r="E587" s="2">
        <v>1</v>
      </c>
      <c r="F587" s="2" t="s">
        <v>1503</v>
      </c>
    </row>
    <row r="588" spans="1:6" ht="75" x14ac:dyDescent="0.25">
      <c r="A588" s="2" t="s">
        <v>2521</v>
      </c>
      <c r="B588" s="2" t="b">
        <v>0</v>
      </c>
      <c r="C588" s="2" t="s">
        <v>2522</v>
      </c>
      <c r="D588" s="2">
        <v>4</v>
      </c>
      <c r="E588" s="2">
        <v>3</v>
      </c>
      <c r="F588" s="2" t="s">
        <v>1503</v>
      </c>
    </row>
    <row r="589" spans="1:6" ht="75" x14ac:dyDescent="0.25">
      <c r="A589" s="2" t="s">
        <v>2523</v>
      </c>
      <c r="B589" s="2" t="b">
        <v>0</v>
      </c>
      <c r="C589" s="2" t="s">
        <v>2524</v>
      </c>
      <c r="D589" s="2">
        <v>4</v>
      </c>
      <c r="E589" s="2">
        <v>1</v>
      </c>
      <c r="F589" s="2" t="s">
        <v>1503</v>
      </c>
    </row>
    <row r="590" spans="1:6" ht="75" x14ac:dyDescent="0.25">
      <c r="A590" s="2" t="s">
        <v>2525</v>
      </c>
      <c r="B590" s="2" t="b">
        <v>0</v>
      </c>
      <c r="C590" s="2" t="s">
        <v>2526</v>
      </c>
      <c r="D590" s="2">
        <v>4</v>
      </c>
      <c r="E590" s="2">
        <v>1</v>
      </c>
      <c r="F590" s="2" t="s">
        <v>1503</v>
      </c>
    </row>
    <row r="591" spans="1:6" ht="75" x14ac:dyDescent="0.25">
      <c r="A591" s="2" t="s">
        <v>2527</v>
      </c>
      <c r="B591" s="2" t="b">
        <v>0</v>
      </c>
      <c r="C591" s="2" t="s">
        <v>2528</v>
      </c>
      <c r="D591" s="2">
        <v>4</v>
      </c>
      <c r="E591" s="2">
        <v>3</v>
      </c>
      <c r="F591" s="2" t="s">
        <v>1503</v>
      </c>
    </row>
    <row r="592" spans="1:6" ht="75" x14ac:dyDescent="0.25">
      <c r="A592" s="2" t="s">
        <v>2529</v>
      </c>
      <c r="B592" s="2" t="b">
        <v>0</v>
      </c>
      <c r="C592" s="2" t="s">
        <v>2528</v>
      </c>
      <c r="D592" s="2">
        <v>4</v>
      </c>
      <c r="E592" s="2">
        <v>3</v>
      </c>
      <c r="F592" s="2" t="s">
        <v>1503</v>
      </c>
    </row>
    <row r="593" spans="1:6" ht="75" x14ac:dyDescent="0.25">
      <c r="A593" s="2" t="s">
        <v>2530</v>
      </c>
      <c r="B593" s="2" t="b">
        <v>0</v>
      </c>
      <c r="C593" s="2" t="s">
        <v>2531</v>
      </c>
      <c r="D593" s="2">
        <v>4</v>
      </c>
      <c r="E593" s="2">
        <v>3</v>
      </c>
      <c r="F593" s="2" t="s">
        <v>1503</v>
      </c>
    </row>
    <row r="594" spans="1:6" ht="75" x14ac:dyDescent="0.25">
      <c r="A594" s="2" t="s">
        <v>2532</v>
      </c>
      <c r="B594" s="2" t="b">
        <v>0</v>
      </c>
      <c r="C594" s="2" t="s">
        <v>2531</v>
      </c>
      <c r="D594" s="2">
        <v>4</v>
      </c>
      <c r="E594" s="2">
        <v>3</v>
      </c>
      <c r="F594" s="2" t="s">
        <v>1503</v>
      </c>
    </row>
    <row r="595" spans="1:6" ht="75" x14ac:dyDescent="0.25">
      <c r="A595" s="2" t="s">
        <v>943</v>
      </c>
      <c r="B595" s="2" t="b">
        <v>1</v>
      </c>
      <c r="C595" s="2" t="s">
        <v>2533</v>
      </c>
      <c r="D595" s="2">
        <v>6</v>
      </c>
      <c r="E595" s="2">
        <v>1</v>
      </c>
      <c r="F595" s="2" t="s">
        <v>1503</v>
      </c>
    </row>
    <row r="596" spans="1:6" ht="75" x14ac:dyDescent="0.25">
      <c r="A596" s="2" t="s">
        <v>2534</v>
      </c>
      <c r="B596" s="2" t="b">
        <v>0</v>
      </c>
      <c r="C596" s="2" t="s">
        <v>2535</v>
      </c>
      <c r="D596" s="2">
        <v>4</v>
      </c>
      <c r="E596" s="2">
        <v>1</v>
      </c>
      <c r="F596" s="2" t="s">
        <v>1503</v>
      </c>
    </row>
    <row r="597" spans="1:6" ht="75" x14ac:dyDescent="0.25">
      <c r="A597" s="2" t="s">
        <v>2536</v>
      </c>
      <c r="B597" s="2" t="b">
        <v>0</v>
      </c>
      <c r="C597" s="2" t="s">
        <v>2537</v>
      </c>
      <c r="D597" s="2">
        <v>4</v>
      </c>
      <c r="E597" s="2">
        <v>1</v>
      </c>
      <c r="F597" s="2" t="s">
        <v>1503</v>
      </c>
    </row>
    <row r="598" spans="1:6" ht="75" x14ac:dyDescent="0.25">
      <c r="A598" s="2" t="s">
        <v>2538</v>
      </c>
      <c r="B598" s="2" t="b">
        <v>0</v>
      </c>
      <c r="C598" s="2" t="s">
        <v>2539</v>
      </c>
      <c r="D598" s="2">
        <v>4</v>
      </c>
      <c r="E598" s="2">
        <v>1</v>
      </c>
      <c r="F598" s="2" t="s">
        <v>1503</v>
      </c>
    </row>
    <row r="599" spans="1:6" ht="75" x14ac:dyDescent="0.25">
      <c r="A599" s="2" t="s">
        <v>2540</v>
      </c>
      <c r="B599" s="2" t="b">
        <v>0</v>
      </c>
      <c r="C599" s="2" t="s">
        <v>2541</v>
      </c>
      <c r="D599" s="2">
        <v>4</v>
      </c>
      <c r="E599" s="2">
        <v>3</v>
      </c>
      <c r="F599" s="2" t="s">
        <v>1503</v>
      </c>
    </row>
    <row r="600" spans="1:6" ht="75" x14ac:dyDescent="0.25">
      <c r="A600" s="2" t="s">
        <v>2542</v>
      </c>
      <c r="B600" s="2" t="b">
        <v>0</v>
      </c>
      <c r="C600" s="2" t="s">
        <v>2541</v>
      </c>
      <c r="D600" s="2">
        <v>4</v>
      </c>
      <c r="E600" s="2">
        <v>3</v>
      </c>
      <c r="F600" s="2" t="s">
        <v>1503</v>
      </c>
    </row>
    <row r="601" spans="1:6" ht="75" x14ac:dyDescent="0.25">
      <c r="A601" s="2" t="s">
        <v>2543</v>
      </c>
      <c r="B601" s="2" t="b">
        <v>0</v>
      </c>
      <c r="C601" s="2" t="s">
        <v>2544</v>
      </c>
      <c r="D601" s="2">
        <v>4</v>
      </c>
      <c r="E601" s="2">
        <v>3</v>
      </c>
      <c r="F601" s="2" t="s">
        <v>1503</v>
      </c>
    </row>
    <row r="602" spans="1:6" ht="75" x14ac:dyDescent="0.25">
      <c r="A602" s="2" t="s">
        <v>2545</v>
      </c>
      <c r="B602" s="2" t="b">
        <v>0</v>
      </c>
      <c r="C602" s="2" t="s">
        <v>2546</v>
      </c>
      <c r="D602" s="2">
        <v>4</v>
      </c>
      <c r="E602" s="2">
        <v>3</v>
      </c>
      <c r="F602" s="2" t="s">
        <v>1503</v>
      </c>
    </row>
    <row r="603" spans="1:6" ht="75" x14ac:dyDescent="0.25">
      <c r="A603" s="2" t="s">
        <v>2547</v>
      </c>
      <c r="B603" s="2" t="b">
        <v>0</v>
      </c>
      <c r="C603" s="2" t="s">
        <v>2548</v>
      </c>
      <c r="D603" s="2">
        <v>4</v>
      </c>
      <c r="E603" s="2">
        <v>1</v>
      </c>
      <c r="F603" s="2" t="s">
        <v>1503</v>
      </c>
    </row>
    <row r="604" spans="1:6" ht="75" x14ac:dyDescent="0.25">
      <c r="A604" s="2" t="s">
        <v>2549</v>
      </c>
      <c r="B604" s="2" t="b">
        <v>0</v>
      </c>
      <c r="C604" s="2" t="s">
        <v>2550</v>
      </c>
      <c r="D604" s="2">
        <v>4</v>
      </c>
      <c r="E604" s="2">
        <v>1</v>
      </c>
      <c r="F604" s="2" t="s">
        <v>1503</v>
      </c>
    </row>
    <row r="605" spans="1:6" ht="75" x14ac:dyDescent="0.25">
      <c r="A605" s="2" t="s">
        <v>2551</v>
      </c>
      <c r="B605" s="2" t="b">
        <v>0</v>
      </c>
      <c r="C605" s="2" t="s">
        <v>2552</v>
      </c>
      <c r="D605" s="2">
        <v>4</v>
      </c>
      <c r="E605" s="2">
        <v>1</v>
      </c>
      <c r="F605" s="2" t="s">
        <v>1503</v>
      </c>
    </row>
    <row r="606" spans="1:6" ht="75" x14ac:dyDescent="0.25">
      <c r="A606" s="2" t="s">
        <v>2553</v>
      </c>
      <c r="B606" s="2" t="b">
        <v>0</v>
      </c>
      <c r="C606" s="2" t="s">
        <v>2554</v>
      </c>
      <c r="D606" s="2">
        <v>4</v>
      </c>
      <c r="E606" s="2">
        <v>3</v>
      </c>
      <c r="F606" s="2" t="s">
        <v>1503</v>
      </c>
    </row>
    <row r="607" spans="1:6" ht="75" x14ac:dyDescent="0.25">
      <c r="A607" s="2" t="s">
        <v>2555</v>
      </c>
      <c r="B607" s="2" t="b">
        <v>0</v>
      </c>
      <c r="C607" s="2" t="s">
        <v>2556</v>
      </c>
      <c r="D607" s="2">
        <v>4</v>
      </c>
      <c r="E607" s="2">
        <v>1</v>
      </c>
      <c r="F607" s="2" t="s">
        <v>1503</v>
      </c>
    </row>
    <row r="608" spans="1:6" ht="75" x14ac:dyDescent="0.25">
      <c r="A608" s="2" t="s">
        <v>2557</v>
      </c>
      <c r="B608" s="2" t="b">
        <v>0</v>
      </c>
      <c r="C608" s="2" t="s">
        <v>2554</v>
      </c>
      <c r="D608" s="2">
        <v>4</v>
      </c>
      <c r="E608" s="2">
        <v>3</v>
      </c>
      <c r="F608" s="2" t="s">
        <v>1503</v>
      </c>
    </row>
    <row r="609" spans="1:6" ht="75" x14ac:dyDescent="0.25">
      <c r="A609" s="2" t="s">
        <v>2558</v>
      </c>
      <c r="B609" s="2" t="b">
        <v>0</v>
      </c>
      <c r="C609" s="2" t="s">
        <v>2559</v>
      </c>
      <c r="D609" s="2">
        <v>4</v>
      </c>
      <c r="E609" s="2">
        <v>1</v>
      </c>
      <c r="F609" s="2" t="s">
        <v>1503</v>
      </c>
    </row>
    <row r="610" spans="1:6" ht="75" x14ac:dyDescent="0.25">
      <c r="A610" s="2" t="s">
        <v>1016</v>
      </c>
      <c r="B610" s="2" t="b">
        <v>1</v>
      </c>
      <c r="C610" s="2" t="s">
        <v>2560</v>
      </c>
      <c r="D610" s="2">
        <v>5</v>
      </c>
      <c r="E610" s="2">
        <v>1</v>
      </c>
      <c r="F610" s="2" t="s">
        <v>1503</v>
      </c>
    </row>
    <row r="611" spans="1:6" ht="75" x14ac:dyDescent="0.25">
      <c r="A611" s="2" t="s">
        <v>2561</v>
      </c>
      <c r="B611" s="2" t="b">
        <v>0</v>
      </c>
      <c r="C611" s="2" t="s">
        <v>2562</v>
      </c>
      <c r="D611" s="2">
        <v>4</v>
      </c>
      <c r="E611" s="2">
        <v>1</v>
      </c>
      <c r="F611" s="2" t="s">
        <v>1503</v>
      </c>
    </row>
    <row r="612" spans="1:6" ht="75" x14ac:dyDescent="0.25">
      <c r="A612" s="2" t="s">
        <v>2563</v>
      </c>
      <c r="B612" s="2" t="b">
        <v>0</v>
      </c>
      <c r="C612" s="2" t="s">
        <v>2564</v>
      </c>
      <c r="D612" s="2">
        <v>4</v>
      </c>
      <c r="E612" s="2">
        <v>1</v>
      </c>
      <c r="F612" s="2" t="s">
        <v>1503</v>
      </c>
    </row>
    <row r="613" spans="1:6" ht="75" x14ac:dyDescent="0.25">
      <c r="A613" s="2" t="s">
        <v>1021</v>
      </c>
      <c r="B613" s="2" t="b">
        <v>1</v>
      </c>
      <c r="C613" s="2" t="s">
        <v>1020</v>
      </c>
      <c r="D613" s="2">
        <v>7</v>
      </c>
      <c r="E613" s="2">
        <v>1</v>
      </c>
      <c r="F613" s="2" t="s">
        <v>1503</v>
      </c>
    </row>
    <row r="614" spans="1:6" ht="75" x14ac:dyDescent="0.25">
      <c r="A614" s="2" t="s">
        <v>1005</v>
      </c>
      <c r="B614" s="2" t="b">
        <v>1</v>
      </c>
      <c r="C614" s="2" t="s">
        <v>2565</v>
      </c>
      <c r="D614" s="2">
        <v>5</v>
      </c>
      <c r="E614" s="2">
        <v>1</v>
      </c>
      <c r="F614" s="2" t="s">
        <v>1503</v>
      </c>
    </row>
    <row r="615" spans="1:6" ht="75" x14ac:dyDescent="0.25">
      <c r="A615" s="2" t="s">
        <v>2566</v>
      </c>
      <c r="B615" s="2" t="b">
        <v>0</v>
      </c>
      <c r="C615" s="2" t="s">
        <v>2567</v>
      </c>
      <c r="D615" s="2">
        <v>4</v>
      </c>
      <c r="E615" s="2">
        <v>1</v>
      </c>
      <c r="F615" s="2" t="s">
        <v>1503</v>
      </c>
    </row>
    <row r="616" spans="1:6" ht="75" x14ac:dyDescent="0.25">
      <c r="A616" s="2" t="s">
        <v>2568</v>
      </c>
      <c r="B616" s="2" t="b">
        <v>0</v>
      </c>
      <c r="C616" s="2" t="s">
        <v>2569</v>
      </c>
      <c r="D616" s="2">
        <v>4</v>
      </c>
      <c r="E616" s="2">
        <v>1</v>
      </c>
      <c r="F616" s="2" t="s">
        <v>1503</v>
      </c>
    </row>
    <row r="617" spans="1:6" ht="75" x14ac:dyDescent="0.25">
      <c r="A617" s="2" t="s">
        <v>1356</v>
      </c>
      <c r="B617" s="2" t="b">
        <v>1</v>
      </c>
      <c r="C617" s="2" t="s">
        <v>2569</v>
      </c>
      <c r="D617" s="2">
        <v>6</v>
      </c>
      <c r="E617" s="2">
        <v>1</v>
      </c>
      <c r="F617" s="2" t="s">
        <v>1503</v>
      </c>
    </row>
    <row r="618" spans="1:6" ht="75" x14ac:dyDescent="0.25">
      <c r="A618" s="2" t="s">
        <v>1351</v>
      </c>
      <c r="B618" s="2" t="b">
        <v>1</v>
      </c>
      <c r="C618" s="2" t="s">
        <v>2570</v>
      </c>
      <c r="D618" s="2">
        <v>6</v>
      </c>
      <c r="E618" s="2">
        <v>1</v>
      </c>
      <c r="F618" s="2" t="s">
        <v>1503</v>
      </c>
    </row>
    <row r="619" spans="1:6" ht="75" x14ac:dyDescent="0.25">
      <c r="A619" s="2" t="s">
        <v>2571</v>
      </c>
      <c r="B619" s="2" t="b">
        <v>0</v>
      </c>
      <c r="C619" s="2" t="s">
        <v>2572</v>
      </c>
      <c r="D619" s="2">
        <v>4</v>
      </c>
      <c r="E619" s="2">
        <v>1</v>
      </c>
      <c r="F619" s="2" t="s">
        <v>1503</v>
      </c>
    </row>
    <row r="620" spans="1:6" ht="75" x14ac:dyDescent="0.25">
      <c r="A620" s="2" t="s">
        <v>1346</v>
      </c>
      <c r="B620" s="2" t="b">
        <v>1</v>
      </c>
      <c r="C620" s="2" t="s">
        <v>2573</v>
      </c>
      <c r="D620" s="2">
        <v>6</v>
      </c>
      <c r="E620" s="2">
        <v>1</v>
      </c>
      <c r="F620" s="2" t="s">
        <v>1503</v>
      </c>
    </row>
    <row r="621" spans="1:6" ht="75" x14ac:dyDescent="0.25">
      <c r="A621" s="2" t="s">
        <v>1002</v>
      </c>
      <c r="B621" s="2" t="b">
        <v>1</v>
      </c>
      <c r="C621" s="2" t="s">
        <v>2574</v>
      </c>
      <c r="D621" s="2">
        <v>6</v>
      </c>
      <c r="E621" s="2">
        <v>1</v>
      </c>
      <c r="F621" s="2" t="s">
        <v>1503</v>
      </c>
    </row>
    <row r="622" spans="1:6" ht="75" x14ac:dyDescent="0.25">
      <c r="A622" s="2" t="s">
        <v>2575</v>
      </c>
      <c r="B622" s="2" t="b">
        <v>0</v>
      </c>
      <c r="C622" s="2" t="s">
        <v>2576</v>
      </c>
      <c r="D622" s="2">
        <v>4</v>
      </c>
      <c r="E622" s="2">
        <v>1</v>
      </c>
      <c r="F622" s="2" t="s">
        <v>1503</v>
      </c>
    </row>
    <row r="623" spans="1:6" ht="75" x14ac:dyDescent="0.25">
      <c r="A623" s="2" t="s">
        <v>2577</v>
      </c>
      <c r="B623" s="2" t="b">
        <v>0</v>
      </c>
      <c r="C623" s="2" t="s">
        <v>2578</v>
      </c>
      <c r="D623" s="2">
        <v>4</v>
      </c>
      <c r="E623" s="2">
        <v>1</v>
      </c>
      <c r="F623" s="2" t="s">
        <v>1503</v>
      </c>
    </row>
    <row r="624" spans="1:6" ht="75" x14ac:dyDescent="0.25">
      <c r="A624" s="2" t="s">
        <v>1368</v>
      </c>
      <c r="B624" s="2" t="b">
        <v>1</v>
      </c>
      <c r="C624" s="2" t="s">
        <v>2579</v>
      </c>
      <c r="D624" s="2">
        <v>6</v>
      </c>
      <c r="E624" s="2">
        <v>1</v>
      </c>
      <c r="F624" s="2" t="s">
        <v>1503</v>
      </c>
    </row>
    <row r="625" spans="1:6" ht="75" x14ac:dyDescent="0.25">
      <c r="A625" s="2" t="s">
        <v>1347</v>
      </c>
      <c r="B625" s="2" t="b">
        <v>1</v>
      </c>
      <c r="C625" s="2" t="s">
        <v>2580</v>
      </c>
      <c r="D625" s="2">
        <v>6</v>
      </c>
      <c r="E625" s="2">
        <v>1</v>
      </c>
      <c r="F625" s="2" t="s">
        <v>1503</v>
      </c>
    </row>
    <row r="626" spans="1:6" ht="75" x14ac:dyDescent="0.25">
      <c r="A626" s="2" t="s">
        <v>1350</v>
      </c>
      <c r="B626" s="2" t="b">
        <v>1</v>
      </c>
      <c r="C626" s="2" t="s">
        <v>2581</v>
      </c>
      <c r="D626" s="2">
        <v>6</v>
      </c>
      <c r="E626" s="2">
        <v>1</v>
      </c>
      <c r="F626" s="2" t="s">
        <v>1503</v>
      </c>
    </row>
    <row r="627" spans="1:6" ht="75" x14ac:dyDescent="0.25">
      <c r="A627" s="2" t="s">
        <v>2582</v>
      </c>
      <c r="B627" s="2" t="b">
        <v>0</v>
      </c>
      <c r="C627" s="2" t="s">
        <v>2583</v>
      </c>
      <c r="D627" s="2">
        <v>4</v>
      </c>
      <c r="E627" s="2">
        <v>1</v>
      </c>
      <c r="F627" s="2" t="s">
        <v>1503</v>
      </c>
    </row>
    <row r="628" spans="1:6" ht="75" x14ac:dyDescent="0.25">
      <c r="A628" s="2" t="s">
        <v>229</v>
      </c>
      <c r="B628" s="2" t="b">
        <v>1</v>
      </c>
      <c r="C628" s="2" t="s">
        <v>2584</v>
      </c>
      <c r="D628" s="2">
        <v>7</v>
      </c>
      <c r="E628" s="2">
        <v>1</v>
      </c>
      <c r="F628" s="2" t="s">
        <v>1503</v>
      </c>
    </row>
    <row r="629" spans="1:6" ht="75" x14ac:dyDescent="0.25">
      <c r="A629" s="2" t="s">
        <v>2585</v>
      </c>
      <c r="B629" s="2" t="b">
        <v>0</v>
      </c>
      <c r="C629" s="2" t="s">
        <v>2586</v>
      </c>
      <c r="D629" s="2">
        <v>4</v>
      </c>
      <c r="E629" s="2">
        <v>1</v>
      </c>
      <c r="F629" s="2" t="s">
        <v>1503</v>
      </c>
    </row>
    <row r="630" spans="1:6" ht="75" x14ac:dyDescent="0.25">
      <c r="A630" s="2" t="s">
        <v>2587</v>
      </c>
      <c r="B630" s="2" t="b">
        <v>0</v>
      </c>
      <c r="C630" s="2" t="s">
        <v>2588</v>
      </c>
      <c r="D630" s="2">
        <v>4</v>
      </c>
      <c r="E630" s="2">
        <v>1</v>
      </c>
      <c r="F630" s="2" t="s">
        <v>1503</v>
      </c>
    </row>
    <row r="631" spans="1:6" ht="75" x14ac:dyDescent="0.25">
      <c r="A631" s="2" t="s">
        <v>415</v>
      </c>
      <c r="B631" s="2" t="b">
        <v>1</v>
      </c>
      <c r="C631" s="2" t="s">
        <v>2589</v>
      </c>
      <c r="D631" s="2">
        <v>6</v>
      </c>
      <c r="E631" s="2">
        <v>1</v>
      </c>
      <c r="F631" s="2" t="s">
        <v>1503</v>
      </c>
    </row>
    <row r="632" spans="1:6" ht="75" x14ac:dyDescent="0.25">
      <c r="A632" s="2" t="s">
        <v>465</v>
      </c>
      <c r="B632" s="2" t="b">
        <v>1</v>
      </c>
      <c r="C632" s="2" t="s">
        <v>467</v>
      </c>
      <c r="D632" s="2">
        <v>6</v>
      </c>
      <c r="E632" s="2">
        <v>1</v>
      </c>
      <c r="F632" s="2" t="s">
        <v>1503</v>
      </c>
    </row>
    <row r="633" spans="1:6" ht="75" x14ac:dyDescent="0.25">
      <c r="A633" s="2" t="s">
        <v>2590</v>
      </c>
      <c r="B633" s="2" t="b">
        <v>0</v>
      </c>
      <c r="C633" s="2" t="s">
        <v>2591</v>
      </c>
      <c r="D633" s="2">
        <v>4</v>
      </c>
      <c r="E633" s="2">
        <v>1</v>
      </c>
      <c r="F633" s="2" t="s">
        <v>1503</v>
      </c>
    </row>
    <row r="634" spans="1:6" ht="75" x14ac:dyDescent="0.25">
      <c r="A634" s="2" t="s">
        <v>2592</v>
      </c>
      <c r="B634" s="2" t="b">
        <v>0</v>
      </c>
      <c r="C634" s="2" t="s">
        <v>2593</v>
      </c>
      <c r="D634" s="2">
        <v>4</v>
      </c>
      <c r="E634" s="2">
        <v>1</v>
      </c>
      <c r="F634" s="2" t="s">
        <v>1503</v>
      </c>
    </row>
    <row r="635" spans="1:6" ht="75" x14ac:dyDescent="0.25">
      <c r="A635" s="2" t="s">
        <v>2594</v>
      </c>
      <c r="B635" s="2" t="b">
        <v>0</v>
      </c>
      <c r="C635" s="2" t="s">
        <v>2595</v>
      </c>
      <c r="D635" s="2">
        <v>4</v>
      </c>
      <c r="E635" s="2">
        <v>1</v>
      </c>
      <c r="F635" s="2" t="s">
        <v>1503</v>
      </c>
    </row>
    <row r="636" spans="1:6" ht="75" x14ac:dyDescent="0.25">
      <c r="A636" s="2" t="s">
        <v>957</v>
      </c>
      <c r="B636" s="2" t="b">
        <v>1</v>
      </c>
      <c r="C636" s="2" t="s">
        <v>2596</v>
      </c>
      <c r="D636" s="2">
        <v>7</v>
      </c>
      <c r="E636" s="2">
        <v>1</v>
      </c>
      <c r="F636" s="2" t="s">
        <v>1503</v>
      </c>
    </row>
    <row r="637" spans="1:6" ht="75" x14ac:dyDescent="0.25">
      <c r="A637" s="2" t="s">
        <v>2597</v>
      </c>
      <c r="B637" s="2" t="b">
        <v>0</v>
      </c>
      <c r="C637" s="2" t="s">
        <v>2598</v>
      </c>
      <c r="D637" s="2">
        <v>4</v>
      </c>
      <c r="E637" s="2">
        <v>1</v>
      </c>
      <c r="F637" s="2" t="s">
        <v>1503</v>
      </c>
    </row>
    <row r="638" spans="1:6" ht="75" x14ac:dyDescent="0.25">
      <c r="A638" s="2" t="s">
        <v>960</v>
      </c>
      <c r="B638" s="2" t="b">
        <v>1</v>
      </c>
      <c r="C638" s="2" t="s">
        <v>2599</v>
      </c>
      <c r="D638" s="2">
        <v>6</v>
      </c>
      <c r="E638" s="2">
        <v>1</v>
      </c>
      <c r="F638" s="2" t="s">
        <v>1503</v>
      </c>
    </row>
    <row r="639" spans="1:6" ht="75" x14ac:dyDescent="0.25">
      <c r="A639" s="2" t="s">
        <v>2600</v>
      </c>
      <c r="B639" s="2" t="b">
        <v>0</v>
      </c>
      <c r="C639" s="2" t="s">
        <v>2601</v>
      </c>
      <c r="D639" s="2">
        <v>4</v>
      </c>
      <c r="E639" s="2">
        <v>1</v>
      </c>
      <c r="F639" s="2" t="s">
        <v>1503</v>
      </c>
    </row>
    <row r="640" spans="1:6" ht="75" x14ac:dyDescent="0.25">
      <c r="A640" s="2" t="s">
        <v>963</v>
      </c>
      <c r="B640" s="2" t="b">
        <v>1</v>
      </c>
      <c r="C640" s="2" t="s">
        <v>2602</v>
      </c>
      <c r="D640" s="2">
        <v>6</v>
      </c>
      <c r="E640" s="2">
        <v>1</v>
      </c>
      <c r="F640" s="2" t="s">
        <v>1503</v>
      </c>
    </row>
    <row r="641" spans="1:6" ht="75" x14ac:dyDescent="0.25">
      <c r="A641" s="2" t="s">
        <v>1278</v>
      </c>
      <c r="B641" s="2" t="b">
        <v>1</v>
      </c>
      <c r="C641" s="2" t="s">
        <v>2603</v>
      </c>
      <c r="D641" s="2">
        <v>6</v>
      </c>
      <c r="E641" s="2">
        <v>1</v>
      </c>
      <c r="F641" s="2" t="s">
        <v>1503</v>
      </c>
    </row>
    <row r="642" spans="1:6" ht="75" x14ac:dyDescent="0.25">
      <c r="A642" s="2" t="s">
        <v>1275</v>
      </c>
      <c r="B642" s="2" t="b">
        <v>1</v>
      </c>
      <c r="C642" s="2" t="s">
        <v>2603</v>
      </c>
      <c r="D642" s="2">
        <v>6</v>
      </c>
      <c r="E642" s="2">
        <v>1</v>
      </c>
      <c r="F642" s="2" t="s">
        <v>1503</v>
      </c>
    </row>
    <row r="643" spans="1:6" ht="75" x14ac:dyDescent="0.25">
      <c r="A643" s="2" t="s">
        <v>2604</v>
      </c>
      <c r="B643" s="2" t="b">
        <v>0</v>
      </c>
      <c r="C643" s="2" t="s">
        <v>2605</v>
      </c>
      <c r="D643" s="2">
        <v>4</v>
      </c>
      <c r="E643" s="2">
        <v>1</v>
      </c>
      <c r="F643" s="2" t="s">
        <v>1503</v>
      </c>
    </row>
    <row r="644" spans="1:6" ht="75" x14ac:dyDescent="0.25">
      <c r="A644" s="2" t="s">
        <v>2606</v>
      </c>
      <c r="B644" s="2" t="b">
        <v>0</v>
      </c>
      <c r="C644" s="2" t="s">
        <v>2607</v>
      </c>
      <c r="D644" s="2">
        <v>4</v>
      </c>
      <c r="E644" s="2">
        <v>1</v>
      </c>
      <c r="F644" s="2" t="s">
        <v>1503</v>
      </c>
    </row>
    <row r="645" spans="1:6" ht="75" x14ac:dyDescent="0.25">
      <c r="A645" s="2" t="s">
        <v>2608</v>
      </c>
      <c r="B645" s="2" t="b">
        <v>0</v>
      </c>
      <c r="C645" s="2" t="s">
        <v>2609</v>
      </c>
      <c r="D645" s="2">
        <v>4</v>
      </c>
      <c r="E645" s="2">
        <v>1</v>
      </c>
      <c r="F645" s="2" t="s">
        <v>1503</v>
      </c>
    </row>
    <row r="646" spans="1:6" ht="75" x14ac:dyDescent="0.25">
      <c r="A646" s="2" t="s">
        <v>1132</v>
      </c>
      <c r="B646" s="2" t="b">
        <v>1</v>
      </c>
      <c r="C646" s="2" t="s">
        <v>2610</v>
      </c>
      <c r="D646" s="2">
        <v>6</v>
      </c>
      <c r="E646" s="2">
        <v>1</v>
      </c>
      <c r="F646" s="2" t="s">
        <v>1503</v>
      </c>
    </row>
    <row r="647" spans="1:6" ht="75" x14ac:dyDescent="0.25">
      <c r="A647" s="2" t="s">
        <v>2611</v>
      </c>
      <c r="B647" s="2" t="b">
        <v>0</v>
      </c>
      <c r="C647" s="2" t="s">
        <v>2612</v>
      </c>
      <c r="D647" s="2">
        <v>4</v>
      </c>
      <c r="E647" s="2">
        <v>1</v>
      </c>
      <c r="F647" s="2" t="s">
        <v>1503</v>
      </c>
    </row>
    <row r="648" spans="1:6" ht="75" x14ac:dyDescent="0.25">
      <c r="A648" s="2" t="s">
        <v>972</v>
      </c>
      <c r="B648" s="2" t="b">
        <v>1</v>
      </c>
      <c r="C648" s="2" t="s">
        <v>2613</v>
      </c>
      <c r="D648" s="2">
        <v>6</v>
      </c>
      <c r="E648" s="2">
        <v>1</v>
      </c>
      <c r="F648" s="2" t="s">
        <v>1503</v>
      </c>
    </row>
    <row r="649" spans="1:6" ht="75" x14ac:dyDescent="0.25">
      <c r="A649" s="2" t="s">
        <v>976</v>
      </c>
      <c r="B649" s="2" t="b">
        <v>1</v>
      </c>
      <c r="C649" s="2" t="s">
        <v>2614</v>
      </c>
      <c r="D649" s="2">
        <v>6</v>
      </c>
      <c r="E649" s="2">
        <v>1</v>
      </c>
      <c r="F649" s="2" t="s">
        <v>1503</v>
      </c>
    </row>
    <row r="650" spans="1:6" ht="75" x14ac:dyDescent="0.25">
      <c r="A650" s="2" t="s">
        <v>410</v>
      </c>
      <c r="B650" s="2" t="b">
        <v>1</v>
      </c>
      <c r="C650" s="2" t="s">
        <v>412</v>
      </c>
      <c r="D650" s="2">
        <v>6</v>
      </c>
      <c r="E650" s="2">
        <v>1</v>
      </c>
      <c r="F650" s="2" t="s">
        <v>1503</v>
      </c>
    </row>
    <row r="651" spans="1:6" ht="75" x14ac:dyDescent="0.25">
      <c r="A651" s="2" t="s">
        <v>2615</v>
      </c>
      <c r="B651" s="2" t="b">
        <v>0</v>
      </c>
      <c r="C651" s="2" t="s">
        <v>2616</v>
      </c>
      <c r="D651" s="2">
        <v>4</v>
      </c>
      <c r="E651" s="2">
        <v>1</v>
      </c>
      <c r="F651" s="2" t="s">
        <v>1503</v>
      </c>
    </row>
    <row r="652" spans="1:6" ht="75" x14ac:dyDescent="0.25">
      <c r="A652" s="2" t="s">
        <v>786</v>
      </c>
      <c r="B652" s="2" t="b">
        <v>1</v>
      </c>
      <c r="C652" s="2" t="s">
        <v>2617</v>
      </c>
      <c r="D652" s="2">
        <v>6</v>
      </c>
      <c r="E652" s="2">
        <v>1</v>
      </c>
      <c r="F652" s="2" t="s">
        <v>1503</v>
      </c>
    </row>
    <row r="653" spans="1:6" ht="75" x14ac:dyDescent="0.25">
      <c r="A653" s="2" t="s">
        <v>1111</v>
      </c>
      <c r="B653" s="2" t="b">
        <v>1</v>
      </c>
      <c r="C653" s="2" t="s">
        <v>2618</v>
      </c>
      <c r="D653" s="2">
        <v>6</v>
      </c>
      <c r="E653" s="2">
        <v>1</v>
      </c>
      <c r="F653" s="2" t="s">
        <v>1503</v>
      </c>
    </row>
    <row r="654" spans="1:6" ht="75" x14ac:dyDescent="0.25">
      <c r="A654" s="2" t="s">
        <v>155</v>
      </c>
      <c r="B654" s="2" t="b">
        <v>1</v>
      </c>
      <c r="C654" s="2" t="s">
        <v>157</v>
      </c>
      <c r="D654" s="2">
        <v>7</v>
      </c>
      <c r="E654" s="2">
        <v>1</v>
      </c>
      <c r="F654" s="2" t="s">
        <v>1503</v>
      </c>
    </row>
    <row r="655" spans="1:6" ht="75" x14ac:dyDescent="0.25">
      <c r="A655" s="2" t="s">
        <v>1200</v>
      </c>
      <c r="B655" s="2" t="b">
        <v>1</v>
      </c>
      <c r="C655" s="2" t="s">
        <v>2619</v>
      </c>
      <c r="D655" s="2">
        <v>6</v>
      </c>
      <c r="E655" s="2">
        <v>1</v>
      </c>
      <c r="F655" s="2" t="s">
        <v>1503</v>
      </c>
    </row>
    <row r="656" spans="1:6" ht="75" x14ac:dyDescent="0.25">
      <c r="A656" s="2" t="s">
        <v>1206</v>
      </c>
      <c r="B656" s="2" t="b">
        <v>1</v>
      </c>
      <c r="C656" s="2" t="s">
        <v>2620</v>
      </c>
      <c r="D656" s="2">
        <v>6</v>
      </c>
      <c r="E656" s="2">
        <v>1</v>
      </c>
      <c r="F656" s="2" t="s">
        <v>1503</v>
      </c>
    </row>
    <row r="657" spans="1:6" ht="75" x14ac:dyDescent="0.25">
      <c r="A657" s="2" t="s">
        <v>1108</v>
      </c>
      <c r="B657" s="2" t="b">
        <v>1</v>
      </c>
      <c r="C657" s="2" t="s">
        <v>2621</v>
      </c>
      <c r="D657" s="2">
        <v>6</v>
      </c>
      <c r="E657" s="2">
        <v>1</v>
      </c>
      <c r="F657" s="2" t="s">
        <v>1503</v>
      </c>
    </row>
    <row r="658" spans="1:6" ht="75" x14ac:dyDescent="0.25">
      <c r="A658" s="2" t="s">
        <v>1156</v>
      </c>
      <c r="B658" s="2" t="b">
        <v>1</v>
      </c>
      <c r="C658" s="2" t="s">
        <v>2622</v>
      </c>
      <c r="D658" s="2">
        <v>6</v>
      </c>
      <c r="E658" s="2">
        <v>1</v>
      </c>
      <c r="F658" s="2" t="s">
        <v>1503</v>
      </c>
    </row>
    <row r="659" spans="1:6" ht="75" x14ac:dyDescent="0.25">
      <c r="A659" s="2" t="s">
        <v>1153</v>
      </c>
      <c r="B659" s="2" t="b">
        <v>1</v>
      </c>
      <c r="C659" s="2" t="s">
        <v>2623</v>
      </c>
      <c r="D659" s="2">
        <v>6</v>
      </c>
      <c r="E659" s="2">
        <v>1</v>
      </c>
      <c r="F659" s="2" t="s">
        <v>1503</v>
      </c>
    </row>
    <row r="660" spans="1:6" ht="75" x14ac:dyDescent="0.25">
      <c r="A660" s="2" t="s">
        <v>2624</v>
      </c>
      <c r="B660" s="2" t="b">
        <v>0</v>
      </c>
      <c r="C660" s="2" t="s">
        <v>2625</v>
      </c>
      <c r="D660" s="2">
        <v>4</v>
      </c>
      <c r="E660" s="2">
        <v>1</v>
      </c>
      <c r="F660" s="2" t="s">
        <v>1503</v>
      </c>
    </row>
    <row r="661" spans="1:6" ht="75" x14ac:dyDescent="0.25">
      <c r="A661" s="2" t="s">
        <v>2626</v>
      </c>
      <c r="B661" s="2" t="b">
        <v>0</v>
      </c>
      <c r="C661" s="2" t="s">
        <v>2627</v>
      </c>
      <c r="D661" s="2">
        <v>4</v>
      </c>
      <c r="E661" s="2">
        <v>1</v>
      </c>
      <c r="F661" s="2" t="s">
        <v>1503</v>
      </c>
    </row>
    <row r="662" spans="1:6" ht="75" x14ac:dyDescent="0.25">
      <c r="A662" s="2" t="s">
        <v>2628</v>
      </c>
      <c r="B662" s="2" t="b">
        <v>0</v>
      </c>
      <c r="C662" s="2" t="s">
        <v>2629</v>
      </c>
      <c r="D662" s="2">
        <v>4</v>
      </c>
      <c r="E662" s="2">
        <v>1</v>
      </c>
      <c r="F662" s="2" t="s">
        <v>1503</v>
      </c>
    </row>
    <row r="663" spans="1:6" ht="75" x14ac:dyDescent="0.25">
      <c r="A663" s="2" t="s">
        <v>2630</v>
      </c>
      <c r="B663" s="2" t="b">
        <v>0</v>
      </c>
      <c r="C663" s="2" t="s">
        <v>2631</v>
      </c>
      <c r="D663" s="2">
        <v>4</v>
      </c>
      <c r="E663" s="2">
        <v>1</v>
      </c>
      <c r="F663" s="2" t="s">
        <v>1503</v>
      </c>
    </row>
    <row r="664" spans="1:6" ht="75" x14ac:dyDescent="0.25">
      <c r="A664" s="2" t="s">
        <v>2632</v>
      </c>
      <c r="B664" s="2" t="b">
        <v>0</v>
      </c>
      <c r="C664" s="2" t="s">
        <v>2633</v>
      </c>
      <c r="D664" s="2">
        <v>4</v>
      </c>
      <c r="E664" s="2">
        <v>1</v>
      </c>
      <c r="F664" s="2" t="s">
        <v>1503</v>
      </c>
    </row>
    <row r="665" spans="1:6" ht="75" x14ac:dyDescent="0.25">
      <c r="A665" s="2" t="s">
        <v>2634</v>
      </c>
      <c r="B665" s="2" t="b">
        <v>0</v>
      </c>
      <c r="C665" s="2" t="s">
        <v>2635</v>
      </c>
      <c r="D665" s="2">
        <v>4</v>
      </c>
      <c r="E665" s="2">
        <v>1</v>
      </c>
      <c r="F665" s="2" t="s">
        <v>1503</v>
      </c>
    </row>
    <row r="666" spans="1:6" ht="75" x14ac:dyDescent="0.25">
      <c r="A666" s="2" t="s">
        <v>931</v>
      </c>
      <c r="B666" s="2" t="b">
        <v>1</v>
      </c>
      <c r="C666" s="2" t="s">
        <v>930</v>
      </c>
      <c r="D666" s="2">
        <v>7</v>
      </c>
      <c r="E666" s="2">
        <v>1</v>
      </c>
      <c r="F666" s="2" t="s">
        <v>1503</v>
      </c>
    </row>
    <row r="667" spans="1:6" ht="75" x14ac:dyDescent="0.25">
      <c r="A667" s="2" t="s">
        <v>2636</v>
      </c>
      <c r="B667" s="2" t="b">
        <v>0</v>
      </c>
      <c r="C667" s="2" t="s">
        <v>2637</v>
      </c>
      <c r="D667" s="2">
        <v>4</v>
      </c>
      <c r="E667" s="2">
        <v>1</v>
      </c>
      <c r="F667" s="2" t="s">
        <v>1503</v>
      </c>
    </row>
    <row r="668" spans="1:6" ht="75" x14ac:dyDescent="0.25">
      <c r="A668" s="2" t="s">
        <v>1384</v>
      </c>
      <c r="B668" s="2" t="b">
        <v>1</v>
      </c>
      <c r="C668" s="2" t="s">
        <v>2638</v>
      </c>
      <c r="D668" s="2">
        <v>6</v>
      </c>
      <c r="E668" s="2">
        <v>1</v>
      </c>
      <c r="F668" s="2" t="s">
        <v>1503</v>
      </c>
    </row>
    <row r="669" spans="1:6" ht="75" x14ac:dyDescent="0.25">
      <c r="A669" s="2" t="s">
        <v>1390</v>
      </c>
      <c r="B669" s="2" t="b">
        <v>1</v>
      </c>
      <c r="C669" s="2" t="s">
        <v>2639</v>
      </c>
      <c r="D669" s="2">
        <v>6</v>
      </c>
      <c r="E669" s="2">
        <v>1</v>
      </c>
      <c r="F669" s="2" t="s">
        <v>1503</v>
      </c>
    </row>
    <row r="670" spans="1:6" ht="75" x14ac:dyDescent="0.25">
      <c r="A670" s="2" t="s">
        <v>1387</v>
      </c>
      <c r="B670" s="2" t="b">
        <v>1</v>
      </c>
      <c r="C670" s="2" t="s">
        <v>2640</v>
      </c>
      <c r="D670" s="2">
        <v>6</v>
      </c>
      <c r="E670" s="2">
        <v>1</v>
      </c>
      <c r="F670" s="2" t="s">
        <v>1503</v>
      </c>
    </row>
    <row r="671" spans="1:6" ht="75" x14ac:dyDescent="0.25">
      <c r="A671" s="2" t="s">
        <v>2641</v>
      </c>
      <c r="B671" s="2" t="b">
        <v>0</v>
      </c>
      <c r="C671" s="2" t="s">
        <v>2642</v>
      </c>
      <c r="D671" s="2">
        <v>4</v>
      </c>
      <c r="E671" s="2">
        <v>3</v>
      </c>
      <c r="F671" s="2" t="s">
        <v>1503</v>
      </c>
    </row>
    <row r="672" spans="1:6" ht="75" x14ac:dyDescent="0.25">
      <c r="A672" s="2" t="s">
        <v>1393</v>
      </c>
      <c r="B672" s="2" t="b">
        <v>1</v>
      </c>
      <c r="C672" s="2" t="s">
        <v>2643</v>
      </c>
      <c r="D672" s="2">
        <v>6</v>
      </c>
      <c r="E672" s="2">
        <v>1</v>
      </c>
      <c r="F672" s="2" t="s">
        <v>1503</v>
      </c>
    </row>
    <row r="673" spans="1:6" ht="75" x14ac:dyDescent="0.25">
      <c r="A673" s="2" t="s">
        <v>2644</v>
      </c>
      <c r="B673" s="2" t="b">
        <v>0</v>
      </c>
      <c r="C673" s="2" t="s">
        <v>2343</v>
      </c>
      <c r="D673" s="2">
        <v>4</v>
      </c>
      <c r="E673" s="2">
        <v>1</v>
      </c>
      <c r="F673" s="2" t="s">
        <v>1503</v>
      </c>
    </row>
    <row r="674" spans="1:6" ht="75" x14ac:dyDescent="0.25">
      <c r="A674" s="2" t="s">
        <v>2645</v>
      </c>
      <c r="B674" s="2" t="b">
        <v>0</v>
      </c>
      <c r="C674" s="2" t="s">
        <v>2646</v>
      </c>
      <c r="D674" s="2">
        <v>4</v>
      </c>
      <c r="E674" s="2">
        <v>1</v>
      </c>
      <c r="F674" s="2" t="s">
        <v>1503</v>
      </c>
    </row>
    <row r="675" spans="1:6" ht="75" x14ac:dyDescent="0.25">
      <c r="A675" s="2" t="s">
        <v>2647</v>
      </c>
      <c r="B675" s="2" t="b">
        <v>0</v>
      </c>
      <c r="C675" s="2" t="s">
        <v>2648</v>
      </c>
      <c r="D675" s="2">
        <v>4</v>
      </c>
      <c r="E675" s="2">
        <v>1</v>
      </c>
      <c r="F675" s="2" t="s">
        <v>1503</v>
      </c>
    </row>
    <row r="676" spans="1:6" ht="75" x14ac:dyDescent="0.25">
      <c r="A676" s="2" t="s">
        <v>2649</v>
      </c>
      <c r="B676" s="2" t="b">
        <v>0</v>
      </c>
      <c r="C676" s="2" t="s">
        <v>2650</v>
      </c>
      <c r="D676" s="2">
        <v>4</v>
      </c>
      <c r="E676" s="2">
        <v>1</v>
      </c>
      <c r="F676" s="2" t="s">
        <v>1503</v>
      </c>
    </row>
    <row r="677" spans="1:6" ht="75" x14ac:dyDescent="0.25">
      <c r="A677" s="2" t="s">
        <v>214</v>
      </c>
      <c r="B677" s="2" t="b">
        <v>1</v>
      </c>
      <c r="C677" s="2" t="s">
        <v>216</v>
      </c>
      <c r="D677" s="2">
        <v>6</v>
      </c>
      <c r="E677" s="2">
        <v>1</v>
      </c>
      <c r="F677" s="2" t="s">
        <v>1503</v>
      </c>
    </row>
    <row r="678" spans="1:6" ht="75" x14ac:dyDescent="0.25">
      <c r="A678" s="2" t="s">
        <v>2651</v>
      </c>
      <c r="B678" s="2" t="b">
        <v>0</v>
      </c>
      <c r="C678" s="2" t="s">
        <v>2652</v>
      </c>
      <c r="D678" s="2">
        <v>4</v>
      </c>
      <c r="E678" s="2">
        <v>1</v>
      </c>
      <c r="F678" s="2" t="s">
        <v>1503</v>
      </c>
    </row>
    <row r="679" spans="1:6" ht="75" x14ac:dyDescent="0.25">
      <c r="A679" s="2" t="s">
        <v>1317</v>
      </c>
      <c r="B679" s="2" t="b">
        <v>1</v>
      </c>
      <c r="C679" s="2" t="s">
        <v>2653</v>
      </c>
      <c r="D679" s="2">
        <v>6</v>
      </c>
      <c r="E679" s="2">
        <v>1</v>
      </c>
      <c r="F679" s="2" t="s">
        <v>1503</v>
      </c>
    </row>
    <row r="680" spans="1:6" ht="75" x14ac:dyDescent="0.25">
      <c r="A680" s="2" t="s">
        <v>2654</v>
      </c>
      <c r="B680" s="2" t="b">
        <v>0</v>
      </c>
      <c r="C680" s="2" t="s">
        <v>2655</v>
      </c>
      <c r="D680" s="2">
        <v>4</v>
      </c>
      <c r="E680" s="2">
        <v>1</v>
      </c>
      <c r="F680" s="2" t="s">
        <v>1503</v>
      </c>
    </row>
    <row r="681" spans="1:6" ht="75" x14ac:dyDescent="0.25">
      <c r="A681" s="2" t="s">
        <v>2656</v>
      </c>
      <c r="B681" s="2" t="b">
        <v>0</v>
      </c>
      <c r="C681" s="2" t="s">
        <v>2657</v>
      </c>
      <c r="D681" s="2">
        <v>4</v>
      </c>
      <c r="E681" s="2">
        <v>1</v>
      </c>
      <c r="F681" s="2" t="s">
        <v>1503</v>
      </c>
    </row>
    <row r="682" spans="1:6" ht="75" x14ac:dyDescent="0.25">
      <c r="A682" s="2" t="s">
        <v>2658</v>
      </c>
      <c r="B682" s="2" t="b">
        <v>0</v>
      </c>
      <c r="C682" s="2" t="s">
        <v>2659</v>
      </c>
      <c r="D682" s="2">
        <v>4</v>
      </c>
      <c r="E682" s="2">
        <v>1</v>
      </c>
      <c r="F682" s="2" t="s">
        <v>1503</v>
      </c>
    </row>
    <row r="683" spans="1:6" ht="75" x14ac:dyDescent="0.25">
      <c r="A683" s="2" t="s">
        <v>2660</v>
      </c>
      <c r="B683" s="2" t="b">
        <v>0</v>
      </c>
      <c r="C683" s="2" t="s">
        <v>2661</v>
      </c>
      <c r="D683" s="2">
        <v>4</v>
      </c>
      <c r="E683" s="2">
        <v>1</v>
      </c>
      <c r="F683" s="2" t="s">
        <v>1503</v>
      </c>
    </row>
    <row r="684" spans="1:6" ht="75" x14ac:dyDescent="0.25">
      <c r="A684" s="2" t="s">
        <v>2662</v>
      </c>
      <c r="B684" s="2" t="b">
        <v>0</v>
      </c>
      <c r="C684" s="2" t="s">
        <v>2663</v>
      </c>
      <c r="D684" s="2">
        <v>4</v>
      </c>
      <c r="E684" s="2">
        <v>1</v>
      </c>
      <c r="F684" s="2" t="s">
        <v>1503</v>
      </c>
    </row>
    <row r="685" spans="1:6" ht="75" x14ac:dyDescent="0.25">
      <c r="A685" s="2" t="s">
        <v>937</v>
      </c>
      <c r="B685" s="2" t="b">
        <v>1</v>
      </c>
      <c r="C685" s="2" t="s">
        <v>2664</v>
      </c>
      <c r="D685" s="2">
        <v>6</v>
      </c>
      <c r="E685" s="2">
        <v>1</v>
      </c>
      <c r="F685" s="2" t="s">
        <v>1503</v>
      </c>
    </row>
    <row r="686" spans="1:6" ht="75" x14ac:dyDescent="0.25">
      <c r="A686" s="2" t="s">
        <v>2665</v>
      </c>
      <c r="B686" s="2" t="b">
        <v>0</v>
      </c>
      <c r="C686" s="2" t="s">
        <v>2666</v>
      </c>
      <c r="D686" s="2">
        <v>4</v>
      </c>
      <c r="E686" s="2">
        <v>1</v>
      </c>
      <c r="F686" s="2" t="s">
        <v>1503</v>
      </c>
    </row>
    <row r="687" spans="1:6" ht="75" x14ac:dyDescent="0.25">
      <c r="A687" s="2" t="s">
        <v>307</v>
      </c>
      <c r="B687" s="2" t="b">
        <v>1</v>
      </c>
      <c r="C687" s="2" t="s">
        <v>2667</v>
      </c>
      <c r="D687" s="2">
        <v>6</v>
      </c>
      <c r="E687" s="2">
        <v>1</v>
      </c>
      <c r="F687" s="2" t="s">
        <v>1503</v>
      </c>
    </row>
    <row r="688" spans="1:6" ht="75" x14ac:dyDescent="0.25">
      <c r="A688" s="2" t="s">
        <v>2668</v>
      </c>
      <c r="B688" s="2" t="b">
        <v>0</v>
      </c>
      <c r="C688" s="2" t="s">
        <v>2669</v>
      </c>
      <c r="D688" s="2">
        <v>4</v>
      </c>
      <c r="E688" s="2">
        <v>1</v>
      </c>
      <c r="F688" s="2" t="s">
        <v>1503</v>
      </c>
    </row>
    <row r="689" spans="1:6" ht="75" x14ac:dyDescent="0.25">
      <c r="A689" s="2" t="s">
        <v>2670</v>
      </c>
      <c r="B689" s="2" t="b">
        <v>0</v>
      </c>
      <c r="C689" s="2" t="s">
        <v>2671</v>
      </c>
      <c r="D689" s="2">
        <v>4</v>
      </c>
      <c r="E689" s="2">
        <v>1</v>
      </c>
      <c r="F689" s="2" t="s">
        <v>1503</v>
      </c>
    </row>
    <row r="690" spans="1:6" ht="75" x14ac:dyDescent="0.25">
      <c r="A690" s="2" t="s">
        <v>2672</v>
      </c>
      <c r="B690" s="2" t="b">
        <v>0</v>
      </c>
      <c r="C690" s="2" t="s">
        <v>2673</v>
      </c>
      <c r="D690" s="2">
        <v>4</v>
      </c>
      <c r="E690" s="2">
        <v>1</v>
      </c>
      <c r="F690" s="2" t="s">
        <v>1503</v>
      </c>
    </row>
    <row r="691" spans="1:6" ht="75" x14ac:dyDescent="0.25">
      <c r="A691" s="2" t="s">
        <v>2674</v>
      </c>
      <c r="B691" s="2" t="b">
        <v>0</v>
      </c>
      <c r="C691" s="2" t="s">
        <v>2675</v>
      </c>
      <c r="D691" s="2">
        <v>4</v>
      </c>
      <c r="E691" s="2">
        <v>1</v>
      </c>
      <c r="F691" s="2" t="s">
        <v>1503</v>
      </c>
    </row>
    <row r="692" spans="1:6" ht="75" x14ac:dyDescent="0.25">
      <c r="A692" s="2" t="s">
        <v>2676</v>
      </c>
      <c r="B692" s="2" t="b">
        <v>0</v>
      </c>
      <c r="C692" s="2" t="s">
        <v>2677</v>
      </c>
      <c r="D692" s="2">
        <v>4</v>
      </c>
      <c r="E692" s="2">
        <v>1</v>
      </c>
      <c r="F692" s="2" t="s">
        <v>1503</v>
      </c>
    </row>
    <row r="693" spans="1:6" ht="75" x14ac:dyDescent="0.25">
      <c r="A693" s="2" t="s">
        <v>2678</v>
      </c>
      <c r="B693" s="2" t="b">
        <v>0</v>
      </c>
      <c r="C693" s="2" t="s">
        <v>2679</v>
      </c>
      <c r="D693" s="2">
        <v>4</v>
      </c>
      <c r="E693" s="2">
        <v>1</v>
      </c>
      <c r="F693" s="2" t="s">
        <v>1503</v>
      </c>
    </row>
    <row r="694" spans="1:6" ht="75" x14ac:dyDescent="0.25">
      <c r="A694" s="2" t="s">
        <v>2680</v>
      </c>
      <c r="B694" s="2" t="b">
        <v>0</v>
      </c>
      <c r="C694" s="2" t="s">
        <v>2681</v>
      </c>
      <c r="D694" s="2">
        <v>4</v>
      </c>
      <c r="E694" s="2">
        <v>1</v>
      </c>
      <c r="F694" s="2" t="s">
        <v>1503</v>
      </c>
    </row>
    <row r="695" spans="1:6" ht="75" x14ac:dyDescent="0.25">
      <c r="A695" s="2" t="s">
        <v>2682</v>
      </c>
      <c r="B695" s="2" t="b">
        <v>0</v>
      </c>
      <c r="C695" s="2" t="s">
        <v>2683</v>
      </c>
      <c r="D695" s="2">
        <v>4</v>
      </c>
      <c r="E695" s="2">
        <v>1</v>
      </c>
      <c r="F695" s="2" t="s">
        <v>1503</v>
      </c>
    </row>
    <row r="696" spans="1:6" ht="75" x14ac:dyDescent="0.25">
      <c r="A696" s="2" t="s">
        <v>2684</v>
      </c>
      <c r="B696" s="2" t="b">
        <v>0</v>
      </c>
      <c r="C696" s="2" t="s">
        <v>2685</v>
      </c>
      <c r="D696" s="2">
        <v>4</v>
      </c>
      <c r="E696" s="2">
        <v>1</v>
      </c>
      <c r="F696" s="2" t="s">
        <v>1503</v>
      </c>
    </row>
    <row r="697" spans="1:6" ht="75" x14ac:dyDescent="0.25">
      <c r="A697" s="2" t="s">
        <v>2686</v>
      </c>
      <c r="B697" s="2" t="b">
        <v>0</v>
      </c>
      <c r="C697" s="2" t="s">
        <v>2687</v>
      </c>
      <c r="D697" s="2">
        <v>4</v>
      </c>
      <c r="E697" s="2">
        <v>1</v>
      </c>
      <c r="F697" s="2" t="s">
        <v>1503</v>
      </c>
    </row>
    <row r="698" spans="1:6" ht="75" x14ac:dyDescent="0.25">
      <c r="A698" s="2" t="s">
        <v>2688</v>
      </c>
      <c r="B698" s="2" t="b">
        <v>0</v>
      </c>
      <c r="C698" s="2" t="s">
        <v>2689</v>
      </c>
      <c r="D698" s="2">
        <v>4</v>
      </c>
      <c r="E698" s="2">
        <v>1</v>
      </c>
      <c r="F698" s="2" t="s">
        <v>1503</v>
      </c>
    </row>
    <row r="699" spans="1:6" ht="75" x14ac:dyDescent="0.25">
      <c r="A699" s="2" t="s">
        <v>2690</v>
      </c>
      <c r="B699" s="2" t="b">
        <v>0</v>
      </c>
      <c r="C699" s="2" t="s">
        <v>2691</v>
      </c>
      <c r="D699" s="2">
        <v>4</v>
      </c>
      <c r="E699" s="2">
        <v>1</v>
      </c>
      <c r="F699" s="2" t="s">
        <v>1503</v>
      </c>
    </row>
    <row r="700" spans="1:6" ht="75" x14ac:dyDescent="0.25">
      <c r="A700" s="2" t="s">
        <v>2692</v>
      </c>
      <c r="B700" s="2" t="b">
        <v>0</v>
      </c>
      <c r="C700" s="2" t="s">
        <v>2693</v>
      </c>
      <c r="D700" s="2">
        <v>4</v>
      </c>
      <c r="E700" s="2">
        <v>1</v>
      </c>
      <c r="F700" s="2" t="s">
        <v>1503</v>
      </c>
    </row>
    <row r="701" spans="1:6" ht="75" x14ac:dyDescent="0.25">
      <c r="A701" s="2" t="s">
        <v>2694</v>
      </c>
      <c r="B701" s="2" t="b">
        <v>0</v>
      </c>
      <c r="C701" s="2" t="s">
        <v>2695</v>
      </c>
      <c r="D701" s="2">
        <v>4</v>
      </c>
      <c r="E701" s="2">
        <v>1</v>
      </c>
      <c r="F701" s="2" t="s">
        <v>1503</v>
      </c>
    </row>
    <row r="702" spans="1:6" ht="75" x14ac:dyDescent="0.25">
      <c r="A702" s="2" t="s">
        <v>2696</v>
      </c>
      <c r="B702" s="2" t="b">
        <v>0</v>
      </c>
      <c r="C702" s="2" t="s">
        <v>2697</v>
      </c>
      <c r="D702" s="2">
        <v>4</v>
      </c>
      <c r="E702" s="2">
        <v>1</v>
      </c>
      <c r="F702" s="2" t="s">
        <v>1503</v>
      </c>
    </row>
    <row r="703" spans="1:6" ht="75" x14ac:dyDescent="0.25">
      <c r="A703" s="2" t="s">
        <v>2698</v>
      </c>
      <c r="B703" s="2" t="b">
        <v>0</v>
      </c>
      <c r="C703" s="2" t="s">
        <v>2699</v>
      </c>
      <c r="D703" s="2">
        <v>4</v>
      </c>
      <c r="E703" s="2">
        <v>1</v>
      </c>
      <c r="F703" s="2" t="s">
        <v>1503</v>
      </c>
    </row>
    <row r="704" spans="1:6" ht="75" x14ac:dyDescent="0.25">
      <c r="A704" s="2" t="s">
        <v>2700</v>
      </c>
      <c r="B704" s="2" t="b">
        <v>0</v>
      </c>
      <c r="C704" s="2" t="s">
        <v>2701</v>
      </c>
      <c r="D704" s="2">
        <v>4</v>
      </c>
      <c r="E704" s="2">
        <v>1</v>
      </c>
      <c r="F704" s="2" t="s">
        <v>1503</v>
      </c>
    </row>
    <row r="705" spans="1:6" ht="75" x14ac:dyDescent="0.25">
      <c r="A705" s="2" t="s">
        <v>258</v>
      </c>
      <c r="B705" s="2" t="b">
        <v>1</v>
      </c>
      <c r="C705" s="2" t="s">
        <v>2702</v>
      </c>
      <c r="D705" s="2">
        <v>7</v>
      </c>
      <c r="E705" s="2">
        <v>1</v>
      </c>
      <c r="F705" s="2" t="s">
        <v>1503</v>
      </c>
    </row>
    <row r="706" spans="1:6" ht="75" x14ac:dyDescent="0.25">
      <c r="A706" s="2" t="s">
        <v>2703</v>
      </c>
      <c r="B706" s="2" t="b">
        <v>0</v>
      </c>
      <c r="C706" s="2" t="s">
        <v>2704</v>
      </c>
      <c r="D706" s="2">
        <v>4</v>
      </c>
      <c r="E706" s="2">
        <v>1</v>
      </c>
      <c r="F706" s="2" t="s">
        <v>1503</v>
      </c>
    </row>
    <row r="707" spans="1:6" ht="75" x14ac:dyDescent="0.25">
      <c r="A707" s="2" t="s">
        <v>2705</v>
      </c>
      <c r="B707" s="2" t="b">
        <v>0</v>
      </c>
      <c r="C707" s="2" t="s">
        <v>2706</v>
      </c>
      <c r="D707" s="2">
        <v>4</v>
      </c>
      <c r="E707" s="2">
        <v>1</v>
      </c>
      <c r="F707" s="2" t="s">
        <v>1503</v>
      </c>
    </row>
    <row r="708" spans="1:6" ht="75" x14ac:dyDescent="0.25">
      <c r="A708" s="2" t="s">
        <v>2707</v>
      </c>
      <c r="B708" s="2" t="b">
        <v>0</v>
      </c>
      <c r="C708" s="2" t="s">
        <v>2708</v>
      </c>
      <c r="D708" s="2">
        <v>4</v>
      </c>
      <c r="E708" s="2">
        <v>1</v>
      </c>
      <c r="F708" s="2" t="s">
        <v>1503</v>
      </c>
    </row>
    <row r="709" spans="1:6" ht="75" x14ac:dyDescent="0.25">
      <c r="A709" s="2" t="s">
        <v>547</v>
      </c>
      <c r="B709" s="2" t="b">
        <v>1</v>
      </c>
      <c r="C709" s="2" t="s">
        <v>549</v>
      </c>
      <c r="D709" s="2">
        <v>7</v>
      </c>
      <c r="E709" s="2">
        <v>1</v>
      </c>
      <c r="F709" s="2" t="s">
        <v>1503</v>
      </c>
    </row>
    <row r="710" spans="1:6" ht="75" x14ac:dyDescent="0.25">
      <c r="A710" s="2" t="s">
        <v>2709</v>
      </c>
      <c r="B710" s="2" t="b">
        <v>0</v>
      </c>
      <c r="C710" s="2" t="s">
        <v>1023</v>
      </c>
      <c r="D710" s="2">
        <v>4</v>
      </c>
      <c r="E710" s="2">
        <v>1</v>
      </c>
      <c r="F710" s="2" t="s">
        <v>1503</v>
      </c>
    </row>
    <row r="711" spans="1:6" ht="75" x14ac:dyDescent="0.25">
      <c r="A711" s="2" t="s">
        <v>2710</v>
      </c>
      <c r="B711" s="2" t="b">
        <v>0</v>
      </c>
      <c r="C711" s="2" t="s">
        <v>1023</v>
      </c>
      <c r="D711" s="2">
        <v>4</v>
      </c>
      <c r="E711" s="2">
        <v>1</v>
      </c>
      <c r="F711" s="2" t="s">
        <v>1503</v>
      </c>
    </row>
    <row r="712" spans="1:6" ht="75" x14ac:dyDescent="0.25">
      <c r="A712" s="2" t="s">
        <v>1032</v>
      </c>
      <c r="B712" s="2" t="b">
        <v>1</v>
      </c>
      <c r="C712" s="2" t="s">
        <v>2711</v>
      </c>
      <c r="D712" s="2">
        <v>7</v>
      </c>
      <c r="E712" s="2">
        <v>1</v>
      </c>
      <c r="F712" s="2" t="s">
        <v>1503</v>
      </c>
    </row>
    <row r="713" spans="1:6" ht="75" x14ac:dyDescent="0.25">
      <c r="A713" s="2" t="s">
        <v>2712</v>
      </c>
      <c r="B713" s="2" t="b">
        <v>0</v>
      </c>
      <c r="C713" s="2" t="s">
        <v>2713</v>
      </c>
      <c r="D713" s="2">
        <v>4</v>
      </c>
      <c r="E713" s="2">
        <v>1</v>
      </c>
      <c r="F713" s="2" t="s">
        <v>1503</v>
      </c>
    </row>
    <row r="714" spans="1:6" ht="75" x14ac:dyDescent="0.25">
      <c r="A714" s="2" t="s">
        <v>1243</v>
      </c>
      <c r="B714" s="2" t="b">
        <v>1</v>
      </c>
      <c r="C714" s="2" t="s">
        <v>1242</v>
      </c>
      <c r="D714" s="2">
        <v>5</v>
      </c>
      <c r="E714" s="2">
        <v>1</v>
      </c>
      <c r="F714" s="2" t="s">
        <v>1503</v>
      </c>
    </row>
    <row r="715" spans="1:6" ht="75" x14ac:dyDescent="0.25">
      <c r="A715" s="2" t="s">
        <v>1252</v>
      </c>
      <c r="B715" s="2" t="b">
        <v>1</v>
      </c>
      <c r="C715" s="2" t="s">
        <v>1251</v>
      </c>
      <c r="D715" s="2">
        <v>5</v>
      </c>
      <c r="E715" s="2">
        <v>1</v>
      </c>
      <c r="F715" s="2" t="s">
        <v>1503</v>
      </c>
    </row>
    <row r="716" spans="1:6" ht="75" x14ac:dyDescent="0.25">
      <c r="A716" s="2" t="s">
        <v>2714</v>
      </c>
      <c r="B716" s="2" t="b">
        <v>0</v>
      </c>
      <c r="C716" s="2" t="s">
        <v>2715</v>
      </c>
      <c r="D716" s="2">
        <v>4</v>
      </c>
      <c r="E716" s="2">
        <v>1</v>
      </c>
      <c r="F716" s="2" t="s">
        <v>1503</v>
      </c>
    </row>
    <row r="717" spans="1:6" ht="75" x14ac:dyDescent="0.25">
      <c r="A717" s="2" t="s">
        <v>969</v>
      </c>
      <c r="B717" s="2" t="b">
        <v>1</v>
      </c>
      <c r="C717" s="2" t="s">
        <v>2716</v>
      </c>
      <c r="D717" s="2">
        <v>7</v>
      </c>
      <c r="E717" s="2">
        <v>1</v>
      </c>
      <c r="F717" s="2" t="s">
        <v>1503</v>
      </c>
    </row>
    <row r="718" spans="1:6" ht="75" x14ac:dyDescent="0.25">
      <c r="A718" s="2" t="s">
        <v>2717</v>
      </c>
      <c r="B718" s="2" t="b">
        <v>0</v>
      </c>
      <c r="C718" s="2" t="s">
        <v>2718</v>
      </c>
      <c r="D718" s="2">
        <v>4</v>
      </c>
      <c r="E718" s="2">
        <v>1</v>
      </c>
      <c r="F718" s="2" t="s">
        <v>1503</v>
      </c>
    </row>
    <row r="719" spans="1:6" ht="75" x14ac:dyDescent="0.25">
      <c r="A719" s="2" t="s">
        <v>2719</v>
      </c>
      <c r="B719" s="2" t="b">
        <v>0</v>
      </c>
      <c r="C719" s="2" t="s">
        <v>2720</v>
      </c>
      <c r="D719" s="2">
        <v>4</v>
      </c>
      <c r="E719" s="2">
        <v>1</v>
      </c>
      <c r="F719" s="2" t="s">
        <v>1503</v>
      </c>
    </row>
    <row r="720" spans="1:6" ht="75" x14ac:dyDescent="0.25">
      <c r="A720" s="2" t="s">
        <v>909</v>
      </c>
      <c r="B720" s="2" t="b">
        <v>1</v>
      </c>
      <c r="C720" s="2" t="s">
        <v>2721</v>
      </c>
      <c r="D720" s="2">
        <v>6</v>
      </c>
      <c r="E720" s="2">
        <v>1</v>
      </c>
      <c r="F720" s="2" t="s">
        <v>1503</v>
      </c>
    </row>
    <row r="721" spans="1:6" ht="75" x14ac:dyDescent="0.25">
      <c r="A721" s="2" t="s">
        <v>2722</v>
      </c>
      <c r="B721" s="2" t="b">
        <v>0</v>
      </c>
      <c r="C721" s="2" t="s">
        <v>2723</v>
      </c>
      <c r="D721" s="2">
        <v>4</v>
      </c>
      <c r="E721" s="2">
        <v>1</v>
      </c>
      <c r="F721" s="2" t="s">
        <v>1503</v>
      </c>
    </row>
    <row r="722" spans="1:6" ht="75" x14ac:dyDescent="0.25">
      <c r="A722" s="2" t="s">
        <v>940</v>
      </c>
      <c r="B722" s="2" t="b">
        <v>1</v>
      </c>
      <c r="C722" s="2" t="s">
        <v>2724</v>
      </c>
      <c r="D722" s="2">
        <v>5</v>
      </c>
      <c r="E722" s="2">
        <v>1</v>
      </c>
      <c r="F722" s="2" t="s">
        <v>1503</v>
      </c>
    </row>
    <row r="723" spans="1:6" ht="75" x14ac:dyDescent="0.25">
      <c r="A723" s="2" t="s">
        <v>2725</v>
      </c>
      <c r="B723" s="2" t="b">
        <v>0</v>
      </c>
      <c r="C723" s="2" t="s">
        <v>2726</v>
      </c>
      <c r="D723" s="2">
        <v>4</v>
      </c>
      <c r="E723" s="2">
        <v>1</v>
      </c>
      <c r="F723" s="2" t="s">
        <v>1503</v>
      </c>
    </row>
    <row r="724" spans="1:6" ht="75" x14ac:dyDescent="0.25">
      <c r="A724" s="2" t="s">
        <v>2727</v>
      </c>
      <c r="B724" s="2" t="b">
        <v>0</v>
      </c>
      <c r="C724" s="2" t="s">
        <v>2728</v>
      </c>
      <c r="D724" s="2">
        <v>4</v>
      </c>
      <c r="E724" s="2">
        <v>1</v>
      </c>
      <c r="F724" s="2" t="s">
        <v>1503</v>
      </c>
    </row>
    <row r="725" spans="1:6" ht="75" x14ac:dyDescent="0.25">
      <c r="A725" s="2" t="s">
        <v>2729</v>
      </c>
      <c r="B725" s="2" t="b">
        <v>0</v>
      </c>
      <c r="C725" s="2" t="s">
        <v>2730</v>
      </c>
      <c r="D725" s="2">
        <v>4</v>
      </c>
      <c r="E725" s="2">
        <v>1</v>
      </c>
      <c r="F725" s="2" t="s">
        <v>1503</v>
      </c>
    </row>
    <row r="726" spans="1:6" ht="75" x14ac:dyDescent="0.25">
      <c r="A726" s="2" t="s">
        <v>1217</v>
      </c>
      <c r="B726" s="2" t="b">
        <v>1</v>
      </c>
      <c r="C726" s="2" t="s">
        <v>2731</v>
      </c>
      <c r="D726" s="2">
        <v>6</v>
      </c>
      <c r="E726" s="2">
        <v>1</v>
      </c>
      <c r="F726" s="2" t="s">
        <v>1503</v>
      </c>
    </row>
    <row r="727" spans="1:6" ht="75" x14ac:dyDescent="0.25">
      <c r="A727" s="2" t="s">
        <v>1214</v>
      </c>
      <c r="B727" s="2" t="b">
        <v>1</v>
      </c>
      <c r="C727" s="2" t="s">
        <v>2732</v>
      </c>
      <c r="D727" s="2">
        <v>6</v>
      </c>
      <c r="E727" s="2">
        <v>1</v>
      </c>
      <c r="F727" s="2" t="s">
        <v>1503</v>
      </c>
    </row>
    <row r="728" spans="1:6" ht="75" x14ac:dyDescent="0.25">
      <c r="A728" s="2" t="s">
        <v>1220</v>
      </c>
      <c r="B728" s="2" t="b">
        <v>1</v>
      </c>
      <c r="C728" s="2" t="s">
        <v>2733</v>
      </c>
      <c r="D728" s="2">
        <v>6</v>
      </c>
      <c r="E728" s="2">
        <v>1</v>
      </c>
      <c r="F728" s="2" t="s">
        <v>1503</v>
      </c>
    </row>
    <row r="729" spans="1:6" ht="75" x14ac:dyDescent="0.25">
      <c r="A729" s="2" t="s">
        <v>2734</v>
      </c>
      <c r="B729" s="2" t="b">
        <v>0</v>
      </c>
      <c r="C729" s="2" t="s">
        <v>2735</v>
      </c>
      <c r="D729" s="2">
        <v>4</v>
      </c>
      <c r="E729" s="2">
        <v>1</v>
      </c>
      <c r="F729" s="2" t="s">
        <v>1503</v>
      </c>
    </row>
    <row r="730" spans="1:6" ht="75" x14ac:dyDescent="0.25">
      <c r="A730" s="2" t="s">
        <v>2736</v>
      </c>
      <c r="B730" s="2" t="b">
        <v>0</v>
      </c>
      <c r="C730" s="2" t="s">
        <v>2737</v>
      </c>
      <c r="D730" s="2">
        <v>4</v>
      </c>
      <c r="E730" s="2">
        <v>1</v>
      </c>
      <c r="F730" s="2" t="s">
        <v>1503</v>
      </c>
    </row>
    <row r="731" spans="1:6" ht="75" x14ac:dyDescent="0.25">
      <c r="A731" s="2" t="s">
        <v>2738</v>
      </c>
      <c r="B731" s="2" t="b">
        <v>0</v>
      </c>
      <c r="C731" s="2" t="s">
        <v>2739</v>
      </c>
      <c r="D731" s="2">
        <v>4</v>
      </c>
      <c r="E731" s="2">
        <v>3</v>
      </c>
      <c r="F731" s="2" t="s">
        <v>1503</v>
      </c>
    </row>
    <row r="732" spans="1:6" ht="75" x14ac:dyDescent="0.25">
      <c r="A732" s="2" t="s">
        <v>2740</v>
      </c>
      <c r="B732" s="2" t="b">
        <v>0</v>
      </c>
      <c r="C732" s="2" t="s">
        <v>2741</v>
      </c>
      <c r="D732" s="2">
        <v>4</v>
      </c>
      <c r="E732" s="2">
        <v>1</v>
      </c>
      <c r="F732" s="2" t="s">
        <v>1503</v>
      </c>
    </row>
    <row r="733" spans="1:6" ht="75" x14ac:dyDescent="0.25">
      <c r="A733" s="2" t="s">
        <v>2742</v>
      </c>
      <c r="B733" s="2" t="b">
        <v>0</v>
      </c>
      <c r="C733" s="2" t="s">
        <v>2743</v>
      </c>
      <c r="D733" s="2">
        <v>4</v>
      </c>
      <c r="E733" s="2">
        <v>1</v>
      </c>
      <c r="F733" s="2" t="s">
        <v>1503</v>
      </c>
    </row>
    <row r="734" spans="1:6" ht="75" x14ac:dyDescent="0.25">
      <c r="A734" s="2" t="s">
        <v>1159</v>
      </c>
      <c r="B734" s="2" t="b">
        <v>1</v>
      </c>
      <c r="C734" s="2" t="s">
        <v>2744</v>
      </c>
      <c r="D734" s="2">
        <v>7</v>
      </c>
      <c r="E734" s="2">
        <v>1</v>
      </c>
      <c r="F734" s="2" t="s">
        <v>1503</v>
      </c>
    </row>
    <row r="735" spans="1:6" ht="75" x14ac:dyDescent="0.25">
      <c r="A735" s="2" t="s">
        <v>1160</v>
      </c>
      <c r="B735" s="2" t="b">
        <v>1</v>
      </c>
      <c r="C735" s="2" t="s">
        <v>2744</v>
      </c>
      <c r="D735" s="2">
        <v>7</v>
      </c>
      <c r="E735" s="2">
        <v>1</v>
      </c>
      <c r="F735" s="2" t="s">
        <v>1503</v>
      </c>
    </row>
    <row r="736" spans="1:6" ht="75" x14ac:dyDescent="0.25">
      <c r="A736" s="2" t="s">
        <v>1191</v>
      </c>
      <c r="B736" s="2" t="b">
        <v>1</v>
      </c>
      <c r="C736" s="2" t="s">
        <v>2745</v>
      </c>
      <c r="D736" s="2">
        <v>5</v>
      </c>
      <c r="E736" s="2">
        <v>1</v>
      </c>
      <c r="F736" s="2" t="s">
        <v>1503</v>
      </c>
    </row>
    <row r="737" spans="1:6" ht="75" x14ac:dyDescent="0.25">
      <c r="A737" s="2" t="s">
        <v>2746</v>
      </c>
      <c r="B737" s="2" t="b">
        <v>0</v>
      </c>
      <c r="C737" s="2" t="s">
        <v>2747</v>
      </c>
      <c r="D737" s="2">
        <v>4</v>
      </c>
      <c r="E737" s="2">
        <v>1</v>
      </c>
      <c r="F737" s="2" t="s">
        <v>1503</v>
      </c>
    </row>
    <row r="738" spans="1:6" ht="75" x14ac:dyDescent="0.25">
      <c r="A738" s="2" t="s">
        <v>1167</v>
      </c>
      <c r="B738" s="2" t="b">
        <v>1</v>
      </c>
      <c r="C738" s="2" t="s">
        <v>2748</v>
      </c>
      <c r="D738" s="2">
        <v>6</v>
      </c>
      <c r="E738" s="2">
        <v>1</v>
      </c>
      <c r="F738" s="2" t="s">
        <v>1503</v>
      </c>
    </row>
    <row r="739" spans="1:6" ht="75" x14ac:dyDescent="0.25">
      <c r="A739" s="2" t="s">
        <v>1197</v>
      </c>
      <c r="B739" s="2" t="b">
        <v>1</v>
      </c>
      <c r="C739" s="2" t="s">
        <v>2749</v>
      </c>
      <c r="D739" s="2">
        <v>6</v>
      </c>
      <c r="E739" s="2">
        <v>1</v>
      </c>
      <c r="F739" s="2" t="s">
        <v>1503</v>
      </c>
    </row>
    <row r="740" spans="1:6" ht="75" x14ac:dyDescent="0.25">
      <c r="A740" s="2" t="s">
        <v>2750</v>
      </c>
      <c r="B740" s="2" t="b">
        <v>0</v>
      </c>
      <c r="C740" s="2" t="s">
        <v>2751</v>
      </c>
      <c r="D740" s="2">
        <v>4</v>
      </c>
      <c r="E740" s="2">
        <v>3</v>
      </c>
      <c r="F740" s="2" t="s">
        <v>1503</v>
      </c>
    </row>
    <row r="741" spans="1:6" ht="75" x14ac:dyDescent="0.25">
      <c r="A741" s="2" t="s">
        <v>1194</v>
      </c>
      <c r="B741" s="2" t="b">
        <v>1</v>
      </c>
      <c r="C741" s="2" t="s">
        <v>2752</v>
      </c>
      <c r="D741" s="2">
        <v>6</v>
      </c>
      <c r="E741" s="2">
        <v>1</v>
      </c>
      <c r="F741" s="2" t="s">
        <v>1503</v>
      </c>
    </row>
    <row r="742" spans="1:6" ht="75" x14ac:dyDescent="0.25">
      <c r="A742" s="2" t="s">
        <v>2753</v>
      </c>
      <c r="B742" s="2" t="b">
        <v>0</v>
      </c>
      <c r="C742" s="2" t="s">
        <v>2754</v>
      </c>
      <c r="D742" s="2">
        <v>4</v>
      </c>
      <c r="E742" s="2">
        <v>3</v>
      </c>
      <c r="F742" s="2" t="s">
        <v>1503</v>
      </c>
    </row>
    <row r="743" spans="1:6" ht="75" x14ac:dyDescent="0.25">
      <c r="A743" s="2" t="s">
        <v>1201</v>
      </c>
      <c r="B743" s="2" t="b">
        <v>1</v>
      </c>
      <c r="C743" s="2" t="s">
        <v>2755</v>
      </c>
      <c r="D743" s="2">
        <v>6</v>
      </c>
      <c r="E743" s="2">
        <v>1</v>
      </c>
      <c r="F743" s="2" t="s">
        <v>1503</v>
      </c>
    </row>
    <row r="744" spans="1:6" ht="75" x14ac:dyDescent="0.25">
      <c r="A744" s="2" t="s">
        <v>1209</v>
      </c>
      <c r="B744" s="2" t="b">
        <v>1</v>
      </c>
      <c r="C744" s="2" t="s">
        <v>2756</v>
      </c>
      <c r="D744" s="2">
        <v>6</v>
      </c>
      <c r="E744" s="2">
        <v>1</v>
      </c>
      <c r="F744" s="2" t="s">
        <v>1503</v>
      </c>
    </row>
    <row r="745" spans="1:6" ht="75" x14ac:dyDescent="0.25">
      <c r="A745" s="2" t="s">
        <v>1204</v>
      </c>
      <c r="B745" s="2" t="b">
        <v>1</v>
      </c>
      <c r="C745" s="2" t="s">
        <v>2757</v>
      </c>
      <c r="D745" s="2">
        <v>6</v>
      </c>
      <c r="E745" s="2">
        <v>1</v>
      </c>
      <c r="F745" s="2" t="s">
        <v>1503</v>
      </c>
    </row>
    <row r="746" spans="1:6" ht="75" x14ac:dyDescent="0.25">
      <c r="A746" s="2" t="s">
        <v>1152</v>
      </c>
      <c r="B746" s="2" t="b">
        <v>1</v>
      </c>
      <c r="C746" s="2" t="s">
        <v>2758</v>
      </c>
      <c r="D746" s="2">
        <v>6</v>
      </c>
      <c r="E746" s="2">
        <v>1</v>
      </c>
      <c r="F746" s="2" t="s">
        <v>1503</v>
      </c>
    </row>
    <row r="747" spans="1:6" ht="75" x14ac:dyDescent="0.25">
      <c r="A747" s="2" t="s">
        <v>1151</v>
      </c>
      <c r="B747" s="2" t="b">
        <v>1</v>
      </c>
      <c r="C747" s="2" t="s">
        <v>2759</v>
      </c>
      <c r="D747" s="2">
        <v>6</v>
      </c>
      <c r="E747" s="2">
        <v>1</v>
      </c>
      <c r="F747" s="2" t="s">
        <v>1503</v>
      </c>
    </row>
    <row r="748" spans="1:6" ht="75" x14ac:dyDescent="0.25">
      <c r="A748" s="2" t="s">
        <v>1187</v>
      </c>
      <c r="B748" s="2" t="b">
        <v>1</v>
      </c>
      <c r="C748" s="2" t="s">
        <v>2760</v>
      </c>
      <c r="D748" s="2">
        <v>6</v>
      </c>
      <c r="E748" s="2">
        <v>1</v>
      </c>
      <c r="F748" s="2" t="s">
        <v>1503</v>
      </c>
    </row>
    <row r="749" spans="1:6" ht="75" x14ac:dyDescent="0.25">
      <c r="A749" s="2" t="s">
        <v>1184</v>
      </c>
      <c r="B749" s="2" t="b">
        <v>1</v>
      </c>
      <c r="C749" s="2" t="s">
        <v>2761</v>
      </c>
      <c r="D749" s="2">
        <v>6</v>
      </c>
      <c r="E749" s="2">
        <v>1</v>
      </c>
      <c r="F749" s="2" t="s">
        <v>1503</v>
      </c>
    </row>
    <row r="750" spans="1:6" ht="75" x14ac:dyDescent="0.25">
      <c r="A750" s="2" t="s">
        <v>2762</v>
      </c>
      <c r="B750" s="2" t="b">
        <v>0</v>
      </c>
      <c r="C750" s="2" t="s">
        <v>2763</v>
      </c>
      <c r="D750" s="2">
        <v>4</v>
      </c>
      <c r="E750" s="2">
        <v>1</v>
      </c>
      <c r="F750" s="2" t="s">
        <v>1503</v>
      </c>
    </row>
    <row r="751" spans="1:6" ht="75" x14ac:dyDescent="0.25">
      <c r="A751" s="2" t="s">
        <v>954</v>
      </c>
      <c r="B751" s="2" t="b">
        <v>1</v>
      </c>
      <c r="C751" s="2" t="s">
        <v>2764</v>
      </c>
      <c r="D751" s="2">
        <v>6</v>
      </c>
      <c r="E751" s="2">
        <v>1</v>
      </c>
      <c r="F751" s="2" t="s">
        <v>1503</v>
      </c>
    </row>
    <row r="752" spans="1:6" ht="75" x14ac:dyDescent="0.25">
      <c r="A752" s="2" t="s">
        <v>973</v>
      </c>
      <c r="B752" s="2" t="b">
        <v>1</v>
      </c>
      <c r="C752" s="2" t="s">
        <v>2765</v>
      </c>
      <c r="D752" s="2">
        <v>6</v>
      </c>
      <c r="E752" s="2">
        <v>1</v>
      </c>
      <c r="F752" s="2" t="s">
        <v>1503</v>
      </c>
    </row>
    <row r="753" spans="1:6" ht="75" x14ac:dyDescent="0.25">
      <c r="A753" s="2" t="s">
        <v>2766</v>
      </c>
      <c r="B753" s="2" t="b">
        <v>0</v>
      </c>
      <c r="C753" s="2" t="s">
        <v>2767</v>
      </c>
      <c r="D753" s="2">
        <v>4</v>
      </c>
      <c r="E753" s="2">
        <v>1</v>
      </c>
      <c r="F753" s="2" t="s">
        <v>1503</v>
      </c>
    </row>
    <row r="754" spans="1:6" ht="75" x14ac:dyDescent="0.25">
      <c r="A754" s="2" t="s">
        <v>2768</v>
      </c>
      <c r="B754" s="2" t="b">
        <v>0</v>
      </c>
      <c r="C754" s="2" t="s">
        <v>2769</v>
      </c>
      <c r="D754" s="2">
        <v>4</v>
      </c>
      <c r="E754" s="2">
        <v>1</v>
      </c>
      <c r="F754" s="2" t="s">
        <v>1503</v>
      </c>
    </row>
    <row r="755" spans="1:6" ht="75" x14ac:dyDescent="0.25">
      <c r="A755" s="2" t="s">
        <v>1324</v>
      </c>
      <c r="B755" s="2" t="b">
        <v>1</v>
      </c>
      <c r="C755" s="2" t="s">
        <v>2770</v>
      </c>
      <c r="D755" s="2">
        <v>6</v>
      </c>
      <c r="E755" s="2">
        <v>1</v>
      </c>
      <c r="F755" s="2" t="s">
        <v>1503</v>
      </c>
    </row>
    <row r="756" spans="1:6" ht="75" x14ac:dyDescent="0.25">
      <c r="A756" s="2" t="s">
        <v>2771</v>
      </c>
      <c r="B756" s="2" t="b">
        <v>0</v>
      </c>
      <c r="C756" s="2" t="s">
        <v>2772</v>
      </c>
      <c r="D756" s="2">
        <v>4</v>
      </c>
      <c r="E756" s="2">
        <v>1</v>
      </c>
      <c r="F756" s="2" t="s">
        <v>1503</v>
      </c>
    </row>
    <row r="757" spans="1:6" ht="75" x14ac:dyDescent="0.25">
      <c r="A757" s="2" t="s">
        <v>997</v>
      </c>
      <c r="B757" s="2" t="b">
        <v>1</v>
      </c>
      <c r="C757" s="2" t="s">
        <v>2773</v>
      </c>
      <c r="D757" s="2">
        <v>6</v>
      </c>
      <c r="E757" s="2">
        <v>1</v>
      </c>
      <c r="F757" s="2" t="s">
        <v>1503</v>
      </c>
    </row>
    <row r="758" spans="1:6" ht="75" x14ac:dyDescent="0.25">
      <c r="A758" s="2" t="s">
        <v>2774</v>
      </c>
      <c r="B758" s="2" t="b">
        <v>0</v>
      </c>
      <c r="C758" s="2" t="s">
        <v>2775</v>
      </c>
      <c r="D758" s="2">
        <v>4</v>
      </c>
      <c r="E758" s="2">
        <v>1</v>
      </c>
      <c r="F758" s="2" t="s">
        <v>1503</v>
      </c>
    </row>
    <row r="759" spans="1:6" ht="75" x14ac:dyDescent="0.25">
      <c r="A759" s="2" t="s">
        <v>2776</v>
      </c>
      <c r="B759" s="2" t="b">
        <v>0</v>
      </c>
      <c r="C759" s="2" t="s">
        <v>2777</v>
      </c>
      <c r="D759" s="2">
        <v>4</v>
      </c>
      <c r="E759" s="2">
        <v>1</v>
      </c>
      <c r="F759" s="2" t="s">
        <v>1503</v>
      </c>
    </row>
    <row r="760" spans="1:6" ht="75" x14ac:dyDescent="0.25">
      <c r="A760" s="2" t="s">
        <v>2778</v>
      </c>
      <c r="B760" s="2" t="b">
        <v>0</v>
      </c>
      <c r="C760" s="2" t="s">
        <v>2779</v>
      </c>
      <c r="D760" s="2">
        <v>4</v>
      </c>
      <c r="E760" s="2">
        <v>1</v>
      </c>
      <c r="F760" s="2" t="s">
        <v>1503</v>
      </c>
    </row>
    <row r="761" spans="1:6" ht="75" x14ac:dyDescent="0.25">
      <c r="A761" s="2" t="s">
        <v>2780</v>
      </c>
      <c r="B761" s="2" t="b">
        <v>0</v>
      </c>
      <c r="C761" s="2" t="s">
        <v>2781</v>
      </c>
      <c r="D761" s="2">
        <v>4</v>
      </c>
      <c r="E761" s="2">
        <v>1</v>
      </c>
      <c r="F761" s="2" t="s">
        <v>1503</v>
      </c>
    </row>
    <row r="762" spans="1:6" ht="75" x14ac:dyDescent="0.25">
      <c r="A762" s="2" t="s">
        <v>2782</v>
      </c>
      <c r="B762" s="2" t="b">
        <v>0</v>
      </c>
      <c r="C762" s="2" t="s">
        <v>2783</v>
      </c>
      <c r="D762" s="2">
        <v>4</v>
      </c>
      <c r="E762" s="2">
        <v>1</v>
      </c>
      <c r="F762" s="2" t="s">
        <v>1503</v>
      </c>
    </row>
    <row r="763" spans="1:6" ht="75" x14ac:dyDescent="0.25">
      <c r="A763" s="2" t="s">
        <v>979</v>
      </c>
      <c r="B763" s="2" t="b">
        <v>1</v>
      </c>
      <c r="C763" s="2" t="s">
        <v>2784</v>
      </c>
      <c r="D763" s="2">
        <v>6</v>
      </c>
      <c r="E763" s="2">
        <v>1</v>
      </c>
      <c r="F763" s="2" t="s">
        <v>1503</v>
      </c>
    </row>
    <row r="764" spans="1:6" ht="75" x14ac:dyDescent="0.25">
      <c r="A764" s="2" t="s">
        <v>985</v>
      </c>
      <c r="B764" s="2" t="b">
        <v>1</v>
      </c>
      <c r="C764" s="2" t="s">
        <v>2785</v>
      </c>
      <c r="D764" s="2">
        <v>6</v>
      </c>
      <c r="E764" s="2">
        <v>1</v>
      </c>
      <c r="F764" s="2" t="s">
        <v>1503</v>
      </c>
    </row>
    <row r="765" spans="1:6" ht="75" x14ac:dyDescent="0.25">
      <c r="A765" s="2" t="s">
        <v>988</v>
      </c>
      <c r="B765" s="2" t="b">
        <v>1</v>
      </c>
      <c r="C765" s="2" t="s">
        <v>2786</v>
      </c>
      <c r="D765" s="2">
        <v>6</v>
      </c>
      <c r="E765" s="2">
        <v>1</v>
      </c>
      <c r="F765" s="2" t="s">
        <v>1503</v>
      </c>
    </row>
    <row r="766" spans="1:6" ht="75" x14ac:dyDescent="0.25">
      <c r="A766" s="2" t="s">
        <v>991</v>
      </c>
      <c r="B766" s="2" t="b">
        <v>1</v>
      </c>
      <c r="C766" s="2" t="s">
        <v>2787</v>
      </c>
      <c r="D766" s="2">
        <v>6</v>
      </c>
      <c r="E766" s="2">
        <v>1</v>
      </c>
      <c r="F766" s="2" t="s">
        <v>1503</v>
      </c>
    </row>
    <row r="767" spans="1:6" ht="75" x14ac:dyDescent="0.25">
      <c r="A767" s="2" t="s">
        <v>982</v>
      </c>
      <c r="B767" s="2" t="b">
        <v>1</v>
      </c>
      <c r="C767" s="2" t="s">
        <v>2788</v>
      </c>
      <c r="D767" s="2">
        <v>6</v>
      </c>
      <c r="E767" s="2">
        <v>1</v>
      </c>
      <c r="F767" s="2" t="s">
        <v>1503</v>
      </c>
    </row>
    <row r="768" spans="1:6" ht="75" x14ac:dyDescent="0.25">
      <c r="A768" s="2" t="s">
        <v>994</v>
      </c>
      <c r="B768" s="2" t="b">
        <v>1</v>
      </c>
      <c r="C768" s="2" t="s">
        <v>2789</v>
      </c>
      <c r="D768" s="2">
        <v>6</v>
      </c>
      <c r="E768" s="2">
        <v>1</v>
      </c>
      <c r="F768" s="2" t="s">
        <v>1503</v>
      </c>
    </row>
    <row r="769" spans="1:6" ht="75" x14ac:dyDescent="0.25">
      <c r="A769" s="2" t="s">
        <v>2790</v>
      </c>
      <c r="B769" s="2" t="b">
        <v>0</v>
      </c>
      <c r="C769" s="2" t="s">
        <v>2791</v>
      </c>
      <c r="D769" s="2">
        <v>4</v>
      </c>
      <c r="E769" s="2">
        <v>1</v>
      </c>
      <c r="F769" s="2" t="s">
        <v>1503</v>
      </c>
    </row>
    <row r="770" spans="1:6" ht="75" x14ac:dyDescent="0.25">
      <c r="A770" s="2" t="s">
        <v>2792</v>
      </c>
      <c r="B770" s="2" t="b">
        <v>0</v>
      </c>
      <c r="C770" s="2" t="s">
        <v>2793</v>
      </c>
      <c r="D770" s="2">
        <v>4</v>
      </c>
      <c r="E770" s="2">
        <v>1</v>
      </c>
      <c r="F770" s="2" t="s">
        <v>1503</v>
      </c>
    </row>
    <row r="771" spans="1:6" ht="75" x14ac:dyDescent="0.25">
      <c r="A771" s="2" t="s">
        <v>2794</v>
      </c>
      <c r="B771" s="2" t="b">
        <v>0</v>
      </c>
      <c r="C771" s="2" t="s">
        <v>2795</v>
      </c>
      <c r="D771" s="2">
        <v>4</v>
      </c>
      <c r="E771" s="2">
        <v>1</v>
      </c>
      <c r="F771" s="2" t="s">
        <v>1503</v>
      </c>
    </row>
    <row r="772" spans="1:6" ht="75" x14ac:dyDescent="0.25">
      <c r="A772" s="2" t="s">
        <v>2796</v>
      </c>
      <c r="B772" s="2" t="b">
        <v>0</v>
      </c>
      <c r="C772" s="2" t="s">
        <v>2797</v>
      </c>
      <c r="D772" s="2">
        <v>4</v>
      </c>
      <c r="E772" s="2">
        <v>1</v>
      </c>
      <c r="F772" s="2" t="s">
        <v>1503</v>
      </c>
    </row>
    <row r="773" spans="1:6" ht="75" x14ac:dyDescent="0.25">
      <c r="A773" s="2" t="s">
        <v>2798</v>
      </c>
      <c r="B773" s="2" t="b">
        <v>0</v>
      </c>
      <c r="C773" s="2" t="s">
        <v>2799</v>
      </c>
      <c r="D773" s="2">
        <v>4</v>
      </c>
      <c r="E773" s="2">
        <v>1</v>
      </c>
      <c r="F773" s="2" t="s">
        <v>1503</v>
      </c>
    </row>
    <row r="774" spans="1:6" ht="75" x14ac:dyDescent="0.25">
      <c r="A774" s="2" t="s">
        <v>1261</v>
      </c>
      <c r="B774" s="2" t="b">
        <v>1</v>
      </c>
      <c r="C774" s="2" t="s">
        <v>2800</v>
      </c>
      <c r="D774" s="2">
        <v>6</v>
      </c>
      <c r="E774" s="2">
        <v>1</v>
      </c>
      <c r="F774" s="2" t="s">
        <v>1503</v>
      </c>
    </row>
    <row r="775" spans="1:6" ht="75" x14ac:dyDescent="0.25">
      <c r="A775" s="2" t="s">
        <v>2801</v>
      </c>
      <c r="B775" s="2" t="b">
        <v>0</v>
      </c>
      <c r="C775" s="2" t="s">
        <v>2802</v>
      </c>
      <c r="D775" s="2">
        <v>4</v>
      </c>
      <c r="E775" s="2">
        <v>1</v>
      </c>
      <c r="F775" s="2" t="s">
        <v>1503</v>
      </c>
    </row>
    <row r="776" spans="1:6" ht="75" x14ac:dyDescent="0.25">
      <c r="A776" s="2" t="s">
        <v>1264</v>
      </c>
      <c r="B776" s="2" t="b">
        <v>1</v>
      </c>
      <c r="C776" s="2" t="s">
        <v>2803</v>
      </c>
      <c r="D776" s="2">
        <v>6</v>
      </c>
      <c r="E776" s="2">
        <v>1</v>
      </c>
      <c r="F776" s="2" t="s">
        <v>1503</v>
      </c>
    </row>
    <row r="777" spans="1:6" ht="75" x14ac:dyDescent="0.25">
      <c r="A777" s="2" t="s">
        <v>1320</v>
      </c>
      <c r="B777" s="2" t="b">
        <v>1</v>
      </c>
      <c r="C777" s="2" t="s">
        <v>2804</v>
      </c>
      <c r="D777" s="2">
        <v>6</v>
      </c>
      <c r="E777" s="2">
        <v>1</v>
      </c>
      <c r="F777" s="2" t="s">
        <v>1503</v>
      </c>
    </row>
    <row r="778" spans="1:6" ht="75" x14ac:dyDescent="0.25">
      <c r="A778" s="2" t="s">
        <v>1321</v>
      </c>
      <c r="B778" s="2" t="b">
        <v>1</v>
      </c>
      <c r="C778" s="2" t="s">
        <v>2805</v>
      </c>
      <c r="D778" s="2">
        <v>6</v>
      </c>
      <c r="E778" s="2">
        <v>1</v>
      </c>
      <c r="F778" s="2" t="s">
        <v>1503</v>
      </c>
    </row>
    <row r="779" spans="1:6" ht="75" x14ac:dyDescent="0.25">
      <c r="A779" s="2" t="s">
        <v>2806</v>
      </c>
      <c r="B779" s="2" t="b">
        <v>0</v>
      </c>
      <c r="C779" s="2" t="s">
        <v>2807</v>
      </c>
      <c r="D779" s="2">
        <v>4</v>
      </c>
      <c r="E779" s="2">
        <v>1</v>
      </c>
      <c r="F779" s="2" t="s">
        <v>1503</v>
      </c>
    </row>
    <row r="780" spans="1:6" ht="75" x14ac:dyDescent="0.25">
      <c r="A780" s="2" t="s">
        <v>1314</v>
      </c>
      <c r="B780" s="2" t="b">
        <v>1</v>
      </c>
      <c r="C780" s="2" t="s">
        <v>2808</v>
      </c>
      <c r="D780" s="2">
        <v>6</v>
      </c>
      <c r="E780" s="2">
        <v>1</v>
      </c>
      <c r="F780" s="2" t="s">
        <v>1503</v>
      </c>
    </row>
    <row r="781" spans="1:6" ht="75" x14ac:dyDescent="0.25">
      <c r="A781" s="2" t="s">
        <v>1267</v>
      </c>
      <c r="B781" s="2" t="b">
        <v>1</v>
      </c>
      <c r="C781" s="2" t="s">
        <v>2809</v>
      </c>
      <c r="D781" s="2">
        <v>6</v>
      </c>
      <c r="E781" s="2">
        <v>1</v>
      </c>
      <c r="F781" s="2" t="s">
        <v>1503</v>
      </c>
    </row>
    <row r="782" spans="1:6" ht="75" x14ac:dyDescent="0.25">
      <c r="A782" s="2" t="s">
        <v>2810</v>
      </c>
      <c r="B782" s="2" t="b">
        <v>0</v>
      </c>
      <c r="C782" s="2" t="s">
        <v>2811</v>
      </c>
      <c r="D782" s="2">
        <v>4</v>
      </c>
      <c r="E782" s="2">
        <v>1</v>
      </c>
      <c r="F782" s="2" t="s">
        <v>1503</v>
      </c>
    </row>
    <row r="783" spans="1:6" ht="75" x14ac:dyDescent="0.25">
      <c r="A783" s="2" t="s">
        <v>2812</v>
      </c>
      <c r="B783" s="2" t="b">
        <v>0</v>
      </c>
      <c r="C783" s="2" t="s">
        <v>2813</v>
      </c>
      <c r="D783" s="2">
        <v>4</v>
      </c>
      <c r="E783" s="2">
        <v>1</v>
      </c>
      <c r="F783" s="2" t="s">
        <v>1503</v>
      </c>
    </row>
    <row r="784" spans="1:6" ht="75" x14ac:dyDescent="0.25">
      <c r="A784" s="2" t="s">
        <v>2814</v>
      </c>
      <c r="B784" s="2" t="b">
        <v>0</v>
      </c>
      <c r="C784" s="2" t="s">
        <v>2815</v>
      </c>
      <c r="D784" s="2">
        <v>4</v>
      </c>
      <c r="E784" s="2">
        <v>1</v>
      </c>
      <c r="F784" s="2" t="s">
        <v>1503</v>
      </c>
    </row>
    <row r="785" spans="1:6" ht="75" x14ac:dyDescent="0.25">
      <c r="A785" s="2" t="s">
        <v>2816</v>
      </c>
      <c r="B785" s="2" t="b">
        <v>0</v>
      </c>
      <c r="C785" s="2" t="s">
        <v>2815</v>
      </c>
      <c r="D785" s="2">
        <v>4</v>
      </c>
      <c r="E785" s="2">
        <v>1</v>
      </c>
      <c r="F785" s="2" t="s">
        <v>1503</v>
      </c>
    </row>
    <row r="786" spans="1:6" ht="75" x14ac:dyDescent="0.25">
      <c r="A786" s="2" t="s">
        <v>1343</v>
      </c>
      <c r="B786" s="2" t="b">
        <v>1</v>
      </c>
      <c r="C786" s="2" t="s">
        <v>1342</v>
      </c>
      <c r="D786" s="2">
        <v>6</v>
      </c>
      <c r="E786" s="2">
        <v>1</v>
      </c>
      <c r="F786" s="2" t="s">
        <v>1503</v>
      </c>
    </row>
    <row r="787" spans="1:6" ht="75" x14ac:dyDescent="0.25">
      <c r="A787" s="2" t="s">
        <v>573</v>
      </c>
      <c r="B787" s="2" t="b">
        <v>1</v>
      </c>
      <c r="C787" s="2" t="s">
        <v>2817</v>
      </c>
      <c r="D787" s="2">
        <v>6</v>
      </c>
      <c r="E787" s="2">
        <v>1</v>
      </c>
      <c r="F787" s="2" t="s">
        <v>1503</v>
      </c>
    </row>
    <row r="788" spans="1:6" ht="75" x14ac:dyDescent="0.25">
      <c r="A788" s="2" t="s">
        <v>2818</v>
      </c>
      <c r="B788" s="2" t="b">
        <v>0</v>
      </c>
      <c r="C788" s="2" t="s">
        <v>2819</v>
      </c>
      <c r="D788" s="2">
        <v>4</v>
      </c>
      <c r="E788" s="2">
        <v>1</v>
      </c>
      <c r="F788" s="2" t="s">
        <v>1503</v>
      </c>
    </row>
    <row r="789" spans="1:6" ht="75" x14ac:dyDescent="0.25">
      <c r="A789" s="2" t="s">
        <v>1119</v>
      </c>
      <c r="B789" s="2" t="b">
        <v>1</v>
      </c>
      <c r="C789" s="2" t="s">
        <v>2820</v>
      </c>
      <c r="D789" s="2">
        <v>7</v>
      </c>
      <c r="E789" s="2">
        <v>1</v>
      </c>
      <c r="F789" s="2" t="s">
        <v>1503</v>
      </c>
    </row>
    <row r="790" spans="1:6" ht="75" x14ac:dyDescent="0.25">
      <c r="A790" s="2" t="s">
        <v>2821</v>
      </c>
      <c r="B790" s="2" t="b">
        <v>0</v>
      </c>
      <c r="C790" s="2" t="s">
        <v>2822</v>
      </c>
      <c r="D790" s="2">
        <v>4</v>
      </c>
      <c r="E790" s="2">
        <v>1</v>
      </c>
      <c r="F790" s="2" t="s">
        <v>1503</v>
      </c>
    </row>
    <row r="791" spans="1:6" ht="75" x14ac:dyDescent="0.25">
      <c r="A791" s="2" t="s">
        <v>1141</v>
      </c>
      <c r="B791" s="2" t="b">
        <v>1</v>
      </c>
      <c r="C791" s="2" t="s">
        <v>2823</v>
      </c>
      <c r="D791" s="2">
        <v>6</v>
      </c>
      <c r="E791" s="2">
        <v>1</v>
      </c>
      <c r="F791" s="2" t="s">
        <v>1503</v>
      </c>
    </row>
    <row r="792" spans="1:6" ht="75" x14ac:dyDescent="0.25">
      <c r="A792" s="2" t="s">
        <v>1140</v>
      </c>
      <c r="B792" s="2" t="b">
        <v>1</v>
      </c>
      <c r="C792" s="2" t="s">
        <v>2824</v>
      </c>
      <c r="D792" s="2">
        <v>6</v>
      </c>
      <c r="E792" s="2">
        <v>1</v>
      </c>
      <c r="F792" s="2" t="s">
        <v>1503</v>
      </c>
    </row>
    <row r="793" spans="1:6" ht="75" x14ac:dyDescent="0.25">
      <c r="A793" s="2" t="s">
        <v>1050</v>
      </c>
      <c r="B793" s="2" t="b">
        <v>1</v>
      </c>
      <c r="C793" s="2" t="s">
        <v>2825</v>
      </c>
      <c r="D793" s="2">
        <v>7</v>
      </c>
      <c r="E793" s="2">
        <v>1</v>
      </c>
      <c r="F793" s="2" t="s">
        <v>1503</v>
      </c>
    </row>
    <row r="794" spans="1:6" ht="75" x14ac:dyDescent="0.25">
      <c r="A794" s="2" t="s">
        <v>2826</v>
      </c>
      <c r="B794" s="2" t="b">
        <v>0</v>
      </c>
      <c r="C794" s="2" t="s">
        <v>1073</v>
      </c>
      <c r="D794" s="2">
        <v>4</v>
      </c>
      <c r="E794" s="2">
        <v>3</v>
      </c>
      <c r="F794" s="2" t="s">
        <v>1503</v>
      </c>
    </row>
    <row r="795" spans="1:6" ht="75" x14ac:dyDescent="0.25">
      <c r="A795" s="2" t="s">
        <v>2827</v>
      </c>
      <c r="B795" s="2" t="b">
        <v>0</v>
      </c>
      <c r="C795" s="2" t="s">
        <v>1069</v>
      </c>
      <c r="D795" s="2">
        <v>4</v>
      </c>
      <c r="E795" s="2">
        <v>3</v>
      </c>
      <c r="F795" s="2" t="s">
        <v>1503</v>
      </c>
    </row>
    <row r="796" spans="1:6" ht="75" x14ac:dyDescent="0.25">
      <c r="A796" s="2" t="s">
        <v>2828</v>
      </c>
      <c r="B796" s="2" t="b">
        <v>0</v>
      </c>
      <c r="C796" s="2" t="s">
        <v>2829</v>
      </c>
      <c r="D796" s="2">
        <v>4</v>
      </c>
      <c r="E796" s="2">
        <v>1</v>
      </c>
      <c r="F796" s="2" t="s">
        <v>1503</v>
      </c>
    </row>
    <row r="797" spans="1:6" ht="75" x14ac:dyDescent="0.25">
      <c r="A797" s="2" t="s">
        <v>2830</v>
      </c>
      <c r="B797" s="2" t="b">
        <v>0</v>
      </c>
      <c r="C797" s="2" t="s">
        <v>2831</v>
      </c>
      <c r="D797" s="2">
        <v>4</v>
      </c>
      <c r="E797" s="2">
        <v>1</v>
      </c>
      <c r="F797" s="2" t="s">
        <v>1503</v>
      </c>
    </row>
    <row r="798" spans="1:6" ht="75" x14ac:dyDescent="0.25">
      <c r="A798" s="2" t="s">
        <v>2832</v>
      </c>
      <c r="B798" s="2" t="b">
        <v>0</v>
      </c>
      <c r="C798" s="2" t="s">
        <v>2833</v>
      </c>
      <c r="D798" s="2">
        <v>4</v>
      </c>
      <c r="E798" s="2">
        <v>1</v>
      </c>
      <c r="F798" s="2" t="s">
        <v>1503</v>
      </c>
    </row>
    <row r="799" spans="1:6" ht="75" x14ac:dyDescent="0.25">
      <c r="A799" s="2" t="s">
        <v>1100</v>
      </c>
      <c r="B799" s="2" t="b">
        <v>1</v>
      </c>
      <c r="C799" s="2" t="s">
        <v>2834</v>
      </c>
      <c r="D799" s="2">
        <v>6</v>
      </c>
      <c r="E799" s="2">
        <v>1</v>
      </c>
      <c r="F799" s="2" t="s">
        <v>1503</v>
      </c>
    </row>
    <row r="800" spans="1:6" ht="75" x14ac:dyDescent="0.25">
      <c r="A800" s="2" t="s">
        <v>2835</v>
      </c>
      <c r="B800" s="2" t="b">
        <v>0</v>
      </c>
      <c r="C800" s="2" t="s">
        <v>2836</v>
      </c>
      <c r="D800" s="2">
        <v>4</v>
      </c>
      <c r="E800" s="2">
        <v>1</v>
      </c>
      <c r="F800" s="2" t="s">
        <v>1503</v>
      </c>
    </row>
    <row r="801" spans="1:6" ht="75" x14ac:dyDescent="0.25">
      <c r="A801" s="2" t="s">
        <v>1283</v>
      </c>
      <c r="B801" s="2" t="b">
        <v>1</v>
      </c>
      <c r="C801" s="2" t="s">
        <v>2837</v>
      </c>
      <c r="D801" s="2">
        <v>6</v>
      </c>
      <c r="E801" s="2">
        <v>1</v>
      </c>
      <c r="F801" s="2" t="s">
        <v>1503</v>
      </c>
    </row>
    <row r="802" spans="1:6" ht="75" x14ac:dyDescent="0.25">
      <c r="A802" s="2" t="s">
        <v>2838</v>
      </c>
      <c r="B802" s="2" t="b">
        <v>0</v>
      </c>
      <c r="C802" s="2" t="s">
        <v>2839</v>
      </c>
      <c r="D802" s="2">
        <v>4</v>
      </c>
      <c r="E802" s="2">
        <v>1</v>
      </c>
      <c r="F802" s="2" t="s">
        <v>1503</v>
      </c>
    </row>
    <row r="803" spans="1:6" ht="75" x14ac:dyDescent="0.25">
      <c r="A803" s="2" t="s">
        <v>2840</v>
      </c>
      <c r="B803" s="2" t="b">
        <v>0</v>
      </c>
      <c r="C803" s="2" t="s">
        <v>2841</v>
      </c>
      <c r="D803" s="2">
        <v>4</v>
      </c>
      <c r="E803" s="2">
        <v>1</v>
      </c>
      <c r="F803" s="2" t="s">
        <v>1503</v>
      </c>
    </row>
    <row r="804" spans="1:6" ht="75" x14ac:dyDescent="0.25">
      <c r="A804" s="2" t="s">
        <v>2842</v>
      </c>
      <c r="B804" s="2" t="b">
        <v>0</v>
      </c>
      <c r="C804" s="2" t="s">
        <v>2843</v>
      </c>
      <c r="D804" s="2">
        <v>4</v>
      </c>
      <c r="E804" s="2">
        <v>1</v>
      </c>
      <c r="F804" s="2" t="s">
        <v>1503</v>
      </c>
    </row>
    <row r="805" spans="1:6" ht="75" x14ac:dyDescent="0.25">
      <c r="A805" s="2" t="s">
        <v>2844</v>
      </c>
      <c r="B805" s="2" t="b">
        <v>0</v>
      </c>
      <c r="C805" s="2" t="s">
        <v>2845</v>
      </c>
      <c r="D805" s="2">
        <v>4</v>
      </c>
      <c r="E805" s="2">
        <v>1</v>
      </c>
      <c r="F805" s="2" t="s">
        <v>1503</v>
      </c>
    </row>
    <row r="806" spans="1:6" ht="75" x14ac:dyDescent="0.25">
      <c r="A806" s="2" t="s">
        <v>2846</v>
      </c>
      <c r="B806" s="2" t="b">
        <v>0</v>
      </c>
      <c r="C806" s="2" t="s">
        <v>2847</v>
      </c>
      <c r="D806" s="2">
        <v>4</v>
      </c>
      <c r="E806" s="2">
        <v>1</v>
      </c>
      <c r="F806" s="2" t="s">
        <v>1503</v>
      </c>
    </row>
    <row r="807" spans="1:6" ht="75" x14ac:dyDescent="0.25">
      <c r="A807" s="2" t="s">
        <v>2848</v>
      </c>
      <c r="B807" s="2" t="b">
        <v>0</v>
      </c>
      <c r="C807" s="2" t="s">
        <v>2849</v>
      </c>
      <c r="D807" s="2">
        <v>4</v>
      </c>
      <c r="E807" s="2">
        <v>1</v>
      </c>
      <c r="F807" s="2" t="s">
        <v>1503</v>
      </c>
    </row>
    <row r="808" spans="1:6" ht="75" x14ac:dyDescent="0.25">
      <c r="A808" s="2" t="s">
        <v>2850</v>
      </c>
      <c r="B808" s="2" t="b">
        <v>0</v>
      </c>
      <c r="C808" s="2" t="s">
        <v>2851</v>
      </c>
      <c r="D808" s="2">
        <v>4</v>
      </c>
      <c r="E808" s="2">
        <v>1</v>
      </c>
      <c r="F808" s="2" t="s">
        <v>1503</v>
      </c>
    </row>
    <row r="809" spans="1:6" ht="75" x14ac:dyDescent="0.25">
      <c r="A809" s="2" t="s">
        <v>1223</v>
      </c>
      <c r="B809" s="2" t="b">
        <v>1</v>
      </c>
      <c r="C809" s="2" t="s">
        <v>2852</v>
      </c>
      <c r="D809" s="2">
        <v>6</v>
      </c>
      <c r="E809" s="2">
        <v>1</v>
      </c>
      <c r="F809" s="2" t="s">
        <v>1503</v>
      </c>
    </row>
    <row r="810" spans="1:6" ht="75" x14ac:dyDescent="0.25">
      <c r="A810" s="2" t="s">
        <v>1224</v>
      </c>
      <c r="B810" s="2" t="b">
        <v>1</v>
      </c>
      <c r="C810" s="2" t="s">
        <v>2853</v>
      </c>
      <c r="D810" s="2">
        <v>6</v>
      </c>
      <c r="E810" s="2">
        <v>1</v>
      </c>
      <c r="F810" s="2" t="s">
        <v>1503</v>
      </c>
    </row>
    <row r="811" spans="1:6" ht="75" x14ac:dyDescent="0.25">
      <c r="A811" s="2" t="s">
        <v>1227</v>
      </c>
      <c r="B811" s="2" t="b">
        <v>1</v>
      </c>
      <c r="C811" s="2" t="s">
        <v>2852</v>
      </c>
      <c r="D811" s="2">
        <v>6</v>
      </c>
      <c r="E811" s="2">
        <v>1</v>
      </c>
      <c r="F811" s="2" t="s">
        <v>1503</v>
      </c>
    </row>
    <row r="812" spans="1:6" ht="75" x14ac:dyDescent="0.25">
      <c r="A812" s="2" t="s">
        <v>1225</v>
      </c>
      <c r="B812" s="2" t="b">
        <v>1</v>
      </c>
      <c r="C812" s="2" t="s">
        <v>2853</v>
      </c>
      <c r="D812" s="2">
        <v>6</v>
      </c>
      <c r="E812" s="2">
        <v>1</v>
      </c>
      <c r="F812" s="2" t="s">
        <v>1503</v>
      </c>
    </row>
    <row r="813" spans="1:6" ht="75" x14ac:dyDescent="0.25">
      <c r="A813" s="2" t="s">
        <v>2854</v>
      </c>
      <c r="B813" s="2" t="b">
        <v>1</v>
      </c>
      <c r="C813" s="2" t="s">
        <v>2855</v>
      </c>
      <c r="D813" s="2">
        <v>4</v>
      </c>
      <c r="E813" s="2">
        <v>2</v>
      </c>
      <c r="F813" s="2" t="s">
        <v>1503</v>
      </c>
    </row>
    <row r="814" spans="1:6" ht="75" x14ac:dyDescent="0.25">
      <c r="A814" s="2" t="s">
        <v>2856</v>
      </c>
      <c r="B814" s="2" t="b">
        <v>1</v>
      </c>
      <c r="C814" s="2" t="s">
        <v>2857</v>
      </c>
      <c r="D814" s="2">
        <v>4</v>
      </c>
      <c r="E814" s="2">
        <v>2</v>
      </c>
      <c r="F814" s="2" t="s">
        <v>1503</v>
      </c>
    </row>
    <row r="815" spans="1:6" ht="75" x14ac:dyDescent="0.25">
      <c r="A815" s="2" t="s">
        <v>2858</v>
      </c>
      <c r="B815" s="2" t="b">
        <v>1</v>
      </c>
      <c r="C815" s="2" t="s">
        <v>2859</v>
      </c>
      <c r="D815" s="2">
        <v>4</v>
      </c>
      <c r="E815" s="2">
        <v>2</v>
      </c>
      <c r="F815" s="2" t="s">
        <v>1503</v>
      </c>
    </row>
    <row r="816" spans="1:6" ht="75" x14ac:dyDescent="0.25">
      <c r="A816" s="2" t="s">
        <v>1177</v>
      </c>
      <c r="B816" s="2" t="b">
        <v>1</v>
      </c>
      <c r="C816" s="2" t="s">
        <v>2860</v>
      </c>
      <c r="D816" s="2">
        <v>5</v>
      </c>
      <c r="E816" s="2">
        <v>1</v>
      </c>
      <c r="F816" s="2" t="s">
        <v>1503</v>
      </c>
    </row>
    <row r="817" spans="1:6" ht="75" x14ac:dyDescent="0.25">
      <c r="A817" s="2" t="s">
        <v>1172</v>
      </c>
      <c r="B817" s="2" t="b">
        <v>1</v>
      </c>
      <c r="C817" s="2" t="s">
        <v>2860</v>
      </c>
      <c r="D817" s="2">
        <v>5</v>
      </c>
      <c r="E817" s="2">
        <v>1</v>
      </c>
      <c r="F817" s="2" t="s">
        <v>1503</v>
      </c>
    </row>
    <row r="818" spans="1:6" ht="75" x14ac:dyDescent="0.25">
      <c r="A818" s="2" t="s">
        <v>814</v>
      </c>
      <c r="B818" s="2" t="b">
        <v>1</v>
      </c>
      <c r="C818" s="2" t="s">
        <v>2861</v>
      </c>
      <c r="D818" s="2">
        <v>6</v>
      </c>
      <c r="E818" s="2">
        <v>1</v>
      </c>
      <c r="F818" s="2" t="s">
        <v>1503</v>
      </c>
    </row>
    <row r="819" spans="1:6" ht="75" x14ac:dyDescent="0.25">
      <c r="A819" s="2" t="s">
        <v>2862</v>
      </c>
      <c r="B819" s="2" t="b">
        <v>1</v>
      </c>
      <c r="C819" s="2" t="s">
        <v>2863</v>
      </c>
      <c r="D819" s="2">
        <v>1</v>
      </c>
      <c r="E819" s="2">
        <v>1</v>
      </c>
      <c r="F819" s="2" t="s">
        <v>1503</v>
      </c>
    </row>
    <row r="820" spans="1:6" ht="75" x14ac:dyDescent="0.25">
      <c r="A820" s="2" t="s">
        <v>2864</v>
      </c>
      <c r="B820" s="2" t="b">
        <v>1</v>
      </c>
      <c r="C820" s="2" t="s">
        <v>2865</v>
      </c>
      <c r="D820" s="2">
        <v>1</v>
      </c>
      <c r="E820" s="2">
        <v>1</v>
      </c>
      <c r="F820" s="2" t="s">
        <v>1503</v>
      </c>
    </row>
    <row r="821" spans="1:6" ht="75" x14ac:dyDescent="0.25">
      <c r="A821" s="2" t="s">
        <v>2866</v>
      </c>
      <c r="B821" s="2" t="b">
        <v>1</v>
      </c>
      <c r="C821" s="2" t="s">
        <v>2867</v>
      </c>
      <c r="D821" s="2">
        <v>1</v>
      </c>
      <c r="E821" s="2">
        <v>1</v>
      </c>
      <c r="F821" s="2" t="s">
        <v>1503</v>
      </c>
    </row>
    <row r="822" spans="1:6" ht="75" x14ac:dyDescent="0.25">
      <c r="A822" s="2" t="s">
        <v>2868</v>
      </c>
      <c r="B822" s="2" t="b">
        <v>1</v>
      </c>
      <c r="C822" s="2" t="s">
        <v>2869</v>
      </c>
      <c r="D822" s="2">
        <v>1</v>
      </c>
      <c r="E822" s="2">
        <v>1</v>
      </c>
      <c r="F822" s="2" t="s">
        <v>1503</v>
      </c>
    </row>
    <row r="823" spans="1:6" ht="75" x14ac:dyDescent="0.25">
      <c r="A823" s="2" t="s">
        <v>2870</v>
      </c>
      <c r="B823" s="2" t="b">
        <v>1</v>
      </c>
      <c r="C823" s="2" t="s">
        <v>2871</v>
      </c>
      <c r="D823" s="2">
        <v>1</v>
      </c>
      <c r="E823" s="2">
        <v>1</v>
      </c>
      <c r="F823" s="2" t="s">
        <v>1503</v>
      </c>
    </row>
    <row r="824" spans="1:6" ht="75" x14ac:dyDescent="0.25">
      <c r="A824" s="2" t="s">
        <v>2872</v>
      </c>
      <c r="B824" s="2" t="b">
        <v>1</v>
      </c>
      <c r="C824" s="2" t="s">
        <v>2873</v>
      </c>
      <c r="D824" s="2">
        <v>1</v>
      </c>
      <c r="E824" s="2">
        <v>1</v>
      </c>
      <c r="F824" s="2" t="s">
        <v>1503</v>
      </c>
    </row>
    <row r="825" spans="1:6" ht="75" x14ac:dyDescent="0.25">
      <c r="A825" s="2" t="s">
        <v>2874</v>
      </c>
      <c r="B825" s="2" t="b">
        <v>1</v>
      </c>
      <c r="C825" s="2" t="s">
        <v>2875</v>
      </c>
      <c r="D825" s="2">
        <v>1</v>
      </c>
      <c r="E825" s="2">
        <v>1</v>
      </c>
      <c r="F825" s="2" t="s">
        <v>1503</v>
      </c>
    </row>
    <row r="826" spans="1:6" ht="75" x14ac:dyDescent="0.25">
      <c r="A826" s="2" t="s">
        <v>2876</v>
      </c>
      <c r="B826" s="2" t="b">
        <v>1</v>
      </c>
      <c r="C826" s="2" t="s">
        <v>2877</v>
      </c>
      <c r="D826" s="2">
        <v>1</v>
      </c>
      <c r="E826" s="2">
        <v>1</v>
      </c>
      <c r="F826" s="2" t="s">
        <v>1503</v>
      </c>
    </row>
    <row r="827" spans="1:6" ht="75" x14ac:dyDescent="0.25">
      <c r="A827" s="2" t="s">
        <v>2878</v>
      </c>
      <c r="B827" s="2" t="b">
        <v>1</v>
      </c>
      <c r="C827" s="2" t="s">
        <v>2879</v>
      </c>
      <c r="D827" s="2">
        <v>1</v>
      </c>
      <c r="E827" s="2">
        <v>1</v>
      </c>
      <c r="F827" s="2" t="s">
        <v>1503</v>
      </c>
    </row>
    <row r="828" spans="1:6" ht="75" x14ac:dyDescent="0.25">
      <c r="A828" s="2" t="s">
        <v>2880</v>
      </c>
      <c r="B828" s="2" t="b">
        <v>1</v>
      </c>
      <c r="C828" s="2" t="s">
        <v>2881</v>
      </c>
      <c r="D828" s="2">
        <v>1</v>
      </c>
      <c r="E828" s="2">
        <v>1</v>
      </c>
      <c r="F828" s="2" t="s">
        <v>1503</v>
      </c>
    </row>
    <row r="829" spans="1:6" ht="75" x14ac:dyDescent="0.25">
      <c r="A829" s="2" t="s">
        <v>2882</v>
      </c>
      <c r="B829" s="2" t="b">
        <v>1</v>
      </c>
      <c r="C829" s="2" t="s">
        <v>2883</v>
      </c>
      <c r="D829" s="2">
        <v>1</v>
      </c>
      <c r="E829" s="2">
        <v>1</v>
      </c>
      <c r="F829" s="2" t="s">
        <v>1503</v>
      </c>
    </row>
    <row r="830" spans="1:6" ht="75" x14ac:dyDescent="0.25">
      <c r="A830" s="2" t="s">
        <v>2884</v>
      </c>
      <c r="B830" s="2" t="b">
        <v>1</v>
      </c>
      <c r="C830" s="2" t="s">
        <v>2885</v>
      </c>
      <c r="D830" s="2">
        <v>1</v>
      </c>
      <c r="E830" s="2">
        <v>1</v>
      </c>
      <c r="F830" s="2" t="s">
        <v>1503</v>
      </c>
    </row>
    <row r="831" spans="1:6" ht="75" x14ac:dyDescent="0.25">
      <c r="A831" s="2" t="s">
        <v>2886</v>
      </c>
      <c r="B831" s="2" t="b">
        <v>1</v>
      </c>
      <c r="C831" s="2" t="s">
        <v>2887</v>
      </c>
      <c r="D831" s="2">
        <v>1</v>
      </c>
      <c r="E831" s="2">
        <v>1</v>
      </c>
      <c r="F831" s="2" t="s">
        <v>1503</v>
      </c>
    </row>
    <row r="832" spans="1:6" ht="75" x14ac:dyDescent="0.25">
      <c r="A832" s="2" t="s">
        <v>2888</v>
      </c>
      <c r="B832" s="2" t="b">
        <v>1</v>
      </c>
      <c r="C832" s="2" t="s">
        <v>2889</v>
      </c>
      <c r="D832" s="2">
        <v>1</v>
      </c>
      <c r="E832" s="2">
        <v>1</v>
      </c>
      <c r="F832" s="2" t="s">
        <v>1503</v>
      </c>
    </row>
    <row r="833" spans="1:6" ht="75" x14ac:dyDescent="0.25">
      <c r="A833" s="2" t="s">
        <v>2890</v>
      </c>
      <c r="B833" s="2" t="b">
        <v>1</v>
      </c>
      <c r="C833" s="2" t="s">
        <v>2891</v>
      </c>
      <c r="D833" s="2">
        <v>1</v>
      </c>
      <c r="E833" s="2">
        <v>2</v>
      </c>
      <c r="F833" s="2" t="s">
        <v>1503</v>
      </c>
    </row>
    <row r="834" spans="1:6" ht="75" x14ac:dyDescent="0.25">
      <c r="A834" s="2" t="s">
        <v>2892</v>
      </c>
      <c r="B834" s="2" t="b">
        <v>1</v>
      </c>
      <c r="C834" s="2" t="s">
        <v>2893</v>
      </c>
      <c r="D834" s="2">
        <v>1</v>
      </c>
      <c r="E834" s="2">
        <v>2</v>
      </c>
      <c r="F834" s="2" t="s">
        <v>1503</v>
      </c>
    </row>
    <row r="835" spans="1:6" ht="75" x14ac:dyDescent="0.25">
      <c r="A835" s="2" t="s">
        <v>2894</v>
      </c>
      <c r="B835" s="2" t="b">
        <v>1</v>
      </c>
      <c r="C835" s="2" t="s">
        <v>2895</v>
      </c>
      <c r="D835" s="2">
        <v>1</v>
      </c>
      <c r="E835" s="2">
        <v>2</v>
      </c>
      <c r="F835" s="2" t="s">
        <v>1503</v>
      </c>
    </row>
    <row r="836" spans="1:6" ht="75" x14ac:dyDescent="0.25">
      <c r="A836" s="2" t="s">
        <v>2896</v>
      </c>
      <c r="B836" s="2" t="b">
        <v>1</v>
      </c>
      <c r="C836" s="2" t="s">
        <v>2897</v>
      </c>
      <c r="D836" s="2">
        <v>1</v>
      </c>
      <c r="E836" s="2">
        <v>2</v>
      </c>
      <c r="F836" s="2" t="s">
        <v>1503</v>
      </c>
    </row>
    <row r="837" spans="1:6" ht="75" x14ac:dyDescent="0.25">
      <c r="A837" s="2" t="s">
        <v>2898</v>
      </c>
      <c r="B837" s="2" t="b">
        <v>0</v>
      </c>
      <c r="C837" s="2" t="s">
        <v>2899</v>
      </c>
      <c r="D837" s="2">
        <v>4</v>
      </c>
      <c r="E837" s="2">
        <v>2</v>
      </c>
      <c r="F837" s="2" t="s">
        <v>1503</v>
      </c>
    </row>
    <row r="838" spans="1:6" ht="75" x14ac:dyDescent="0.25">
      <c r="A838" s="2" t="s">
        <v>2900</v>
      </c>
      <c r="B838" s="2" t="b">
        <v>0</v>
      </c>
      <c r="C838" s="2" t="s">
        <v>2901</v>
      </c>
      <c r="D838" s="2">
        <v>3</v>
      </c>
      <c r="E838" s="2">
        <v>2</v>
      </c>
      <c r="F838" s="2" t="s">
        <v>1503</v>
      </c>
    </row>
    <row r="839" spans="1:6" ht="75" x14ac:dyDescent="0.25">
      <c r="A839" s="2" t="s">
        <v>2902</v>
      </c>
      <c r="B839" s="2" t="b">
        <v>1</v>
      </c>
      <c r="C839" s="2" t="s">
        <v>2903</v>
      </c>
      <c r="D839" s="2">
        <v>4</v>
      </c>
      <c r="E839" s="2">
        <v>2</v>
      </c>
      <c r="F839" s="2" t="s">
        <v>1503</v>
      </c>
    </row>
    <row r="840" spans="1:6" ht="75" x14ac:dyDescent="0.25">
      <c r="A840" s="2" t="s">
        <v>2904</v>
      </c>
      <c r="B840" s="2" t="b">
        <v>1</v>
      </c>
      <c r="C840" s="2" t="s">
        <v>2905</v>
      </c>
      <c r="D840" s="2">
        <v>4</v>
      </c>
      <c r="E840" s="2">
        <v>2</v>
      </c>
      <c r="F840" s="2" t="s">
        <v>1503</v>
      </c>
    </row>
    <row r="841" spans="1:6" ht="75" x14ac:dyDescent="0.25">
      <c r="A841" s="2" t="s">
        <v>2906</v>
      </c>
      <c r="B841" s="2" t="b">
        <v>1</v>
      </c>
      <c r="C841" s="2" t="s">
        <v>2907</v>
      </c>
      <c r="D841" s="2">
        <v>4</v>
      </c>
      <c r="E841" s="2">
        <v>2</v>
      </c>
      <c r="F841" s="2" t="s">
        <v>1503</v>
      </c>
    </row>
    <row r="842" spans="1:6" ht="75" x14ac:dyDescent="0.25">
      <c r="A842" s="2" t="s">
        <v>2908</v>
      </c>
      <c r="B842" s="2" t="b">
        <v>1</v>
      </c>
      <c r="C842" s="2" t="s">
        <v>2909</v>
      </c>
      <c r="D842" s="2">
        <v>4</v>
      </c>
      <c r="E842" s="2">
        <v>2</v>
      </c>
      <c r="F842" s="2" t="s">
        <v>1503</v>
      </c>
    </row>
    <row r="843" spans="1:6" ht="75" x14ac:dyDescent="0.25">
      <c r="A843" s="2" t="s">
        <v>222</v>
      </c>
      <c r="B843" s="2" t="b">
        <v>1</v>
      </c>
      <c r="C843" s="2" t="s">
        <v>224</v>
      </c>
      <c r="D843" s="2">
        <v>4</v>
      </c>
      <c r="E843" s="2">
        <v>2</v>
      </c>
      <c r="F843" s="2" t="s">
        <v>1503</v>
      </c>
    </row>
    <row r="844" spans="1:6" ht="75" x14ac:dyDescent="0.25">
      <c r="A844" s="2" t="s">
        <v>2910</v>
      </c>
      <c r="B844" s="2" t="b">
        <v>1</v>
      </c>
      <c r="C844" s="2" t="s">
        <v>2911</v>
      </c>
      <c r="D844" s="2">
        <v>4</v>
      </c>
      <c r="E844" s="2">
        <v>2</v>
      </c>
      <c r="F844" s="2" t="s">
        <v>1503</v>
      </c>
    </row>
    <row r="845" spans="1:6" ht="75" x14ac:dyDescent="0.25">
      <c r="A845" s="2" t="s">
        <v>449</v>
      </c>
      <c r="B845" s="2" t="b">
        <v>1</v>
      </c>
      <c r="C845" s="2" t="s">
        <v>450</v>
      </c>
      <c r="D845" s="2">
        <v>4</v>
      </c>
      <c r="E845" s="2">
        <v>2</v>
      </c>
      <c r="F845" s="2" t="s">
        <v>1503</v>
      </c>
    </row>
    <row r="846" spans="1:6" ht="75" x14ac:dyDescent="0.25">
      <c r="A846" s="2" t="s">
        <v>163</v>
      </c>
      <c r="B846" s="2" t="b">
        <v>1</v>
      </c>
      <c r="C846" s="2" t="s">
        <v>165</v>
      </c>
      <c r="D846" s="2">
        <v>4</v>
      </c>
      <c r="E846" s="2">
        <v>2</v>
      </c>
      <c r="F846" s="2" t="s">
        <v>1503</v>
      </c>
    </row>
    <row r="847" spans="1:6" ht="75" x14ac:dyDescent="0.25">
      <c r="A847" s="2" t="s">
        <v>2912</v>
      </c>
      <c r="B847" s="2" t="b">
        <v>1</v>
      </c>
      <c r="C847" s="2" t="s">
        <v>2913</v>
      </c>
      <c r="D847" s="2">
        <v>4</v>
      </c>
      <c r="E847" s="2">
        <v>2</v>
      </c>
      <c r="F847" s="2" t="s">
        <v>1503</v>
      </c>
    </row>
    <row r="848" spans="1:6" ht="75" x14ac:dyDescent="0.25">
      <c r="A848" s="2" t="s">
        <v>2914</v>
      </c>
      <c r="B848" s="2" t="b">
        <v>1</v>
      </c>
      <c r="C848" s="2" t="s">
        <v>2915</v>
      </c>
      <c r="D848" s="2">
        <v>4</v>
      </c>
      <c r="E848" s="2">
        <v>2</v>
      </c>
      <c r="F848" s="2" t="s">
        <v>1503</v>
      </c>
    </row>
    <row r="849" spans="1:6" ht="75" x14ac:dyDescent="0.25">
      <c r="A849" s="2" t="s">
        <v>2916</v>
      </c>
      <c r="B849" s="2" t="b">
        <v>1</v>
      </c>
      <c r="C849" s="2" t="s">
        <v>2917</v>
      </c>
      <c r="D849" s="2">
        <v>4</v>
      </c>
      <c r="E849" s="2">
        <v>2</v>
      </c>
      <c r="F849" s="2" t="s">
        <v>1503</v>
      </c>
    </row>
    <row r="850" spans="1:6" ht="75" x14ac:dyDescent="0.25">
      <c r="A850" s="2" t="s">
        <v>2918</v>
      </c>
      <c r="B850" s="2" t="b">
        <v>1</v>
      </c>
      <c r="C850" s="2" t="s">
        <v>2919</v>
      </c>
      <c r="D850" s="2">
        <v>4</v>
      </c>
      <c r="E850" s="2">
        <v>2</v>
      </c>
      <c r="F850" s="2" t="s">
        <v>1503</v>
      </c>
    </row>
    <row r="851" spans="1:6" ht="75" x14ac:dyDescent="0.25">
      <c r="A851" s="2" t="s">
        <v>145</v>
      </c>
      <c r="B851" s="2" t="b">
        <v>1</v>
      </c>
      <c r="C851" s="2" t="s">
        <v>2920</v>
      </c>
      <c r="D851" s="2">
        <v>4</v>
      </c>
      <c r="E851" s="2">
        <v>2</v>
      </c>
      <c r="F851" s="2" t="s">
        <v>1503</v>
      </c>
    </row>
    <row r="852" spans="1:6" ht="75" x14ac:dyDescent="0.25">
      <c r="A852" s="2" t="s">
        <v>2921</v>
      </c>
      <c r="B852" s="2" t="b">
        <v>1</v>
      </c>
      <c r="C852" s="2" t="s">
        <v>2922</v>
      </c>
      <c r="D852" s="2">
        <v>4</v>
      </c>
      <c r="E852" s="2">
        <v>2</v>
      </c>
      <c r="F852" s="2" t="s">
        <v>1503</v>
      </c>
    </row>
    <row r="853" spans="1:6" ht="75" x14ac:dyDescent="0.25">
      <c r="A853" s="2" t="s">
        <v>2923</v>
      </c>
      <c r="B853" s="2" t="b">
        <v>1</v>
      </c>
      <c r="C853" s="2" t="s">
        <v>2924</v>
      </c>
      <c r="D853" s="2">
        <v>4</v>
      </c>
      <c r="E853" s="2">
        <v>2</v>
      </c>
      <c r="F853" s="2" t="s">
        <v>1503</v>
      </c>
    </row>
    <row r="854" spans="1:6" ht="75" x14ac:dyDescent="0.25">
      <c r="A854" s="2" t="s">
        <v>2925</v>
      </c>
      <c r="B854" s="2" t="b">
        <v>1</v>
      </c>
      <c r="C854" s="2" t="s">
        <v>2926</v>
      </c>
      <c r="D854" s="2">
        <v>4</v>
      </c>
      <c r="E854" s="2">
        <v>2</v>
      </c>
      <c r="F854" s="2" t="s">
        <v>1503</v>
      </c>
    </row>
    <row r="855" spans="1:6" ht="75" x14ac:dyDescent="0.25">
      <c r="A855" s="2" t="s">
        <v>295</v>
      </c>
      <c r="B855" s="2" t="b">
        <v>1</v>
      </c>
      <c r="C855" s="2" t="s">
        <v>2927</v>
      </c>
      <c r="D855" s="2">
        <v>4</v>
      </c>
      <c r="E855" s="2">
        <v>2</v>
      </c>
      <c r="F855" s="2" t="s">
        <v>1503</v>
      </c>
    </row>
    <row r="856" spans="1:6" ht="75" x14ac:dyDescent="0.25">
      <c r="A856" s="2" t="s">
        <v>2928</v>
      </c>
      <c r="B856" s="2" t="b">
        <v>1</v>
      </c>
      <c r="C856" s="2" t="s">
        <v>2929</v>
      </c>
      <c r="D856" s="2">
        <v>4</v>
      </c>
      <c r="E856" s="2">
        <v>2</v>
      </c>
      <c r="F856" s="2" t="s">
        <v>1503</v>
      </c>
    </row>
    <row r="857" spans="1:6" ht="75" x14ac:dyDescent="0.25">
      <c r="A857" s="2" t="s">
        <v>2930</v>
      </c>
      <c r="B857" s="2" t="b">
        <v>1</v>
      </c>
      <c r="C857" s="2" t="s">
        <v>2931</v>
      </c>
      <c r="D857" s="2">
        <v>4</v>
      </c>
      <c r="E857" s="2">
        <v>2</v>
      </c>
      <c r="F857" s="2" t="s">
        <v>1503</v>
      </c>
    </row>
    <row r="858" spans="1:6" ht="75" x14ac:dyDescent="0.25">
      <c r="A858" s="2" t="s">
        <v>2932</v>
      </c>
      <c r="B858" s="2" t="b">
        <v>1</v>
      </c>
      <c r="C858" s="2" t="s">
        <v>2933</v>
      </c>
      <c r="D858" s="2">
        <v>4</v>
      </c>
      <c r="E858" s="2">
        <v>2</v>
      </c>
      <c r="F858" s="2" t="s">
        <v>1503</v>
      </c>
    </row>
    <row r="859" spans="1:6" ht="75" x14ac:dyDescent="0.25">
      <c r="A859" s="2" t="s">
        <v>2934</v>
      </c>
      <c r="B859" s="2" t="b">
        <v>1</v>
      </c>
      <c r="C859" s="2" t="s">
        <v>2935</v>
      </c>
      <c r="D859" s="2">
        <v>4</v>
      </c>
      <c r="E859" s="2">
        <v>2</v>
      </c>
      <c r="F859" s="2" t="s">
        <v>1503</v>
      </c>
    </row>
    <row r="860" spans="1:6" ht="75" x14ac:dyDescent="0.25">
      <c r="A860" s="2" t="s">
        <v>2936</v>
      </c>
      <c r="B860" s="2" t="b">
        <v>1</v>
      </c>
      <c r="C860" s="2" t="s">
        <v>2937</v>
      </c>
      <c r="D860" s="2">
        <v>4</v>
      </c>
      <c r="E860" s="2">
        <v>2</v>
      </c>
      <c r="F860" s="2" t="s">
        <v>1503</v>
      </c>
    </row>
    <row r="861" spans="1:6" ht="75" x14ac:dyDescent="0.25">
      <c r="A861" s="2" t="s">
        <v>928</v>
      </c>
      <c r="B861" s="2" t="b">
        <v>1</v>
      </c>
      <c r="C861" s="2" t="s">
        <v>2938</v>
      </c>
      <c r="D861" s="2">
        <v>6</v>
      </c>
      <c r="E861" s="2">
        <v>1</v>
      </c>
      <c r="F861" s="2" t="s">
        <v>1503</v>
      </c>
    </row>
    <row r="862" spans="1:6" ht="75" x14ac:dyDescent="0.25">
      <c r="A862" s="2" t="s">
        <v>2939</v>
      </c>
      <c r="B862" s="2" t="b">
        <v>1</v>
      </c>
      <c r="C862" s="2" t="s">
        <v>2940</v>
      </c>
      <c r="D862" s="2">
        <v>4</v>
      </c>
      <c r="E862" s="2">
        <v>2</v>
      </c>
      <c r="F862" s="2" t="s">
        <v>1503</v>
      </c>
    </row>
    <row r="863" spans="1:6" ht="75" x14ac:dyDescent="0.25">
      <c r="A863" s="2" t="s">
        <v>2941</v>
      </c>
      <c r="B863" s="2" t="b">
        <v>1</v>
      </c>
      <c r="C863" s="2" t="s">
        <v>2942</v>
      </c>
      <c r="D863" s="2">
        <v>4</v>
      </c>
      <c r="E863" s="2">
        <v>2</v>
      </c>
      <c r="F863" s="2" t="s">
        <v>1503</v>
      </c>
    </row>
    <row r="864" spans="1:6" ht="75" x14ac:dyDescent="0.25">
      <c r="A864" s="2" t="s">
        <v>2943</v>
      </c>
      <c r="B864" s="2" t="b">
        <v>1</v>
      </c>
      <c r="C864" s="2" t="s">
        <v>2944</v>
      </c>
      <c r="D864" s="2">
        <v>1</v>
      </c>
      <c r="E864" s="2">
        <v>1</v>
      </c>
      <c r="F864" s="2" t="s">
        <v>1503</v>
      </c>
    </row>
    <row r="865" spans="1:6" ht="75" x14ac:dyDescent="0.25">
      <c r="A865" s="2" t="s">
        <v>2945</v>
      </c>
      <c r="B865" s="2" t="b">
        <v>1</v>
      </c>
      <c r="C865" s="2" t="s">
        <v>1919</v>
      </c>
      <c r="D865" s="2">
        <v>2</v>
      </c>
      <c r="E865" s="2">
        <v>1</v>
      </c>
      <c r="F865" s="2" t="s">
        <v>1503</v>
      </c>
    </row>
    <row r="866" spans="1:6" ht="75" x14ac:dyDescent="0.25">
      <c r="A866" s="2" t="s">
        <v>2946</v>
      </c>
      <c r="B866" s="2" t="b">
        <v>1</v>
      </c>
      <c r="C866" s="2" t="s">
        <v>2947</v>
      </c>
      <c r="D866" s="2">
        <v>2</v>
      </c>
      <c r="E866" s="2">
        <v>1</v>
      </c>
      <c r="F866" s="2" t="s">
        <v>1503</v>
      </c>
    </row>
    <row r="867" spans="1:6" ht="75" x14ac:dyDescent="0.25">
      <c r="A867" s="2" t="s">
        <v>2948</v>
      </c>
      <c r="B867" s="2" t="b">
        <v>1</v>
      </c>
      <c r="C867" s="2" t="s">
        <v>1795</v>
      </c>
      <c r="D867" s="2">
        <v>4</v>
      </c>
      <c r="E867" s="2">
        <v>2</v>
      </c>
      <c r="F867" s="2" t="s">
        <v>1503</v>
      </c>
    </row>
    <row r="868" spans="1:6" ht="75" x14ac:dyDescent="0.25">
      <c r="A868" s="2" t="s">
        <v>2949</v>
      </c>
      <c r="B868" s="2" t="b">
        <v>1</v>
      </c>
      <c r="C868" s="2" t="s">
        <v>2950</v>
      </c>
      <c r="D868" s="2">
        <v>4</v>
      </c>
      <c r="E868" s="2">
        <v>2</v>
      </c>
      <c r="F868" s="2" t="s">
        <v>1503</v>
      </c>
    </row>
    <row r="869" spans="1:6" ht="75" x14ac:dyDescent="0.25">
      <c r="A869" s="2" t="s">
        <v>2951</v>
      </c>
      <c r="B869" s="2" t="b">
        <v>1</v>
      </c>
      <c r="C869" s="2" t="s">
        <v>2952</v>
      </c>
      <c r="D869" s="2">
        <v>4</v>
      </c>
      <c r="E869" s="2">
        <v>2</v>
      </c>
      <c r="F869" s="2" t="s">
        <v>1503</v>
      </c>
    </row>
    <row r="870" spans="1:6" ht="75" x14ac:dyDescent="0.25">
      <c r="A870" s="2" t="s">
        <v>2953</v>
      </c>
      <c r="B870" s="2" t="b">
        <v>1</v>
      </c>
      <c r="C870" s="2" t="s">
        <v>2954</v>
      </c>
      <c r="D870" s="2">
        <v>4</v>
      </c>
      <c r="E870" s="2">
        <v>2</v>
      </c>
      <c r="F870" s="2" t="s">
        <v>1503</v>
      </c>
    </row>
    <row r="871" spans="1:6" ht="75" x14ac:dyDescent="0.25">
      <c r="A871" s="2" t="s">
        <v>2955</v>
      </c>
      <c r="B871" s="2" t="b">
        <v>1</v>
      </c>
      <c r="C871" s="2" t="s">
        <v>2956</v>
      </c>
      <c r="D871" s="2">
        <v>4</v>
      </c>
      <c r="E871" s="2">
        <v>2</v>
      </c>
      <c r="F871" s="2" t="s">
        <v>1503</v>
      </c>
    </row>
    <row r="872" spans="1:6" ht="75" x14ac:dyDescent="0.25">
      <c r="A872" s="2" t="s">
        <v>2957</v>
      </c>
      <c r="B872" s="2" t="b">
        <v>1</v>
      </c>
      <c r="C872" s="2" t="s">
        <v>2958</v>
      </c>
      <c r="D872" s="2">
        <v>4</v>
      </c>
      <c r="E872" s="2">
        <v>2</v>
      </c>
      <c r="F872" s="2" t="s">
        <v>1503</v>
      </c>
    </row>
    <row r="873" spans="1:6" ht="75" x14ac:dyDescent="0.25">
      <c r="A873" s="2" t="s">
        <v>2959</v>
      </c>
      <c r="B873" s="2" t="b">
        <v>1</v>
      </c>
      <c r="C873" s="2" t="s">
        <v>2960</v>
      </c>
      <c r="D873" s="2">
        <v>2</v>
      </c>
      <c r="E873" s="2">
        <v>1</v>
      </c>
      <c r="F873" s="2" t="s">
        <v>1503</v>
      </c>
    </row>
    <row r="874" spans="1:6" ht="75" x14ac:dyDescent="0.25">
      <c r="A874" s="2" t="s">
        <v>2961</v>
      </c>
      <c r="B874" s="2" t="b">
        <v>1</v>
      </c>
      <c r="C874" s="2" t="s">
        <v>2962</v>
      </c>
      <c r="D874" s="2">
        <v>2</v>
      </c>
      <c r="E874" s="2">
        <v>1</v>
      </c>
      <c r="F874" s="2" t="s">
        <v>1503</v>
      </c>
    </row>
    <row r="875" spans="1:6" ht="75" x14ac:dyDescent="0.25">
      <c r="A875" s="2" t="s">
        <v>1228</v>
      </c>
      <c r="B875" s="2" t="b">
        <v>1</v>
      </c>
      <c r="C875" s="2" t="s">
        <v>1927</v>
      </c>
      <c r="D875" s="2">
        <v>6</v>
      </c>
      <c r="E875" s="2">
        <v>1</v>
      </c>
      <c r="F875" s="2" t="s">
        <v>1503</v>
      </c>
    </row>
    <row r="876" spans="1:6" ht="75" x14ac:dyDescent="0.25">
      <c r="A876" s="2" t="s">
        <v>2963</v>
      </c>
      <c r="B876" s="2" t="b">
        <v>1</v>
      </c>
      <c r="C876" s="2" t="s">
        <v>2964</v>
      </c>
      <c r="D876" s="2">
        <v>4</v>
      </c>
      <c r="E876" s="2">
        <v>2</v>
      </c>
      <c r="F876" s="2" t="s">
        <v>1503</v>
      </c>
    </row>
    <row r="877" spans="1:6" ht="75" x14ac:dyDescent="0.25">
      <c r="A877" s="2" t="s">
        <v>2965</v>
      </c>
      <c r="B877" s="2" t="b">
        <v>1</v>
      </c>
      <c r="C877" s="2" t="s">
        <v>2966</v>
      </c>
      <c r="D877" s="2">
        <v>4</v>
      </c>
      <c r="E877" s="2">
        <v>2</v>
      </c>
      <c r="F877" s="2" t="s">
        <v>1503</v>
      </c>
    </row>
    <row r="878" spans="1:6" ht="75" x14ac:dyDescent="0.25">
      <c r="A878" s="2" t="s">
        <v>2967</v>
      </c>
      <c r="B878" s="2" t="b">
        <v>1</v>
      </c>
      <c r="C878" s="2" t="s">
        <v>2968</v>
      </c>
      <c r="D878" s="2">
        <v>1</v>
      </c>
      <c r="E878" s="2">
        <v>2</v>
      </c>
      <c r="F878" s="2" t="s">
        <v>1503</v>
      </c>
    </row>
    <row r="879" spans="1:6" ht="75" x14ac:dyDescent="0.25">
      <c r="A879" s="2" t="s">
        <v>2969</v>
      </c>
      <c r="B879" s="2" t="b">
        <v>1</v>
      </c>
      <c r="C879" s="2" t="s">
        <v>2970</v>
      </c>
      <c r="D879" s="2">
        <v>4</v>
      </c>
      <c r="E879" s="2">
        <v>2</v>
      </c>
      <c r="F879" s="2" t="s">
        <v>1503</v>
      </c>
    </row>
    <row r="880" spans="1:6" ht="75" x14ac:dyDescent="0.25">
      <c r="A880" s="2" t="s">
        <v>2971</v>
      </c>
      <c r="B880" s="2" t="b">
        <v>1</v>
      </c>
      <c r="C880" s="2" t="s">
        <v>2972</v>
      </c>
      <c r="D880" s="2">
        <v>1</v>
      </c>
      <c r="E880" s="2">
        <v>2</v>
      </c>
      <c r="F880" s="2" t="s">
        <v>1503</v>
      </c>
    </row>
    <row r="881" spans="1:6" ht="75" x14ac:dyDescent="0.25">
      <c r="A881" s="2" t="s">
        <v>2973</v>
      </c>
      <c r="B881" s="2" t="b">
        <v>1</v>
      </c>
      <c r="C881" s="2" t="s">
        <v>2974</v>
      </c>
      <c r="D881" s="2">
        <v>1</v>
      </c>
      <c r="E881" s="2">
        <v>2</v>
      </c>
      <c r="F881" s="2" t="s">
        <v>1503</v>
      </c>
    </row>
    <row r="882" spans="1:6" ht="75" x14ac:dyDescent="0.25">
      <c r="A882" s="2" t="s">
        <v>2975</v>
      </c>
      <c r="B882" s="2" t="b">
        <v>1</v>
      </c>
      <c r="C882" s="2" t="s">
        <v>2976</v>
      </c>
      <c r="D882" s="2">
        <v>1</v>
      </c>
      <c r="E882" s="2">
        <v>2</v>
      </c>
      <c r="F882" s="2" t="s">
        <v>1503</v>
      </c>
    </row>
    <row r="883" spans="1:6" ht="75" x14ac:dyDescent="0.25">
      <c r="A883" s="2" t="s">
        <v>2977</v>
      </c>
      <c r="B883" s="2" t="b">
        <v>1</v>
      </c>
      <c r="C883" s="2" t="s">
        <v>2978</v>
      </c>
      <c r="D883" s="2">
        <v>1</v>
      </c>
      <c r="E883" s="2">
        <v>2</v>
      </c>
      <c r="F883" s="2" t="s">
        <v>1503</v>
      </c>
    </row>
    <row r="884" spans="1:6" ht="75" x14ac:dyDescent="0.25">
      <c r="A884" s="2" t="s">
        <v>2979</v>
      </c>
      <c r="B884" s="2" t="b">
        <v>1</v>
      </c>
      <c r="C884" s="2" t="s">
        <v>2980</v>
      </c>
      <c r="D884" s="2">
        <v>1</v>
      </c>
      <c r="E884" s="2">
        <v>2</v>
      </c>
      <c r="F884" s="2" t="s">
        <v>1503</v>
      </c>
    </row>
    <row r="885" spans="1:6" ht="75" x14ac:dyDescent="0.25">
      <c r="A885" s="2" t="s">
        <v>2981</v>
      </c>
      <c r="B885" s="2" t="b">
        <v>1</v>
      </c>
      <c r="C885" s="2" t="s">
        <v>2982</v>
      </c>
      <c r="D885" s="2">
        <v>1</v>
      </c>
      <c r="E885" s="2">
        <v>2</v>
      </c>
      <c r="F885" s="2" t="s">
        <v>1503</v>
      </c>
    </row>
    <row r="886" spans="1:6" ht="75" x14ac:dyDescent="0.25">
      <c r="A886" s="2" t="s">
        <v>2983</v>
      </c>
      <c r="B886" s="2" t="b">
        <v>1</v>
      </c>
      <c r="C886" s="2" t="s">
        <v>2984</v>
      </c>
      <c r="D886" s="2">
        <v>1</v>
      </c>
      <c r="E886" s="2">
        <v>2</v>
      </c>
      <c r="F886" s="2" t="s">
        <v>1503</v>
      </c>
    </row>
    <row r="887" spans="1:6" ht="75" x14ac:dyDescent="0.25">
      <c r="A887" s="2" t="s">
        <v>2985</v>
      </c>
      <c r="B887" s="2" t="b">
        <v>1</v>
      </c>
      <c r="C887" s="2" t="s">
        <v>2986</v>
      </c>
      <c r="D887" s="2">
        <v>1</v>
      </c>
      <c r="E887" s="2">
        <v>2</v>
      </c>
      <c r="F887" s="2" t="s">
        <v>1503</v>
      </c>
    </row>
    <row r="888" spans="1:6" ht="75" x14ac:dyDescent="0.25">
      <c r="A888" s="2" t="s">
        <v>2987</v>
      </c>
      <c r="B888" s="2" t="b">
        <v>1</v>
      </c>
      <c r="C888" s="2" t="s">
        <v>2988</v>
      </c>
      <c r="D888" s="2">
        <v>1</v>
      </c>
      <c r="E888" s="2">
        <v>2</v>
      </c>
      <c r="F888" s="2" t="s">
        <v>1503</v>
      </c>
    </row>
    <row r="889" spans="1:6" ht="75" x14ac:dyDescent="0.25">
      <c r="A889" s="2" t="s">
        <v>2989</v>
      </c>
      <c r="B889" s="2" t="b">
        <v>1</v>
      </c>
      <c r="C889" s="2" t="s">
        <v>1525</v>
      </c>
      <c r="D889" s="2">
        <v>1</v>
      </c>
      <c r="E889" s="2">
        <v>2</v>
      </c>
      <c r="F889" s="2" t="s">
        <v>1503</v>
      </c>
    </row>
    <row r="890" spans="1:6" ht="75" x14ac:dyDescent="0.25">
      <c r="A890" s="2" t="s">
        <v>2990</v>
      </c>
      <c r="B890" s="2" t="b">
        <v>1</v>
      </c>
      <c r="C890" s="2" t="s">
        <v>1527</v>
      </c>
      <c r="D890" s="2">
        <v>1</v>
      </c>
      <c r="E890" s="2">
        <v>2</v>
      </c>
      <c r="F890" s="2" t="s">
        <v>1503</v>
      </c>
    </row>
    <row r="891" spans="1:6" ht="75" x14ac:dyDescent="0.25">
      <c r="A891" s="2" t="s">
        <v>2991</v>
      </c>
      <c r="B891" s="2" t="b">
        <v>1</v>
      </c>
      <c r="C891" s="2" t="s">
        <v>2992</v>
      </c>
      <c r="D891" s="2">
        <v>1</v>
      </c>
      <c r="E891" s="2">
        <v>2</v>
      </c>
      <c r="F891" s="2" t="s">
        <v>1503</v>
      </c>
    </row>
    <row r="892" spans="1:6" ht="75" x14ac:dyDescent="0.25">
      <c r="A892" s="2" t="s">
        <v>2993</v>
      </c>
      <c r="B892" s="2" t="b">
        <v>1</v>
      </c>
      <c r="C892" s="2" t="s">
        <v>2994</v>
      </c>
      <c r="D892" s="2">
        <v>1</v>
      </c>
      <c r="E892" s="2">
        <v>2</v>
      </c>
      <c r="F892" s="2" t="s">
        <v>1503</v>
      </c>
    </row>
    <row r="893" spans="1:6" ht="75" x14ac:dyDescent="0.25">
      <c r="A893" s="2" t="s">
        <v>2995</v>
      </c>
      <c r="B893" s="2" t="b">
        <v>1</v>
      </c>
      <c r="C893" s="2" t="s">
        <v>2996</v>
      </c>
      <c r="D893" s="2">
        <v>1</v>
      </c>
      <c r="E893" s="2">
        <v>1</v>
      </c>
      <c r="F893" s="2" t="s">
        <v>1503</v>
      </c>
    </row>
    <row r="894" spans="1:6" ht="75" x14ac:dyDescent="0.25">
      <c r="A894" s="2" t="s">
        <v>2997</v>
      </c>
      <c r="B894" s="2" t="b">
        <v>1</v>
      </c>
      <c r="C894" s="2" t="s">
        <v>2998</v>
      </c>
      <c r="D894" s="2">
        <v>1</v>
      </c>
      <c r="E894" s="2">
        <v>1</v>
      </c>
      <c r="F894" s="2" t="s">
        <v>1503</v>
      </c>
    </row>
    <row r="895" spans="1:6" ht="75" x14ac:dyDescent="0.25">
      <c r="A895" s="2" t="s">
        <v>2999</v>
      </c>
      <c r="B895" s="2" t="b">
        <v>1</v>
      </c>
      <c r="C895" s="2" t="s">
        <v>3000</v>
      </c>
      <c r="D895" s="2">
        <v>1</v>
      </c>
      <c r="E895" s="2">
        <v>1</v>
      </c>
      <c r="F895" s="2" t="s">
        <v>1503</v>
      </c>
    </row>
    <row r="896" spans="1:6" ht="75" x14ac:dyDescent="0.25">
      <c r="A896" s="2" t="s">
        <v>3001</v>
      </c>
      <c r="B896" s="2" t="b">
        <v>1</v>
      </c>
      <c r="C896" s="2" t="s">
        <v>3002</v>
      </c>
      <c r="D896" s="2">
        <v>4</v>
      </c>
      <c r="E896" s="2">
        <v>2</v>
      </c>
      <c r="F896" s="2" t="s">
        <v>1503</v>
      </c>
    </row>
    <row r="897" spans="1:6" ht="75" x14ac:dyDescent="0.25">
      <c r="A897" s="2" t="s">
        <v>3003</v>
      </c>
      <c r="B897" s="2" t="b">
        <v>1</v>
      </c>
      <c r="C897" s="2" t="s">
        <v>3004</v>
      </c>
      <c r="D897" s="2">
        <v>4</v>
      </c>
      <c r="E897" s="2">
        <v>2</v>
      </c>
      <c r="F897" s="2" t="s">
        <v>1503</v>
      </c>
    </row>
    <row r="898" spans="1:6" ht="75" x14ac:dyDescent="0.25">
      <c r="A898" s="2" t="s">
        <v>3005</v>
      </c>
      <c r="B898" s="2" t="b">
        <v>1</v>
      </c>
      <c r="C898" s="2" t="s">
        <v>3006</v>
      </c>
      <c r="D898" s="2">
        <v>4</v>
      </c>
      <c r="E898" s="2">
        <v>2</v>
      </c>
      <c r="F898" s="2" t="s">
        <v>1503</v>
      </c>
    </row>
    <row r="899" spans="1:6" ht="75" x14ac:dyDescent="0.25">
      <c r="A899" s="2" t="s">
        <v>3007</v>
      </c>
      <c r="B899" s="2" t="b">
        <v>1</v>
      </c>
      <c r="C899" s="2" t="s">
        <v>3008</v>
      </c>
      <c r="D899" s="2">
        <v>4</v>
      </c>
      <c r="E899" s="2">
        <v>2</v>
      </c>
      <c r="F899" s="2" t="s">
        <v>1503</v>
      </c>
    </row>
    <row r="900" spans="1:6" ht="75" x14ac:dyDescent="0.25">
      <c r="A900" s="2" t="s">
        <v>3009</v>
      </c>
      <c r="B900" s="2" t="b">
        <v>0</v>
      </c>
      <c r="C900" s="2" t="s">
        <v>3010</v>
      </c>
      <c r="D900" s="2">
        <v>3</v>
      </c>
      <c r="E900" s="2">
        <v>2</v>
      </c>
      <c r="F900" s="2" t="s">
        <v>1503</v>
      </c>
    </row>
    <row r="901" spans="1:6" ht="75" x14ac:dyDescent="0.25">
      <c r="A901" s="2" t="s">
        <v>3011</v>
      </c>
      <c r="B901" s="2" t="b">
        <v>1</v>
      </c>
      <c r="C901" s="2" t="s">
        <v>3012</v>
      </c>
      <c r="D901" s="2">
        <v>4</v>
      </c>
      <c r="E901" s="2">
        <v>2</v>
      </c>
      <c r="F901" s="2" t="s">
        <v>1503</v>
      </c>
    </row>
    <row r="902" spans="1:6" ht="75" x14ac:dyDescent="0.25">
      <c r="A902" s="2" t="s">
        <v>269</v>
      </c>
      <c r="B902" s="2" t="b">
        <v>1</v>
      </c>
      <c r="C902" s="2" t="s">
        <v>3013</v>
      </c>
      <c r="D902" s="2">
        <v>4</v>
      </c>
      <c r="E902" s="2">
        <v>2</v>
      </c>
      <c r="F902" s="2" t="s">
        <v>1503</v>
      </c>
    </row>
    <row r="903" spans="1:6" ht="75" x14ac:dyDescent="0.25">
      <c r="A903" s="2" t="s">
        <v>196</v>
      </c>
      <c r="B903" s="2" t="b">
        <v>1</v>
      </c>
      <c r="C903" s="2" t="s">
        <v>3013</v>
      </c>
      <c r="D903" s="2">
        <v>4</v>
      </c>
      <c r="E903" s="2">
        <v>2</v>
      </c>
      <c r="F903" s="2" t="s">
        <v>1503</v>
      </c>
    </row>
    <row r="904" spans="1:6" ht="75" x14ac:dyDescent="0.25">
      <c r="A904" s="2" t="s">
        <v>290</v>
      </c>
      <c r="B904" s="2" t="b">
        <v>1</v>
      </c>
      <c r="C904" s="2" t="s">
        <v>3013</v>
      </c>
      <c r="D904" s="2">
        <v>4</v>
      </c>
      <c r="E904" s="2">
        <v>2</v>
      </c>
      <c r="F904" s="2" t="s">
        <v>1503</v>
      </c>
    </row>
    <row r="905" spans="1:6" ht="75" x14ac:dyDescent="0.25">
      <c r="A905" s="2" t="s">
        <v>359</v>
      </c>
      <c r="B905" s="2" t="b">
        <v>1</v>
      </c>
      <c r="C905" s="2" t="s">
        <v>3013</v>
      </c>
      <c r="D905" s="2">
        <v>4</v>
      </c>
      <c r="E905" s="2">
        <v>2</v>
      </c>
      <c r="F905" s="2" t="s">
        <v>1503</v>
      </c>
    </row>
    <row r="906" spans="1:6" ht="75" x14ac:dyDescent="0.25">
      <c r="A906" s="2" t="s">
        <v>662</v>
      </c>
      <c r="B906" s="2" t="b">
        <v>1</v>
      </c>
      <c r="C906" s="2" t="s">
        <v>3013</v>
      </c>
      <c r="D906" s="2">
        <v>4</v>
      </c>
      <c r="E906" s="2">
        <v>2</v>
      </c>
      <c r="F906" s="2" t="s">
        <v>1503</v>
      </c>
    </row>
    <row r="907" spans="1:6" ht="75" x14ac:dyDescent="0.25">
      <c r="A907" s="2" t="s">
        <v>246</v>
      </c>
      <c r="B907" s="2" t="b">
        <v>1</v>
      </c>
      <c r="C907" s="2" t="s">
        <v>3013</v>
      </c>
      <c r="D907" s="2">
        <v>4</v>
      </c>
      <c r="E907" s="2">
        <v>2</v>
      </c>
      <c r="F907" s="2" t="s">
        <v>1503</v>
      </c>
    </row>
    <row r="908" spans="1:6" ht="75" x14ac:dyDescent="0.25">
      <c r="A908" s="2" t="s">
        <v>553</v>
      </c>
      <c r="B908" s="2" t="b">
        <v>1</v>
      </c>
      <c r="C908" s="2" t="s">
        <v>3013</v>
      </c>
      <c r="D908" s="2">
        <v>4</v>
      </c>
      <c r="E908" s="2">
        <v>2</v>
      </c>
      <c r="F908" s="2" t="s">
        <v>1503</v>
      </c>
    </row>
    <row r="909" spans="1:6" ht="75" x14ac:dyDescent="0.25">
      <c r="A909" s="2" t="s">
        <v>345</v>
      </c>
      <c r="B909" s="2" t="b">
        <v>1</v>
      </c>
      <c r="C909" s="2" t="s">
        <v>3014</v>
      </c>
      <c r="D909" s="2">
        <v>4</v>
      </c>
      <c r="E909" s="2">
        <v>2</v>
      </c>
      <c r="F909" s="2" t="s">
        <v>1503</v>
      </c>
    </row>
    <row r="910" spans="1:6" ht="75" x14ac:dyDescent="0.25">
      <c r="A910" s="2" t="s">
        <v>365</v>
      </c>
      <c r="B910" s="2" t="b">
        <v>1</v>
      </c>
      <c r="C910" s="2" t="s">
        <v>3014</v>
      </c>
      <c r="D910" s="2">
        <v>4</v>
      </c>
      <c r="E910" s="2">
        <v>2</v>
      </c>
      <c r="F910" s="2" t="s">
        <v>1503</v>
      </c>
    </row>
    <row r="911" spans="1:6" ht="75" x14ac:dyDescent="0.25">
      <c r="A911" s="2" t="s">
        <v>242</v>
      </c>
      <c r="B911" s="2" t="b">
        <v>1</v>
      </c>
      <c r="C911" s="2" t="s">
        <v>3014</v>
      </c>
      <c r="D911" s="2">
        <v>4</v>
      </c>
      <c r="E911" s="2">
        <v>2</v>
      </c>
      <c r="F911" s="2" t="s">
        <v>1503</v>
      </c>
    </row>
    <row r="912" spans="1:6" ht="75" x14ac:dyDescent="0.25">
      <c r="A912" s="2" t="s">
        <v>436</v>
      </c>
      <c r="B912" s="2" t="b">
        <v>1</v>
      </c>
      <c r="C912" s="2" t="s">
        <v>3014</v>
      </c>
      <c r="D912" s="2">
        <v>4</v>
      </c>
      <c r="E912" s="2">
        <v>2</v>
      </c>
      <c r="F912" s="2" t="s">
        <v>1503</v>
      </c>
    </row>
    <row r="913" spans="1:6" ht="75" x14ac:dyDescent="0.25">
      <c r="A913" s="2" t="s">
        <v>191</v>
      </c>
      <c r="B913" s="2" t="b">
        <v>1</v>
      </c>
      <c r="C913" s="2" t="s">
        <v>3014</v>
      </c>
      <c r="D913" s="2">
        <v>4</v>
      </c>
      <c r="E913" s="2">
        <v>2</v>
      </c>
      <c r="F913" s="2" t="s">
        <v>1503</v>
      </c>
    </row>
    <row r="914" spans="1:6" ht="75" x14ac:dyDescent="0.25">
      <c r="A914" s="2" t="s">
        <v>3015</v>
      </c>
      <c r="B914" s="2" t="b">
        <v>1</v>
      </c>
      <c r="C914" s="2" t="s">
        <v>3016</v>
      </c>
      <c r="D914" s="2">
        <v>4</v>
      </c>
      <c r="E914" s="2">
        <v>2</v>
      </c>
      <c r="F914" s="2" t="s">
        <v>1503</v>
      </c>
    </row>
    <row r="915" spans="1:6" ht="75" x14ac:dyDescent="0.25">
      <c r="A915" s="2" t="s">
        <v>3017</v>
      </c>
      <c r="B915" s="2" t="b">
        <v>1</v>
      </c>
      <c r="C915" s="2" t="s">
        <v>3018</v>
      </c>
      <c r="D915" s="2">
        <v>4</v>
      </c>
      <c r="E915" s="2">
        <v>2</v>
      </c>
      <c r="F915" s="2" t="s">
        <v>1503</v>
      </c>
    </row>
    <row r="916" spans="1:6" ht="75" x14ac:dyDescent="0.25">
      <c r="A916" s="2" t="s">
        <v>3019</v>
      </c>
      <c r="B916" s="2" t="b">
        <v>1</v>
      </c>
      <c r="C916" s="2" t="s">
        <v>3020</v>
      </c>
      <c r="D916" s="2">
        <v>4</v>
      </c>
      <c r="E916" s="2">
        <v>2</v>
      </c>
      <c r="F916" s="2" t="s">
        <v>1503</v>
      </c>
    </row>
    <row r="917" spans="1:6" ht="75" x14ac:dyDescent="0.25">
      <c r="A917" s="2" t="s">
        <v>3021</v>
      </c>
      <c r="B917" s="2" t="b">
        <v>1</v>
      </c>
      <c r="C917" s="2" t="s">
        <v>3022</v>
      </c>
      <c r="D917" s="2">
        <v>4</v>
      </c>
      <c r="E917" s="2">
        <v>2</v>
      </c>
      <c r="F917" s="2" t="s">
        <v>1503</v>
      </c>
    </row>
    <row r="918" spans="1:6" ht="75" x14ac:dyDescent="0.25">
      <c r="A918" s="2" t="s">
        <v>3023</v>
      </c>
      <c r="B918" s="2" t="b">
        <v>1</v>
      </c>
      <c r="C918" s="2" t="s">
        <v>3024</v>
      </c>
      <c r="D918" s="2">
        <v>4</v>
      </c>
      <c r="E918" s="2">
        <v>2</v>
      </c>
      <c r="F918" s="2" t="s">
        <v>1503</v>
      </c>
    </row>
    <row r="919" spans="1:6" ht="75" x14ac:dyDescent="0.25">
      <c r="A919" s="2" t="s">
        <v>3025</v>
      </c>
      <c r="B919" s="2" t="b">
        <v>1</v>
      </c>
      <c r="C919" s="2" t="s">
        <v>3026</v>
      </c>
      <c r="D919" s="2">
        <v>4</v>
      </c>
      <c r="E919" s="2">
        <v>2</v>
      </c>
      <c r="F919" s="2" t="s">
        <v>1503</v>
      </c>
    </row>
    <row r="920" spans="1:6" ht="75" x14ac:dyDescent="0.25">
      <c r="A920" s="2" t="s">
        <v>3027</v>
      </c>
      <c r="B920" s="2" t="b">
        <v>1</v>
      </c>
      <c r="C920" s="2" t="s">
        <v>3028</v>
      </c>
      <c r="D920" s="2">
        <v>4</v>
      </c>
      <c r="E920" s="2">
        <v>2</v>
      </c>
      <c r="F920" s="2" t="s">
        <v>1503</v>
      </c>
    </row>
    <row r="921" spans="1:6" ht="75" x14ac:dyDescent="0.25">
      <c r="A921" s="2" t="s">
        <v>3029</v>
      </c>
      <c r="B921" s="2" t="b">
        <v>1</v>
      </c>
      <c r="C921" s="2" t="s">
        <v>3030</v>
      </c>
      <c r="D921" s="2">
        <v>4</v>
      </c>
      <c r="E921" s="2">
        <v>2</v>
      </c>
      <c r="F921" s="2" t="s">
        <v>1503</v>
      </c>
    </row>
    <row r="922" spans="1:6" ht="75" x14ac:dyDescent="0.25">
      <c r="A922" s="2" t="s">
        <v>3031</v>
      </c>
      <c r="B922" s="2" t="b">
        <v>1</v>
      </c>
      <c r="C922" s="2" t="s">
        <v>3032</v>
      </c>
      <c r="D922" s="2">
        <v>4</v>
      </c>
      <c r="E922" s="2">
        <v>2</v>
      </c>
      <c r="F922" s="2" t="s">
        <v>1503</v>
      </c>
    </row>
    <row r="923" spans="1:6" ht="75" x14ac:dyDescent="0.25">
      <c r="A923" s="2" t="s">
        <v>3033</v>
      </c>
      <c r="B923" s="2" t="b">
        <v>1</v>
      </c>
      <c r="C923" s="2" t="s">
        <v>3034</v>
      </c>
      <c r="D923" s="2">
        <v>4</v>
      </c>
      <c r="E923" s="2">
        <v>2</v>
      </c>
      <c r="F923" s="2" t="s">
        <v>1503</v>
      </c>
    </row>
    <row r="924" spans="1:6" ht="75" x14ac:dyDescent="0.25">
      <c r="A924" s="2" t="s">
        <v>226</v>
      </c>
      <c r="B924" s="2" t="b">
        <v>1</v>
      </c>
      <c r="C924" s="2" t="s">
        <v>3035</v>
      </c>
      <c r="D924" s="2">
        <v>4</v>
      </c>
      <c r="E924" s="2">
        <v>2</v>
      </c>
      <c r="F924" s="2" t="s">
        <v>1503</v>
      </c>
    </row>
    <row r="925" spans="1:6" ht="75" x14ac:dyDescent="0.25">
      <c r="A925" s="2" t="s">
        <v>3036</v>
      </c>
      <c r="B925" s="2" t="b">
        <v>1</v>
      </c>
      <c r="C925" s="2" t="s">
        <v>3037</v>
      </c>
      <c r="D925" s="2">
        <v>4</v>
      </c>
      <c r="E925" s="2">
        <v>2</v>
      </c>
      <c r="F925" s="2" t="s">
        <v>1503</v>
      </c>
    </row>
    <row r="926" spans="1:6" ht="75" x14ac:dyDescent="0.25">
      <c r="A926" s="2" t="s">
        <v>3038</v>
      </c>
      <c r="B926" s="2" t="b">
        <v>1</v>
      </c>
      <c r="C926" s="2" t="s">
        <v>3039</v>
      </c>
      <c r="D926" s="2">
        <v>4</v>
      </c>
      <c r="E926" s="2">
        <v>2</v>
      </c>
      <c r="F926" s="2" t="s">
        <v>1503</v>
      </c>
    </row>
    <row r="927" spans="1:6" ht="75" x14ac:dyDescent="0.25">
      <c r="A927" s="2" t="s">
        <v>3040</v>
      </c>
      <c r="B927" s="2" t="b">
        <v>1</v>
      </c>
      <c r="C927" s="2" t="s">
        <v>3041</v>
      </c>
      <c r="D927" s="2">
        <v>4</v>
      </c>
      <c r="E927" s="2">
        <v>2</v>
      </c>
      <c r="F927" s="2" t="s">
        <v>1503</v>
      </c>
    </row>
    <row r="928" spans="1:6" ht="75" x14ac:dyDescent="0.25">
      <c r="A928" s="2" t="s">
        <v>3042</v>
      </c>
      <c r="B928" s="2" t="b">
        <v>1</v>
      </c>
      <c r="C928" s="2" t="s">
        <v>3043</v>
      </c>
      <c r="D928" s="2">
        <v>4</v>
      </c>
      <c r="E928" s="2">
        <v>2</v>
      </c>
      <c r="F928" s="2" t="s">
        <v>1503</v>
      </c>
    </row>
    <row r="929" spans="1:6" ht="75" x14ac:dyDescent="0.25">
      <c r="A929" s="2" t="s">
        <v>3044</v>
      </c>
      <c r="B929" s="2" t="b">
        <v>1</v>
      </c>
      <c r="C929" s="2" t="s">
        <v>3045</v>
      </c>
      <c r="D929" s="2">
        <v>4</v>
      </c>
      <c r="E929" s="2">
        <v>2</v>
      </c>
      <c r="F929" s="2" t="s">
        <v>1503</v>
      </c>
    </row>
    <row r="930" spans="1:6" ht="75" x14ac:dyDescent="0.25">
      <c r="A930" s="2" t="s">
        <v>3046</v>
      </c>
      <c r="B930" s="2" t="b">
        <v>1</v>
      </c>
      <c r="C930" s="2" t="s">
        <v>3047</v>
      </c>
      <c r="D930" s="2">
        <v>2</v>
      </c>
      <c r="E930" s="2">
        <v>2</v>
      </c>
      <c r="F930" s="2" t="s">
        <v>1503</v>
      </c>
    </row>
    <row r="931" spans="1:6" ht="75" x14ac:dyDescent="0.25">
      <c r="A931" s="2" t="s">
        <v>3048</v>
      </c>
      <c r="B931" s="2" t="b">
        <v>1</v>
      </c>
      <c r="C931" s="2" t="s">
        <v>3049</v>
      </c>
      <c r="D931" s="2">
        <v>2</v>
      </c>
      <c r="E931" s="2">
        <v>2</v>
      </c>
      <c r="F931" s="2" t="s">
        <v>1503</v>
      </c>
    </row>
    <row r="932" spans="1:6" ht="75" x14ac:dyDescent="0.25">
      <c r="A932" s="2" t="s">
        <v>3050</v>
      </c>
      <c r="B932" s="2" t="b">
        <v>0</v>
      </c>
      <c r="C932" s="2" t="s">
        <v>3051</v>
      </c>
      <c r="D932" s="2">
        <v>4</v>
      </c>
      <c r="E932" s="2">
        <v>2</v>
      </c>
      <c r="F932" s="2" t="s">
        <v>1503</v>
      </c>
    </row>
    <row r="933" spans="1:6" ht="75" x14ac:dyDescent="0.25">
      <c r="A933" s="2" t="s">
        <v>3052</v>
      </c>
      <c r="B933" s="2" t="b">
        <v>0</v>
      </c>
      <c r="C933" s="2" t="s">
        <v>3053</v>
      </c>
      <c r="D933" s="2">
        <v>4</v>
      </c>
      <c r="E933" s="2">
        <v>2</v>
      </c>
      <c r="F933" s="2" t="s">
        <v>1503</v>
      </c>
    </row>
    <row r="934" spans="1:6" ht="75" x14ac:dyDescent="0.25">
      <c r="A934" s="2" t="s">
        <v>3054</v>
      </c>
      <c r="B934" s="2" t="b">
        <v>0</v>
      </c>
      <c r="C934" s="2" t="s">
        <v>3055</v>
      </c>
      <c r="D934" s="2">
        <v>4</v>
      </c>
      <c r="E934" s="2">
        <v>2</v>
      </c>
      <c r="F934" s="2" t="s">
        <v>1503</v>
      </c>
    </row>
    <row r="935" spans="1:6" ht="75" x14ac:dyDescent="0.25">
      <c r="A935" s="2" t="s">
        <v>3056</v>
      </c>
      <c r="B935" s="2" t="b">
        <v>0</v>
      </c>
      <c r="C935" s="2" t="s">
        <v>3057</v>
      </c>
      <c r="D935" s="2">
        <v>4</v>
      </c>
      <c r="E935" s="2">
        <v>2</v>
      </c>
      <c r="F935" s="2" t="s">
        <v>1503</v>
      </c>
    </row>
    <row r="936" spans="1:6" ht="75" x14ac:dyDescent="0.25">
      <c r="A936" s="2" t="s">
        <v>3058</v>
      </c>
      <c r="B936" s="2" t="b">
        <v>1</v>
      </c>
      <c r="C936" s="2" t="s">
        <v>3059</v>
      </c>
      <c r="D936" s="2">
        <v>3</v>
      </c>
      <c r="E936" s="2">
        <v>2</v>
      </c>
      <c r="F936" s="2" t="s">
        <v>1503</v>
      </c>
    </row>
    <row r="937" spans="1:6" ht="75" x14ac:dyDescent="0.25">
      <c r="A937" s="2" t="s">
        <v>3060</v>
      </c>
      <c r="B937" s="2" t="b">
        <v>0</v>
      </c>
      <c r="C937" s="2" t="s">
        <v>3061</v>
      </c>
      <c r="D937" s="2">
        <v>4</v>
      </c>
      <c r="E937" s="2">
        <v>2</v>
      </c>
      <c r="F937" s="2" t="s">
        <v>1503</v>
      </c>
    </row>
    <row r="938" spans="1:6" ht="75" x14ac:dyDescent="0.25">
      <c r="A938" s="2" t="s">
        <v>3062</v>
      </c>
      <c r="B938" s="2" t="b">
        <v>0</v>
      </c>
      <c r="C938" s="2" t="s">
        <v>3063</v>
      </c>
      <c r="D938" s="2">
        <v>4</v>
      </c>
      <c r="E938" s="2">
        <v>2</v>
      </c>
      <c r="F938" s="2" t="s">
        <v>1503</v>
      </c>
    </row>
    <row r="939" spans="1:6" ht="75" x14ac:dyDescent="0.25">
      <c r="A939" s="2" t="s">
        <v>3064</v>
      </c>
      <c r="B939" s="2" t="b">
        <v>0</v>
      </c>
      <c r="C939" s="2" t="s">
        <v>3065</v>
      </c>
      <c r="D939" s="2">
        <v>4</v>
      </c>
      <c r="E939" s="2">
        <v>2</v>
      </c>
      <c r="F939" s="2" t="s">
        <v>1503</v>
      </c>
    </row>
    <row r="940" spans="1:6" ht="75" x14ac:dyDescent="0.25">
      <c r="A940" s="2" t="s">
        <v>3066</v>
      </c>
      <c r="B940" s="2" t="b">
        <v>1</v>
      </c>
      <c r="C940" s="2" t="s">
        <v>3067</v>
      </c>
      <c r="D940" s="2">
        <v>3</v>
      </c>
      <c r="E940" s="2">
        <v>2</v>
      </c>
      <c r="F940" s="2" t="s">
        <v>1503</v>
      </c>
    </row>
    <row r="941" spans="1:6" ht="75" x14ac:dyDescent="0.25">
      <c r="A941" s="2" t="s">
        <v>3068</v>
      </c>
      <c r="B941" s="2" t="b">
        <v>1</v>
      </c>
      <c r="C941" s="2" t="s">
        <v>3069</v>
      </c>
      <c r="D941" s="2">
        <v>2</v>
      </c>
      <c r="E941" s="2">
        <v>2</v>
      </c>
      <c r="F941" s="2" t="s">
        <v>1503</v>
      </c>
    </row>
    <row r="942" spans="1:6" ht="75" x14ac:dyDescent="0.25">
      <c r="A942" s="2" t="s">
        <v>3070</v>
      </c>
      <c r="B942" s="2" t="b">
        <v>1</v>
      </c>
      <c r="C942" s="2" t="s">
        <v>3071</v>
      </c>
      <c r="D942" s="2">
        <v>4</v>
      </c>
      <c r="E942" s="2">
        <v>2</v>
      </c>
      <c r="F942" s="2" t="s">
        <v>1503</v>
      </c>
    </row>
    <row r="943" spans="1:6" ht="75" x14ac:dyDescent="0.25">
      <c r="A943" s="2" t="s">
        <v>3072</v>
      </c>
      <c r="B943" s="2" t="b">
        <v>1</v>
      </c>
      <c r="C943" s="2" t="s">
        <v>3073</v>
      </c>
      <c r="D943" s="2">
        <v>2</v>
      </c>
      <c r="E943" s="2">
        <v>1</v>
      </c>
      <c r="F943" s="2" t="s">
        <v>1503</v>
      </c>
    </row>
    <row r="944" spans="1:6" ht="75" x14ac:dyDescent="0.25">
      <c r="A944" s="2" t="s">
        <v>3074</v>
      </c>
      <c r="B944" s="2" t="b">
        <v>1</v>
      </c>
      <c r="C944" s="2" t="s">
        <v>3075</v>
      </c>
      <c r="D944" s="2">
        <v>2</v>
      </c>
      <c r="E944" s="2">
        <v>1</v>
      </c>
      <c r="F944" s="2" t="s">
        <v>1503</v>
      </c>
    </row>
    <row r="945" spans="1:6" ht="75" x14ac:dyDescent="0.25">
      <c r="A945" s="2" t="s">
        <v>3076</v>
      </c>
      <c r="B945" s="2" t="b">
        <v>1</v>
      </c>
      <c r="C945" s="2" t="s">
        <v>3077</v>
      </c>
      <c r="D945" s="2">
        <v>2</v>
      </c>
      <c r="E945" s="2">
        <v>1</v>
      </c>
      <c r="F945" s="2" t="s">
        <v>1503</v>
      </c>
    </row>
    <row r="946" spans="1:6" ht="75" x14ac:dyDescent="0.25">
      <c r="A946" s="2" t="s">
        <v>3078</v>
      </c>
      <c r="B946" s="2" t="b">
        <v>1</v>
      </c>
      <c r="C946" s="2" t="s">
        <v>3079</v>
      </c>
      <c r="D946" s="2">
        <v>3</v>
      </c>
      <c r="E946" s="2">
        <v>2</v>
      </c>
      <c r="F946" s="2" t="s">
        <v>1503</v>
      </c>
    </row>
    <row r="947" spans="1:6" ht="75" x14ac:dyDescent="0.25">
      <c r="A947" s="2" t="s">
        <v>3080</v>
      </c>
      <c r="B947" s="2" t="b">
        <v>1</v>
      </c>
      <c r="C947" s="2" t="s">
        <v>3081</v>
      </c>
      <c r="D947" s="2">
        <v>3</v>
      </c>
      <c r="E947" s="2">
        <v>2</v>
      </c>
      <c r="F947" s="2" t="s">
        <v>1503</v>
      </c>
    </row>
    <row r="948" spans="1:6" ht="75" x14ac:dyDescent="0.25">
      <c r="A948" s="2" t="s">
        <v>3082</v>
      </c>
      <c r="B948" s="2" t="b">
        <v>1</v>
      </c>
      <c r="C948" s="2" t="s">
        <v>3083</v>
      </c>
      <c r="D948" s="2">
        <v>3</v>
      </c>
      <c r="E948" s="2">
        <v>2</v>
      </c>
      <c r="F948" s="2" t="s">
        <v>1503</v>
      </c>
    </row>
    <row r="949" spans="1:6" ht="75" x14ac:dyDescent="0.25">
      <c r="A949" s="2" t="s">
        <v>3084</v>
      </c>
      <c r="B949" s="2" t="b">
        <v>1</v>
      </c>
      <c r="C949" s="2" t="s">
        <v>3085</v>
      </c>
      <c r="D949" s="2">
        <v>3</v>
      </c>
      <c r="E949" s="2">
        <v>2</v>
      </c>
      <c r="F949" s="2" t="s">
        <v>1503</v>
      </c>
    </row>
    <row r="950" spans="1:6" ht="75" x14ac:dyDescent="0.25">
      <c r="A950" s="2" t="s">
        <v>3086</v>
      </c>
      <c r="B950" s="2" t="b">
        <v>0</v>
      </c>
      <c r="C950" s="2" t="s">
        <v>3087</v>
      </c>
      <c r="D950" s="2">
        <v>4</v>
      </c>
      <c r="E950" s="2">
        <v>2</v>
      </c>
      <c r="F950" s="2" t="s">
        <v>1503</v>
      </c>
    </row>
    <row r="951" spans="1:6" ht="75" x14ac:dyDescent="0.25">
      <c r="A951" s="2" t="s">
        <v>3088</v>
      </c>
      <c r="B951" s="2" t="b">
        <v>1</v>
      </c>
      <c r="C951" s="2" t="s">
        <v>3089</v>
      </c>
      <c r="D951" s="2">
        <v>2</v>
      </c>
      <c r="E951" s="2">
        <v>2</v>
      </c>
      <c r="F951" s="2" t="s">
        <v>1503</v>
      </c>
    </row>
    <row r="952" spans="1:6" ht="75" x14ac:dyDescent="0.25">
      <c r="A952" s="2" t="s">
        <v>3090</v>
      </c>
      <c r="B952" s="2" t="b">
        <v>1</v>
      </c>
      <c r="C952" s="2" t="s">
        <v>3091</v>
      </c>
      <c r="D952" s="2">
        <v>2</v>
      </c>
      <c r="E952" s="2">
        <v>2</v>
      </c>
      <c r="F952" s="2" t="s">
        <v>1503</v>
      </c>
    </row>
    <row r="953" spans="1:6" ht="75" x14ac:dyDescent="0.25">
      <c r="A953" s="2" t="s">
        <v>3092</v>
      </c>
      <c r="B953" s="2" t="b">
        <v>1</v>
      </c>
      <c r="C953" s="2" t="s">
        <v>3093</v>
      </c>
      <c r="D953" s="2">
        <v>2</v>
      </c>
      <c r="E953" s="2">
        <v>2</v>
      </c>
      <c r="F953" s="2" t="s">
        <v>1503</v>
      </c>
    </row>
    <row r="954" spans="1:6" ht="75" x14ac:dyDescent="0.25">
      <c r="A954" s="2" t="s">
        <v>3094</v>
      </c>
      <c r="B954" s="2" t="b">
        <v>1</v>
      </c>
      <c r="C954" s="2" t="s">
        <v>3095</v>
      </c>
      <c r="D954" s="2">
        <v>2</v>
      </c>
      <c r="E954" s="2">
        <v>2</v>
      </c>
      <c r="F954" s="2" t="s">
        <v>1503</v>
      </c>
    </row>
    <row r="955" spans="1:6" ht="75" x14ac:dyDescent="0.25">
      <c r="A955" s="2" t="s">
        <v>3096</v>
      </c>
      <c r="B955" s="2" t="b">
        <v>1</v>
      </c>
      <c r="C955" s="2" t="s">
        <v>3097</v>
      </c>
      <c r="D955" s="2">
        <v>3</v>
      </c>
      <c r="E955" s="2">
        <v>2</v>
      </c>
      <c r="F955" s="2" t="s">
        <v>1503</v>
      </c>
    </row>
    <row r="956" spans="1:6" ht="75" x14ac:dyDescent="0.25">
      <c r="A956" s="2" t="s">
        <v>3098</v>
      </c>
      <c r="B956" s="2" t="b">
        <v>1</v>
      </c>
      <c r="C956" s="2" t="s">
        <v>3099</v>
      </c>
      <c r="D956" s="2">
        <v>4</v>
      </c>
      <c r="E956" s="2">
        <v>2</v>
      </c>
      <c r="F956" s="2" t="s">
        <v>1503</v>
      </c>
    </row>
    <row r="957" spans="1:6" ht="75" x14ac:dyDescent="0.25">
      <c r="A957" s="2" t="s">
        <v>3100</v>
      </c>
      <c r="B957" s="2" t="b">
        <v>0</v>
      </c>
      <c r="C957" s="2" t="s">
        <v>3101</v>
      </c>
      <c r="D957" s="2">
        <v>4</v>
      </c>
      <c r="E957" s="2">
        <v>2</v>
      </c>
      <c r="F957" s="2" t="s">
        <v>1503</v>
      </c>
    </row>
    <row r="958" spans="1:6" ht="75" x14ac:dyDescent="0.25">
      <c r="A958" s="2" t="s">
        <v>3102</v>
      </c>
      <c r="B958" s="2" t="b">
        <v>0</v>
      </c>
      <c r="C958" s="2" t="s">
        <v>3103</v>
      </c>
      <c r="D958" s="2">
        <v>4</v>
      </c>
      <c r="E958" s="2">
        <v>2</v>
      </c>
      <c r="F958" s="2" t="s">
        <v>1503</v>
      </c>
    </row>
    <row r="959" spans="1:6" ht="75" x14ac:dyDescent="0.25">
      <c r="A959" s="2" t="s">
        <v>3104</v>
      </c>
      <c r="B959" s="2" t="b">
        <v>0</v>
      </c>
      <c r="C959" s="2" t="s">
        <v>3105</v>
      </c>
      <c r="D959" s="2">
        <v>4</v>
      </c>
      <c r="E959" s="2">
        <v>2</v>
      </c>
      <c r="F959" s="2" t="s">
        <v>1503</v>
      </c>
    </row>
    <row r="960" spans="1:6" ht="75" x14ac:dyDescent="0.25">
      <c r="A960" s="2" t="s">
        <v>3106</v>
      </c>
      <c r="B960" s="2" t="b">
        <v>0</v>
      </c>
      <c r="C960" s="2" t="s">
        <v>3107</v>
      </c>
      <c r="D960" s="2">
        <v>4</v>
      </c>
      <c r="E960" s="2">
        <v>2</v>
      </c>
      <c r="F960" s="2" t="s">
        <v>1503</v>
      </c>
    </row>
    <row r="961" spans="1:6" ht="75" x14ac:dyDescent="0.25">
      <c r="A961" s="2" t="s">
        <v>3108</v>
      </c>
      <c r="B961" s="2" t="b">
        <v>0</v>
      </c>
      <c r="C961" s="2" t="s">
        <v>3109</v>
      </c>
      <c r="D961" s="2">
        <v>4</v>
      </c>
      <c r="E961" s="2">
        <v>2</v>
      </c>
      <c r="F961" s="2" t="s">
        <v>1503</v>
      </c>
    </row>
    <row r="962" spans="1:6" ht="75" x14ac:dyDescent="0.25">
      <c r="A962" s="2" t="s">
        <v>3110</v>
      </c>
      <c r="B962" s="2" t="b">
        <v>0</v>
      </c>
      <c r="C962" s="2" t="s">
        <v>3111</v>
      </c>
      <c r="D962" s="2">
        <v>4</v>
      </c>
      <c r="E962" s="2">
        <v>2</v>
      </c>
      <c r="F962" s="2" t="s">
        <v>1503</v>
      </c>
    </row>
    <row r="963" spans="1:6" ht="75" x14ac:dyDescent="0.25">
      <c r="A963" s="2" t="s">
        <v>3112</v>
      </c>
      <c r="B963" s="2" t="b">
        <v>1</v>
      </c>
      <c r="C963" s="2" t="s">
        <v>3113</v>
      </c>
      <c r="D963" s="2">
        <v>4</v>
      </c>
      <c r="E963" s="2">
        <v>2</v>
      </c>
      <c r="F963" s="2" t="s">
        <v>1503</v>
      </c>
    </row>
    <row r="964" spans="1:6" ht="75" x14ac:dyDescent="0.25">
      <c r="A964" s="2" t="s">
        <v>3114</v>
      </c>
      <c r="B964" s="2" t="b">
        <v>1</v>
      </c>
      <c r="C964" s="2" t="s">
        <v>3115</v>
      </c>
      <c r="D964" s="2">
        <v>1</v>
      </c>
      <c r="E964" s="2">
        <v>1</v>
      </c>
      <c r="F964" s="2" t="s">
        <v>1503</v>
      </c>
    </row>
    <row r="965" spans="1:6" ht="75" x14ac:dyDescent="0.25">
      <c r="A965" s="2" t="s">
        <v>3116</v>
      </c>
      <c r="B965" s="2" t="b">
        <v>1</v>
      </c>
      <c r="C965" s="2" t="s">
        <v>3117</v>
      </c>
      <c r="D965" s="2">
        <v>2</v>
      </c>
      <c r="E965" s="2">
        <v>1</v>
      </c>
      <c r="F965" s="2" t="s">
        <v>1503</v>
      </c>
    </row>
    <row r="966" spans="1:6" ht="75" x14ac:dyDescent="0.25">
      <c r="A966" s="2" t="s">
        <v>3118</v>
      </c>
      <c r="B966" s="2" t="b">
        <v>1</v>
      </c>
      <c r="C966" s="2" t="s">
        <v>3119</v>
      </c>
      <c r="D966" s="2">
        <v>2</v>
      </c>
      <c r="E966" s="2">
        <v>1</v>
      </c>
      <c r="F966" s="2" t="s">
        <v>1503</v>
      </c>
    </row>
    <row r="967" spans="1:6" ht="75" x14ac:dyDescent="0.25">
      <c r="A967" s="2" t="s">
        <v>3120</v>
      </c>
      <c r="B967" s="2" t="b">
        <v>1</v>
      </c>
      <c r="C967" s="2" t="s">
        <v>3121</v>
      </c>
      <c r="D967" s="2">
        <v>4</v>
      </c>
      <c r="E967" s="2">
        <v>2</v>
      </c>
      <c r="F967" s="2" t="s">
        <v>1503</v>
      </c>
    </row>
    <row r="968" spans="1:6" ht="75" x14ac:dyDescent="0.25">
      <c r="A968" s="2" t="s">
        <v>3122</v>
      </c>
      <c r="B968" s="2" t="b">
        <v>1</v>
      </c>
      <c r="C968" s="2" t="s">
        <v>3123</v>
      </c>
      <c r="D968" s="2">
        <v>2</v>
      </c>
      <c r="E968" s="2">
        <v>1</v>
      </c>
      <c r="F968" s="2" t="s">
        <v>1503</v>
      </c>
    </row>
    <row r="969" spans="1:6" ht="75" x14ac:dyDescent="0.25">
      <c r="A969" s="2" t="s">
        <v>3124</v>
      </c>
      <c r="B969" s="2" t="b">
        <v>1</v>
      </c>
      <c r="C969" s="2" t="s">
        <v>3125</v>
      </c>
      <c r="D969" s="2">
        <v>2</v>
      </c>
      <c r="E969" s="2">
        <v>1</v>
      </c>
      <c r="F969" s="2" t="s">
        <v>1503</v>
      </c>
    </row>
    <row r="970" spans="1:6" ht="75" x14ac:dyDescent="0.25">
      <c r="A970" s="2" t="s">
        <v>3126</v>
      </c>
      <c r="B970" s="2" t="b">
        <v>1</v>
      </c>
      <c r="C970" s="2" t="s">
        <v>3127</v>
      </c>
      <c r="D970" s="2">
        <v>2</v>
      </c>
      <c r="E970" s="2">
        <v>1</v>
      </c>
      <c r="F970" s="2" t="s">
        <v>1503</v>
      </c>
    </row>
    <row r="971" spans="1:6" ht="75" x14ac:dyDescent="0.25">
      <c r="A971" s="2" t="s">
        <v>3128</v>
      </c>
      <c r="B971" s="2" t="b">
        <v>1</v>
      </c>
      <c r="C971" s="2" t="s">
        <v>3129</v>
      </c>
      <c r="D971" s="2">
        <v>2</v>
      </c>
      <c r="E971" s="2">
        <v>1</v>
      </c>
      <c r="F971" s="2" t="s">
        <v>1503</v>
      </c>
    </row>
    <row r="972" spans="1:6" ht="75" x14ac:dyDescent="0.25">
      <c r="A972" s="2" t="s">
        <v>3130</v>
      </c>
      <c r="B972" s="2" t="b">
        <v>1</v>
      </c>
      <c r="C972" s="2" t="s">
        <v>3131</v>
      </c>
      <c r="D972" s="2">
        <v>2</v>
      </c>
      <c r="E972" s="2">
        <v>1</v>
      </c>
      <c r="F972" s="2" t="s">
        <v>1503</v>
      </c>
    </row>
    <row r="973" spans="1:6" ht="75" x14ac:dyDescent="0.25">
      <c r="A973" s="2" t="s">
        <v>3132</v>
      </c>
      <c r="B973" s="2" t="b">
        <v>1</v>
      </c>
      <c r="C973" s="2" t="s">
        <v>3133</v>
      </c>
      <c r="D973" s="2">
        <v>2</v>
      </c>
      <c r="E973" s="2">
        <v>1</v>
      </c>
      <c r="F973" s="2" t="s">
        <v>1503</v>
      </c>
    </row>
    <row r="974" spans="1:6" ht="75" x14ac:dyDescent="0.25">
      <c r="A974" s="2" t="s">
        <v>3134</v>
      </c>
      <c r="B974" s="2" t="b">
        <v>1</v>
      </c>
      <c r="C974" s="2" t="s">
        <v>3135</v>
      </c>
      <c r="D974" s="2">
        <v>2</v>
      </c>
      <c r="E974" s="2">
        <v>1</v>
      </c>
      <c r="F974" s="2" t="s">
        <v>1503</v>
      </c>
    </row>
    <row r="975" spans="1:6" ht="75" x14ac:dyDescent="0.25">
      <c r="A975" s="2" t="s">
        <v>3136</v>
      </c>
      <c r="B975" s="2" t="b">
        <v>1</v>
      </c>
      <c r="C975" s="2" t="s">
        <v>3137</v>
      </c>
      <c r="D975" s="2">
        <v>2</v>
      </c>
      <c r="E975" s="2">
        <v>1</v>
      </c>
      <c r="F975" s="2" t="s">
        <v>1503</v>
      </c>
    </row>
    <row r="976" spans="1:6" ht="75" x14ac:dyDescent="0.25">
      <c r="A976" s="2" t="s">
        <v>3138</v>
      </c>
      <c r="B976" s="2" t="b">
        <v>1</v>
      </c>
      <c r="C976" s="2" t="s">
        <v>3139</v>
      </c>
      <c r="D976" s="2">
        <v>3</v>
      </c>
      <c r="E976" s="2">
        <v>2</v>
      </c>
      <c r="F976" s="2" t="s">
        <v>1503</v>
      </c>
    </row>
    <row r="977" spans="1:6" ht="75" x14ac:dyDescent="0.25">
      <c r="A977" s="2" t="s">
        <v>3140</v>
      </c>
      <c r="B977" s="2" t="b">
        <v>1</v>
      </c>
      <c r="C977" s="2" t="s">
        <v>3141</v>
      </c>
      <c r="D977" s="2">
        <v>3</v>
      </c>
      <c r="E977" s="2">
        <v>2</v>
      </c>
      <c r="F977" s="2" t="s">
        <v>1503</v>
      </c>
    </row>
    <row r="978" spans="1:6" ht="75" x14ac:dyDescent="0.25">
      <c r="A978" s="2" t="s">
        <v>3142</v>
      </c>
      <c r="B978" s="2" t="b">
        <v>1</v>
      </c>
      <c r="C978" s="2" t="s">
        <v>3143</v>
      </c>
      <c r="D978" s="2">
        <v>3</v>
      </c>
      <c r="E978" s="2">
        <v>2</v>
      </c>
      <c r="F978" s="2" t="s">
        <v>1503</v>
      </c>
    </row>
    <row r="979" spans="1:6" ht="75" x14ac:dyDescent="0.25">
      <c r="A979" s="2" t="s">
        <v>3144</v>
      </c>
      <c r="B979" s="2" t="b">
        <v>1</v>
      </c>
      <c r="C979" s="2" t="s">
        <v>3145</v>
      </c>
      <c r="D979" s="2">
        <v>2</v>
      </c>
      <c r="E979" s="2">
        <v>2</v>
      </c>
      <c r="F979" s="2" t="s">
        <v>1503</v>
      </c>
    </row>
    <row r="980" spans="1:6" ht="75" x14ac:dyDescent="0.25">
      <c r="A980" s="2" t="s">
        <v>3146</v>
      </c>
      <c r="B980" s="2" t="b">
        <v>1</v>
      </c>
      <c r="C980" s="2" t="s">
        <v>3147</v>
      </c>
      <c r="D980" s="2">
        <v>3</v>
      </c>
      <c r="E980" s="2">
        <v>2</v>
      </c>
      <c r="F980" s="2" t="s">
        <v>1503</v>
      </c>
    </row>
    <row r="981" spans="1:6" ht="75" x14ac:dyDescent="0.25">
      <c r="A981" s="2" t="s">
        <v>3148</v>
      </c>
      <c r="B981" s="2" t="b">
        <v>1</v>
      </c>
      <c r="C981" s="2" t="s">
        <v>3149</v>
      </c>
      <c r="D981" s="2">
        <v>3</v>
      </c>
      <c r="E981" s="2">
        <v>2</v>
      </c>
      <c r="F981" s="2" t="s">
        <v>1503</v>
      </c>
    </row>
    <row r="982" spans="1:6" ht="75" x14ac:dyDescent="0.25">
      <c r="A982" s="2" t="s">
        <v>3150</v>
      </c>
      <c r="B982" s="2" t="b">
        <v>1</v>
      </c>
      <c r="C982" s="2" t="s">
        <v>3151</v>
      </c>
      <c r="D982" s="2">
        <v>3</v>
      </c>
      <c r="E982" s="2">
        <v>2</v>
      </c>
      <c r="F982" s="2" t="s">
        <v>1503</v>
      </c>
    </row>
    <row r="983" spans="1:6" ht="75" x14ac:dyDescent="0.25">
      <c r="A983" s="2" t="s">
        <v>3152</v>
      </c>
      <c r="B983" s="2" t="b">
        <v>1</v>
      </c>
      <c r="C983" s="2" t="s">
        <v>3151</v>
      </c>
      <c r="D983" s="2">
        <v>3</v>
      </c>
      <c r="E983" s="2">
        <v>2</v>
      </c>
      <c r="F983" s="2" t="s">
        <v>1503</v>
      </c>
    </row>
    <row r="984" spans="1:6" ht="75" x14ac:dyDescent="0.25">
      <c r="A984" s="2" t="s">
        <v>3153</v>
      </c>
      <c r="B984" s="2" t="b">
        <v>1</v>
      </c>
      <c r="C984" s="2" t="s">
        <v>3154</v>
      </c>
      <c r="D984" s="2">
        <v>2</v>
      </c>
      <c r="E984" s="2">
        <v>2</v>
      </c>
      <c r="F984" s="2" t="s">
        <v>1503</v>
      </c>
    </row>
    <row r="985" spans="1:6" ht="75" x14ac:dyDescent="0.25">
      <c r="A985" s="2" t="s">
        <v>3155</v>
      </c>
      <c r="B985" s="2" t="b">
        <v>1</v>
      </c>
      <c r="C985" s="2" t="s">
        <v>3156</v>
      </c>
      <c r="D985" s="2">
        <v>2</v>
      </c>
      <c r="E985" s="2">
        <v>2</v>
      </c>
      <c r="F985" s="2" t="s">
        <v>1503</v>
      </c>
    </row>
    <row r="986" spans="1:6" ht="75" x14ac:dyDescent="0.25">
      <c r="A986" s="2" t="s">
        <v>3157</v>
      </c>
      <c r="B986" s="2" t="b">
        <v>1</v>
      </c>
      <c r="C986" s="2" t="s">
        <v>3158</v>
      </c>
      <c r="D986" s="2">
        <v>4</v>
      </c>
      <c r="E986" s="2">
        <v>2</v>
      </c>
      <c r="F986" s="2" t="s">
        <v>1503</v>
      </c>
    </row>
    <row r="987" spans="1:6" ht="75" x14ac:dyDescent="0.25">
      <c r="A987" s="2" t="s">
        <v>3159</v>
      </c>
      <c r="B987" s="2" t="b">
        <v>1</v>
      </c>
      <c r="C987" s="2" t="s">
        <v>3160</v>
      </c>
      <c r="D987" s="2">
        <v>3</v>
      </c>
      <c r="E987" s="2">
        <v>2</v>
      </c>
      <c r="F987" s="2" t="s">
        <v>1503</v>
      </c>
    </row>
    <row r="988" spans="1:6" ht="75" x14ac:dyDescent="0.25">
      <c r="A988" s="2" t="s">
        <v>3161</v>
      </c>
      <c r="B988" s="2" t="b">
        <v>1</v>
      </c>
      <c r="C988" s="2" t="s">
        <v>3162</v>
      </c>
      <c r="D988" s="2">
        <v>3</v>
      </c>
      <c r="E988" s="2">
        <v>2</v>
      </c>
      <c r="F988" s="2" t="s">
        <v>1503</v>
      </c>
    </row>
    <row r="989" spans="1:6" ht="75" x14ac:dyDescent="0.25">
      <c r="A989" s="2" t="s">
        <v>3163</v>
      </c>
      <c r="B989" s="2" t="b">
        <v>1</v>
      </c>
      <c r="C989" s="2" t="s">
        <v>3164</v>
      </c>
      <c r="D989" s="2">
        <v>3</v>
      </c>
      <c r="E989" s="2">
        <v>2</v>
      </c>
      <c r="F989" s="2" t="s">
        <v>1503</v>
      </c>
    </row>
    <row r="990" spans="1:6" ht="75" x14ac:dyDescent="0.25">
      <c r="A990" s="2" t="s">
        <v>3165</v>
      </c>
      <c r="B990" s="2" t="b">
        <v>1</v>
      </c>
      <c r="C990" s="2" t="s">
        <v>3166</v>
      </c>
      <c r="D990" s="2">
        <v>2</v>
      </c>
      <c r="E990" s="2">
        <v>2</v>
      </c>
      <c r="F990" s="2" t="s">
        <v>1503</v>
      </c>
    </row>
    <row r="991" spans="1:6" ht="75" x14ac:dyDescent="0.25">
      <c r="A991" s="2" t="s">
        <v>3167</v>
      </c>
      <c r="B991" s="2" t="b">
        <v>1</v>
      </c>
      <c r="C991" s="2" t="s">
        <v>3168</v>
      </c>
      <c r="D991" s="2">
        <v>2</v>
      </c>
      <c r="E991" s="2">
        <v>2</v>
      </c>
      <c r="F991" s="2" t="s">
        <v>1503</v>
      </c>
    </row>
    <row r="992" spans="1:6" ht="75" x14ac:dyDescent="0.25">
      <c r="A992" s="2" t="s">
        <v>3169</v>
      </c>
      <c r="B992" s="2" t="b">
        <v>1</v>
      </c>
      <c r="C992" s="2" t="s">
        <v>3170</v>
      </c>
      <c r="D992" s="2">
        <v>2</v>
      </c>
      <c r="E992" s="2">
        <v>2</v>
      </c>
      <c r="F992" s="2" t="s">
        <v>1503</v>
      </c>
    </row>
    <row r="993" spans="1:6" ht="75" x14ac:dyDescent="0.25">
      <c r="A993" s="2" t="s">
        <v>3171</v>
      </c>
      <c r="B993" s="2" t="b">
        <v>1</v>
      </c>
      <c r="C993" s="2" t="s">
        <v>3172</v>
      </c>
      <c r="D993" s="2">
        <v>3</v>
      </c>
      <c r="E993" s="2">
        <v>2</v>
      </c>
      <c r="F993" s="2" t="s">
        <v>1503</v>
      </c>
    </row>
    <row r="994" spans="1:6" ht="75" x14ac:dyDescent="0.25">
      <c r="A994" s="2" t="s">
        <v>3173</v>
      </c>
      <c r="B994" s="2" t="b">
        <v>1</v>
      </c>
      <c r="C994" s="2" t="s">
        <v>3174</v>
      </c>
      <c r="D994" s="2">
        <v>3</v>
      </c>
      <c r="E994" s="2">
        <v>2</v>
      </c>
      <c r="F994" s="2" t="s">
        <v>1503</v>
      </c>
    </row>
    <row r="995" spans="1:6" ht="75" x14ac:dyDescent="0.25">
      <c r="A995" s="2" t="s">
        <v>3175</v>
      </c>
      <c r="B995" s="2" t="b">
        <v>1</v>
      </c>
      <c r="C995" s="2" t="s">
        <v>3176</v>
      </c>
      <c r="D995" s="2">
        <v>4</v>
      </c>
      <c r="E995" s="2">
        <v>2</v>
      </c>
      <c r="F995" s="2" t="s">
        <v>1503</v>
      </c>
    </row>
    <row r="996" spans="1:6" ht="75" x14ac:dyDescent="0.25">
      <c r="A996" s="2" t="s">
        <v>3177</v>
      </c>
      <c r="B996" s="2" t="b">
        <v>1</v>
      </c>
      <c r="C996" s="2" t="s">
        <v>3178</v>
      </c>
      <c r="D996" s="2">
        <v>4</v>
      </c>
      <c r="E996" s="2">
        <v>2</v>
      </c>
      <c r="F996" s="2" t="s">
        <v>1503</v>
      </c>
    </row>
    <row r="997" spans="1:6" ht="75" x14ac:dyDescent="0.25">
      <c r="A997" s="2" t="s">
        <v>3179</v>
      </c>
      <c r="B997" s="2" t="b">
        <v>1</v>
      </c>
      <c r="C997" s="2" t="s">
        <v>3180</v>
      </c>
      <c r="D997" s="2">
        <v>4</v>
      </c>
      <c r="E997" s="2">
        <v>2</v>
      </c>
      <c r="F997" s="2" t="s">
        <v>1503</v>
      </c>
    </row>
    <row r="998" spans="1:6" ht="75" x14ac:dyDescent="0.25">
      <c r="A998" s="2" t="s">
        <v>3181</v>
      </c>
      <c r="B998" s="2" t="b">
        <v>1</v>
      </c>
      <c r="C998" s="2" t="s">
        <v>3182</v>
      </c>
      <c r="D998" s="2">
        <v>4</v>
      </c>
      <c r="E998" s="2">
        <v>2</v>
      </c>
      <c r="F998" s="2" t="s">
        <v>1503</v>
      </c>
    </row>
    <row r="999" spans="1:6" ht="75" x14ac:dyDescent="0.25">
      <c r="A999" s="2" t="s">
        <v>3183</v>
      </c>
      <c r="B999" s="2" t="b">
        <v>1</v>
      </c>
      <c r="C999" s="2" t="s">
        <v>3184</v>
      </c>
      <c r="D999" s="2">
        <v>4</v>
      </c>
      <c r="E999" s="2">
        <v>2</v>
      </c>
      <c r="F999" s="2" t="s">
        <v>1503</v>
      </c>
    </row>
    <row r="1000" spans="1:6" ht="75" x14ac:dyDescent="0.25">
      <c r="A1000" s="2" t="s">
        <v>3185</v>
      </c>
      <c r="B1000" s="2" t="b">
        <v>1</v>
      </c>
      <c r="C1000" s="2" t="s">
        <v>3186</v>
      </c>
      <c r="D1000" s="2">
        <v>2</v>
      </c>
      <c r="E1000" s="2">
        <v>2</v>
      </c>
      <c r="F1000" s="2" t="s">
        <v>1503</v>
      </c>
    </row>
    <row r="1001" spans="1:6" ht="75" x14ac:dyDescent="0.25">
      <c r="A1001" s="2" t="s">
        <v>3187</v>
      </c>
      <c r="B1001" s="2" t="b">
        <v>1</v>
      </c>
      <c r="C1001" s="2" t="s">
        <v>3188</v>
      </c>
      <c r="D1001" s="2">
        <v>4</v>
      </c>
      <c r="E1001" s="2">
        <v>2</v>
      </c>
      <c r="F1001" s="2" t="s">
        <v>1503</v>
      </c>
    </row>
    <row r="1002" spans="1:6" ht="75" x14ac:dyDescent="0.25">
      <c r="A1002" s="2" t="s">
        <v>3189</v>
      </c>
      <c r="B1002" s="2" t="b">
        <v>1</v>
      </c>
      <c r="C1002" s="2" t="s">
        <v>3190</v>
      </c>
      <c r="D1002" s="2">
        <v>3</v>
      </c>
      <c r="E1002" s="2">
        <v>2</v>
      </c>
      <c r="F1002" s="2" t="s">
        <v>1503</v>
      </c>
    </row>
    <row r="1003" spans="1:6" ht="75" x14ac:dyDescent="0.25">
      <c r="A1003" s="2" t="s">
        <v>3191</v>
      </c>
      <c r="B1003" s="2" t="b">
        <v>1</v>
      </c>
      <c r="C1003" s="2" t="s">
        <v>3190</v>
      </c>
      <c r="D1003" s="2">
        <v>3</v>
      </c>
      <c r="E1003" s="2">
        <v>2</v>
      </c>
      <c r="F1003" s="2" t="s">
        <v>1503</v>
      </c>
    </row>
    <row r="1004" spans="1:6" ht="75" x14ac:dyDescent="0.25">
      <c r="A1004" s="2" t="s">
        <v>3192</v>
      </c>
      <c r="B1004" s="2" t="b">
        <v>1</v>
      </c>
      <c r="C1004" s="2" t="s">
        <v>3193</v>
      </c>
      <c r="D1004" s="2">
        <v>4</v>
      </c>
      <c r="E1004" s="2">
        <v>2</v>
      </c>
      <c r="F1004" s="2" t="s">
        <v>1503</v>
      </c>
    </row>
    <row r="1005" spans="1:6" ht="75" x14ac:dyDescent="0.25">
      <c r="A1005" s="2" t="s">
        <v>3194</v>
      </c>
      <c r="B1005" s="2" t="b">
        <v>1</v>
      </c>
      <c r="C1005" s="2" t="s">
        <v>3195</v>
      </c>
      <c r="D1005" s="2">
        <v>4</v>
      </c>
      <c r="E1005" s="2">
        <v>2</v>
      </c>
      <c r="F1005" s="2" t="s">
        <v>1503</v>
      </c>
    </row>
    <row r="1006" spans="1:6" ht="75" x14ac:dyDescent="0.25">
      <c r="A1006" s="2" t="s">
        <v>3196</v>
      </c>
      <c r="B1006" s="2" t="b">
        <v>1</v>
      </c>
      <c r="C1006" s="2" t="s">
        <v>3197</v>
      </c>
      <c r="D1006" s="2">
        <v>4</v>
      </c>
      <c r="E1006" s="2">
        <v>2</v>
      </c>
      <c r="F1006" s="2" t="s">
        <v>1503</v>
      </c>
    </row>
    <row r="1007" spans="1:6" ht="75" x14ac:dyDescent="0.25">
      <c r="A1007" s="2" t="s">
        <v>3198</v>
      </c>
      <c r="B1007" s="2" t="b">
        <v>1</v>
      </c>
      <c r="C1007" s="2" t="s">
        <v>3199</v>
      </c>
      <c r="D1007" s="2">
        <v>2</v>
      </c>
      <c r="E1007" s="2">
        <v>2</v>
      </c>
      <c r="F1007" s="2" t="s">
        <v>1503</v>
      </c>
    </row>
    <row r="1008" spans="1:6" ht="75" x14ac:dyDescent="0.25">
      <c r="A1008" s="2" t="s">
        <v>3200</v>
      </c>
      <c r="B1008" s="2" t="b">
        <v>1</v>
      </c>
      <c r="C1008" s="2" t="s">
        <v>3201</v>
      </c>
      <c r="D1008" s="2">
        <v>2</v>
      </c>
      <c r="E1008" s="2">
        <v>2</v>
      </c>
      <c r="F1008" s="2" t="s">
        <v>1503</v>
      </c>
    </row>
    <row r="1009" spans="1:6" ht="75" x14ac:dyDescent="0.25">
      <c r="A1009" s="2" t="s">
        <v>3202</v>
      </c>
      <c r="B1009" s="2" t="b">
        <v>1</v>
      </c>
      <c r="C1009" s="2" t="s">
        <v>3203</v>
      </c>
      <c r="D1009" s="2">
        <v>2</v>
      </c>
      <c r="E1009" s="2">
        <v>2</v>
      </c>
      <c r="F1009" s="2" t="s">
        <v>1503</v>
      </c>
    </row>
    <row r="1010" spans="1:6" ht="75" x14ac:dyDescent="0.25">
      <c r="A1010" s="2" t="s">
        <v>3204</v>
      </c>
      <c r="B1010" s="2" t="b">
        <v>0</v>
      </c>
      <c r="C1010" s="2" t="s">
        <v>3205</v>
      </c>
      <c r="D1010" s="2">
        <v>4</v>
      </c>
      <c r="E1010" s="2">
        <v>2</v>
      </c>
      <c r="F1010" s="2" t="s">
        <v>1503</v>
      </c>
    </row>
    <row r="1011" spans="1:6" ht="75" x14ac:dyDescent="0.25">
      <c r="A1011" s="2" t="s">
        <v>3206</v>
      </c>
      <c r="B1011" s="2" t="b">
        <v>0</v>
      </c>
      <c r="C1011" s="2" t="s">
        <v>3207</v>
      </c>
      <c r="D1011" s="2">
        <v>4</v>
      </c>
      <c r="E1011" s="2">
        <v>2</v>
      </c>
      <c r="F1011" s="2" t="s">
        <v>1503</v>
      </c>
    </row>
    <row r="1012" spans="1:6" ht="75" x14ac:dyDescent="0.25">
      <c r="A1012" s="2" t="s">
        <v>3208</v>
      </c>
      <c r="B1012" s="2" t="b">
        <v>0</v>
      </c>
      <c r="C1012" s="2" t="s">
        <v>3209</v>
      </c>
      <c r="D1012" s="2">
        <v>4</v>
      </c>
      <c r="E1012" s="2">
        <v>2</v>
      </c>
      <c r="F1012" s="2" t="s">
        <v>1503</v>
      </c>
    </row>
    <row r="1013" spans="1:6" ht="75" x14ac:dyDescent="0.25">
      <c r="A1013" s="2" t="s">
        <v>3210</v>
      </c>
      <c r="B1013" s="2" t="b">
        <v>0</v>
      </c>
      <c r="C1013" s="2" t="s">
        <v>3211</v>
      </c>
      <c r="D1013" s="2">
        <v>4</v>
      </c>
      <c r="E1013" s="2">
        <v>2</v>
      </c>
      <c r="F1013" s="2" t="s">
        <v>1503</v>
      </c>
    </row>
    <row r="1014" spans="1:6" ht="75" x14ac:dyDescent="0.25">
      <c r="A1014" s="2" t="s">
        <v>3212</v>
      </c>
      <c r="B1014" s="2" t="b">
        <v>0</v>
      </c>
      <c r="C1014" s="2" t="s">
        <v>3213</v>
      </c>
      <c r="D1014" s="2">
        <v>4</v>
      </c>
      <c r="E1014" s="2">
        <v>2</v>
      </c>
      <c r="F1014" s="2" t="s">
        <v>1503</v>
      </c>
    </row>
    <row r="1015" spans="1:6" ht="75" x14ac:dyDescent="0.25">
      <c r="A1015" s="2" t="s">
        <v>3214</v>
      </c>
      <c r="B1015" s="2" t="b">
        <v>1</v>
      </c>
      <c r="C1015" s="2" t="s">
        <v>3215</v>
      </c>
      <c r="D1015" s="2">
        <v>4</v>
      </c>
      <c r="E1015" s="2">
        <v>2</v>
      </c>
      <c r="F1015" s="2" t="s">
        <v>1503</v>
      </c>
    </row>
    <row r="1016" spans="1:6" ht="75" x14ac:dyDescent="0.25">
      <c r="A1016" s="2" t="s">
        <v>3216</v>
      </c>
      <c r="B1016" s="2" t="b">
        <v>0</v>
      </c>
      <c r="C1016" s="2" t="s">
        <v>3217</v>
      </c>
      <c r="D1016" s="2">
        <v>4</v>
      </c>
      <c r="E1016" s="2">
        <v>2</v>
      </c>
      <c r="F1016" s="2" t="s">
        <v>1503</v>
      </c>
    </row>
    <row r="1017" spans="1:6" ht="75" x14ac:dyDescent="0.25">
      <c r="A1017" s="2" t="s">
        <v>3218</v>
      </c>
      <c r="B1017" s="2" t="b">
        <v>1</v>
      </c>
      <c r="C1017" s="2" t="s">
        <v>3219</v>
      </c>
      <c r="D1017" s="2">
        <v>4</v>
      </c>
      <c r="E1017" s="2">
        <v>2</v>
      </c>
      <c r="F1017" s="2" t="s">
        <v>1503</v>
      </c>
    </row>
    <row r="1018" spans="1:6" ht="75" x14ac:dyDescent="0.25">
      <c r="A1018" s="2" t="s">
        <v>3220</v>
      </c>
      <c r="B1018" s="2" t="b">
        <v>1</v>
      </c>
      <c r="C1018" s="2" t="s">
        <v>3162</v>
      </c>
      <c r="D1018" s="2">
        <v>3</v>
      </c>
      <c r="E1018" s="2">
        <v>2</v>
      </c>
      <c r="F1018" s="2" t="s">
        <v>1503</v>
      </c>
    </row>
    <row r="1019" spans="1:6" ht="75" x14ac:dyDescent="0.25">
      <c r="A1019" s="2" t="s">
        <v>3221</v>
      </c>
      <c r="B1019" s="2" t="b">
        <v>1</v>
      </c>
      <c r="C1019" s="2" t="s">
        <v>3164</v>
      </c>
      <c r="D1019" s="2">
        <v>3</v>
      </c>
      <c r="E1019" s="2">
        <v>2</v>
      </c>
      <c r="F1019" s="2" t="s">
        <v>1503</v>
      </c>
    </row>
    <row r="1020" spans="1:6" ht="75" x14ac:dyDescent="0.25">
      <c r="A1020" s="2" t="s">
        <v>3222</v>
      </c>
      <c r="B1020" s="2" t="b">
        <v>0</v>
      </c>
      <c r="C1020" s="2" t="s">
        <v>3223</v>
      </c>
      <c r="D1020" s="2">
        <v>4</v>
      </c>
      <c r="E1020" s="2">
        <v>2</v>
      </c>
      <c r="F1020" s="2" t="s">
        <v>1503</v>
      </c>
    </row>
    <row r="1021" spans="1:6" ht="75" x14ac:dyDescent="0.25">
      <c r="A1021" s="2" t="s">
        <v>3224</v>
      </c>
      <c r="B1021" s="2" t="b">
        <v>1</v>
      </c>
      <c r="C1021" s="2" t="s">
        <v>3225</v>
      </c>
      <c r="D1021" s="2">
        <v>2</v>
      </c>
      <c r="E1021" s="2">
        <v>2</v>
      </c>
      <c r="F1021" s="2" t="s">
        <v>1503</v>
      </c>
    </row>
    <row r="1022" spans="1:6" ht="75" x14ac:dyDescent="0.25">
      <c r="A1022" s="2" t="s">
        <v>3226</v>
      </c>
      <c r="B1022" s="2" t="b">
        <v>1</v>
      </c>
      <c r="C1022" s="2" t="s">
        <v>3227</v>
      </c>
      <c r="D1022" s="2">
        <v>3</v>
      </c>
      <c r="E1022" s="2">
        <v>2</v>
      </c>
      <c r="F1022" s="2" t="s">
        <v>1503</v>
      </c>
    </row>
    <row r="1023" spans="1:6" ht="75" x14ac:dyDescent="0.25">
      <c r="A1023" s="2" t="s">
        <v>3228</v>
      </c>
      <c r="B1023" s="2" t="b">
        <v>1</v>
      </c>
      <c r="C1023" s="2" t="s">
        <v>3229</v>
      </c>
      <c r="D1023" s="2">
        <v>1</v>
      </c>
      <c r="E1023" s="2">
        <v>1</v>
      </c>
      <c r="F1023" s="2" t="s">
        <v>1503</v>
      </c>
    </row>
    <row r="1024" spans="1:6" ht="75" x14ac:dyDescent="0.25">
      <c r="A1024" s="2" t="s">
        <v>3230</v>
      </c>
      <c r="B1024" s="2" t="b">
        <v>1</v>
      </c>
      <c r="C1024" s="2" t="s">
        <v>3231</v>
      </c>
      <c r="D1024" s="2">
        <v>2</v>
      </c>
      <c r="E1024" s="2">
        <v>1</v>
      </c>
      <c r="F1024" s="2" t="s">
        <v>1503</v>
      </c>
    </row>
    <row r="1025" spans="1:6" ht="75" x14ac:dyDescent="0.25">
      <c r="A1025" s="2" t="s">
        <v>3232</v>
      </c>
      <c r="B1025" s="2" t="b">
        <v>1</v>
      </c>
      <c r="C1025" s="2" t="s">
        <v>3233</v>
      </c>
      <c r="D1025" s="2">
        <v>1</v>
      </c>
      <c r="E1025" s="2">
        <v>1</v>
      </c>
      <c r="F1025" s="2" t="s">
        <v>1503</v>
      </c>
    </row>
    <row r="1026" spans="1:6" ht="75" x14ac:dyDescent="0.25">
      <c r="A1026" s="2" t="s">
        <v>3234</v>
      </c>
      <c r="B1026" s="2" t="b">
        <v>1</v>
      </c>
      <c r="C1026" s="2" t="s">
        <v>3235</v>
      </c>
      <c r="D1026" s="2">
        <v>1</v>
      </c>
      <c r="E1026" s="2">
        <v>1</v>
      </c>
      <c r="F1026" s="2" t="s">
        <v>1503</v>
      </c>
    </row>
    <row r="1027" spans="1:6" ht="75" x14ac:dyDescent="0.25">
      <c r="A1027" s="2" t="s">
        <v>3236</v>
      </c>
      <c r="B1027" s="2" t="b">
        <v>1</v>
      </c>
      <c r="C1027" s="2" t="s">
        <v>3237</v>
      </c>
      <c r="D1027" s="2">
        <v>1</v>
      </c>
      <c r="E1027" s="2">
        <v>1</v>
      </c>
      <c r="F1027" s="2" t="s">
        <v>1503</v>
      </c>
    </row>
    <row r="1028" spans="1:6" ht="75" x14ac:dyDescent="0.25">
      <c r="A1028" s="2" t="s">
        <v>3238</v>
      </c>
      <c r="B1028" s="2" t="b">
        <v>0</v>
      </c>
      <c r="C1028" s="2" t="s">
        <v>3239</v>
      </c>
      <c r="D1028" s="2">
        <v>3</v>
      </c>
      <c r="E1028" s="2">
        <v>2</v>
      </c>
      <c r="F1028" s="2" t="s">
        <v>1503</v>
      </c>
    </row>
    <row r="1029" spans="1:6" ht="75" x14ac:dyDescent="0.25">
      <c r="A1029" s="2" t="s">
        <v>3240</v>
      </c>
      <c r="B1029" s="2" t="b">
        <v>0</v>
      </c>
      <c r="C1029" s="2" t="s">
        <v>3241</v>
      </c>
      <c r="D1029" s="2">
        <v>4</v>
      </c>
      <c r="E1029" s="2">
        <v>2</v>
      </c>
      <c r="F1029" s="2" t="s">
        <v>1503</v>
      </c>
    </row>
    <row r="1030" spans="1:6" ht="75" x14ac:dyDescent="0.25">
      <c r="A1030" s="2" t="s">
        <v>3242</v>
      </c>
      <c r="B1030" s="2" t="b">
        <v>0</v>
      </c>
      <c r="C1030" s="2" t="s">
        <v>3243</v>
      </c>
      <c r="D1030" s="2">
        <v>4</v>
      </c>
      <c r="E1030" s="2">
        <v>2</v>
      </c>
      <c r="F1030" s="2" t="s">
        <v>1503</v>
      </c>
    </row>
    <row r="1031" spans="1:6" ht="75" x14ac:dyDescent="0.25">
      <c r="A1031" s="2" t="s">
        <v>3244</v>
      </c>
      <c r="B1031" s="2" t="b">
        <v>0</v>
      </c>
      <c r="C1031" s="2" t="s">
        <v>3245</v>
      </c>
      <c r="D1031" s="2">
        <v>4</v>
      </c>
      <c r="E1031" s="2">
        <v>2</v>
      </c>
      <c r="F1031" s="2" t="s">
        <v>1503</v>
      </c>
    </row>
    <row r="1032" spans="1:6" ht="75" x14ac:dyDescent="0.25">
      <c r="A1032" s="2" t="s">
        <v>3246</v>
      </c>
      <c r="B1032" s="2" t="b">
        <v>0</v>
      </c>
      <c r="C1032" s="2" t="s">
        <v>3247</v>
      </c>
      <c r="D1032" s="2">
        <v>4</v>
      </c>
      <c r="E1032" s="2">
        <v>2</v>
      </c>
      <c r="F1032" s="2" t="s">
        <v>1503</v>
      </c>
    </row>
    <row r="1033" spans="1:6" ht="75" x14ac:dyDescent="0.25">
      <c r="A1033" s="2" t="s">
        <v>3248</v>
      </c>
      <c r="B1033" s="2" t="b">
        <v>0</v>
      </c>
      <c r="C1033" s="2" t="s">
        <v>3249</v>
      </c>
      <c r="D1033" s="2">
        <v>4</v>
      </c>
      <c r="E1033" s="2">
        <v>2</v>
      </c>
      <c r="F1033" s="2" t="s">
        <v>1503</v>
      </c>
    </row>
    <row r="1034" spans="1:6" ht="75" x14ac:dyDescent="0.25">
      <c r="A1034" s="2" t="s">
        <v>3250</v>
      </c>
      <c r="B1034" s="2" t="b">
        <v>0</v>
      </c>
      <c r="C1034" s="2" t="s">
        <v>3251</v>
      </c>
      <c r="D1034" s="2">
        <v>4</v>
      </c>
      <c r="E1034" s="2">
        <v>2</v>
      </c>
      <c r="F1034" s="2" t="s">
        <v>1503</v>
      </c>
    </row>
    <row r="1035" spans="1:6" ht="75" x14ac:dyDescent="0.25">
      <c r="A1035" s="2" t="s">
        <v>3252</v>
      </c>
      <c r="B1035" s="2" t="b">
        <v>1</v>
      </c>
      <c r="C1035" s="2" t="s">
        <v>3253</v>
      </c>
      <c r="D1035" s="2">
        <v>4</v>
      </c>
      <c r="E1035" s="2">
        <v>2</v>
      </c>
      <c r="F1035" s="2" t="s">
        <v>1503</v>
      </c>
    </row>
    <row r="1036" spans="1:6" ht="75" x14ac:dyDescent="0.25">
      <c r="A1036" s="2" t="s">
        <v>3254</v>
      </c>
      <c r="B1036" s="2" t="b">
        <v>0</v>
      </c>
      <c r="C1036" s="2" t="s">
        <v>3255</v>
      </c>
      <c r="D1036" s="2">
        <v>3</v>
      </c>
      <c r="E1036" s="2">
        <v>2</v>
      </c>
      <c r="F1036" s="2" t="s">
        <v>1503</v>
      </c>
    </row>
    <row r="1037" spans="1:6" ht="75" x14ac:dyDescent="0.25">
      <c r="A1037" s="2" t="s">
        <v>808</v>
      </c>
      <c r="B1037" s="2" t="b">
        <v>1</v>
      </c>
      <c r="C1037" s="2" t="s">
        <v>1961</v>
      </c>
      <c r="D1037" s="2">
        <v>6</v>
      </c>
      <c r="E1037" s="2">
        <v>1</v>
      </c>
      <c r="F1037" s="2" t="s">
        <v>1503</v>
      </c>
    </row>
    <row r="1038" spans="1:6" ht="75" x14ac:dyDescent="0.25">
      <c r="A1038" s="2" t="s">
        <v>810</v>
      </c>
      <c r="B1038" s="2" t="b">
        <v>1</v>
      </c>
      <c r="C1038" s="2" t="s">
        <v>1963</v>
      </c>
      <c r="D1038" s="2">
        <v>6</v>
      </c>
      <c r="E1038" s="2">
        <v>1</v>
      </c>
      <c r="F1038" s="2" t="s">
        <v>1503</v>
      </c>
    </row>
    <row r="1039" spans="1:6" ht="75" x14ac:dyDescent="0.25">
      <c r="A1039" s="2" t="s">
        <v>813</v>
      </c>
      <c r="B1039" s="2" t="b">
        <v>1</v>
      </c>
      <c r="C1039" s="2" t="s">
        <v>1963</v>
      </c>
      <c r="D1039" s="2">
        <v>6</v>
      </c>
      <c r="E1039" s="2">
        <v>1</v>
      </c>
      <c r="F1039" s="2" t="s">
        <v>1503</v>
      </c>
    </row>
    <row r="1040" spans="1:6" ht="75" x14ac:dyDescent="0.25">
      <c r="A1040" s="2" t="s">
        <v>804</v>
      </c>
      <c r="B1040" s="2" t="b">
        <v>1</v>
      </c>
      <c r="C1040" s="2" t="s">
        <v>3256</v>
      </c>
      <c r="D1040" s="2">
        <v>6</v>
      </c>
      <c r="E1040" s="2">
        <v>1</v>
      </c>
      <c r="F1040" s="2" t="s">
        <v>1503</v>
      </c>
    </row>
    <row r="1041" spans="1:6" ht="75" x14ac:dyDescent="0.25">
      <c r="A1041" s="2" t="s">
        <v>3257</v>
      </c>
      <c r="B1041" s="2" t="b">
        <v>0</v>
      </c>
      <c r="C1041" s="2" t="s">
        <v>1966</v>
      </c>
      <c r="D1041" s="2">
        <v>3</v>
      </c>
      <c r="E1041" s="2">
        <v>2</v>
      </c>
      <c r="F1041" s="2" t="s">
        <v>1503</v>
      </c>
    </row>
    <row r="1042" spans="1:6" ht="75" x14ac:dyDescent="0.25">
      <c r="A1042" s="2" t="s">
        <v>809</v>
      </c>
      <c r="B1042" s="2" t="b">
        <v>1</v>
      </c>
      <c r="C1042" s="2" t="s">
        <v>1968</v>
      </c>
      <c r="D1042" s="2">
        <v>6</v>
      </c>
      <c r="E1042" s="2">
        <v>1</v>
      </c>
      <c r="F1042" s="2" t="s">
        <v>1503</v>
      </c>
    </row>
    <row r="1043" spans="1:6" ht="75" x14ac:dyDescent="0.25">
      <c r="A1043" s="2" t="s">
        <v>806</v>
      </c>
      <c r="B1043" s="2" t="b">
        <v>1</v>
      </c>
      <c r="C1043" s="2" t="s">
        <v>1970</v>
      </c>
      <c r="D1043" s="2">
        <v>6</v>
      </c>
      <c r="E1043" s="2">
        <v>1</v>
      </c>
      <c r="F1043" s="2" t="s">
        <v>1503</v>
      </c>
    </row>
    <row r="1044" spans="1:6" ht="75" x14ac:dyDescent="0.25">
      <c r="A1044" s="2" t="s">
        <v>805</v>
      </c>
      <c r="B1044" s="2" t="b">
        <v>1</v>
      </c>
      <c r="C1044" s="2" t="s">
        <v>3256</v>
      </c>
      <c r="D1044" s="2">
        <v>6</v>
      </c>
      <c r="E1044" s="2">
        <v>1</v>
      </c>
      <c r="F1044" s="2" t="s">
        <v>1503</v>
      </c>
    </row>
    <row r="1045" spans="1:6" ht="75" x14ac:dyDescent="0.25">
      <c r="A1045" s="2" t="s">
        <v>807</v>
      </c>
      <c r="B1045" s="2" t="b">
        <v>1</v>
      </c>
      <c r="C1045" s="2" t="s">
        <v>1976</v>
      </c>
      <c r="D1045" s="2">
        <v>6</v>
      </c>
      <c r="E1045" s="2">
        <v>1</v>
      </c>
      <c r="F1045" s="2" t="s">
        <v>1503</v>
      </c>
    </row>
    <row r="1046" spans="1:6" ht="75" x14ac:dyDescent="0.25">
      <c r="A1046" s="2" t="s">
        <v>3258</v>
      </c>
      <c r="B1046" s="2" t="b">
        <v>0</v>
      </c>
      <c r="C1046" s="2" t="s">
        <v>1966</v>
      </c>
      <c r="D1046" s="2">
        <v>3</v>
      </c>
      <c r="E1046" s="2">
        <v>2</v>
      </c>
      <c r="F1046" s="2" t="s">
        <v>1503</v>
      </c>
    </row>
    <row r="1047" spans="1:6" ht="75" x14ac:dyDescent="0.25">
      <c r="A1047" s="2" t="s">
        <v>812</v>
      </c>
      <c r="B1047" s="2" t="b">
        <v>1</v>
      </c>
      <c r="C1047" s="2" t="s">
        <v>1979</v>
      </c>
      <c r="D1047" s="2">
        <v>6</v>
      </c>
      <c r="E1047" s="2">
        <v>1</v>
      </c>
      <c r="F1047" s="2" t="s">
        <v>1503</v>
      </c>
    </row>
    <row r="1048" spans="1:6" ht="75" x14ac:dyDescent="0.25">
      <c r="A1048" s="2" t="s">
        <v>811</v>
      </c>
      <c r="B1048" s="2" t="b">
        <v>1</v>
      </c>
      <c r="C1048" s="2" t="s">
        <v>3259</v>
      </c>
      <c r="D1048" s="2">
        <v>6</v>
      </c>
      <c r="E1048" s="2">
        <v>2</v>
      </c>
      <c r="F1048" s="2" t="s">
        <v>1503</v>
      </c>
    </row>
    <row r="1049" spans="1:6" ht="75" x14ac:dyDescent="0.25">
      <c r="A1049" s="2" t="s">
        <v>803</v>
      </c>
      <c r="B1049" s="2" t="b">
        <v>1</v>
      </c>
      <c r="C1049" s="2" t="s">
        <v>1983</v>
      </c>
      <c r="D1049" s="2">
        <v>6</v>
      </c>
      <c r="E1049" s="2">
        <v>1</v>
      </c>
      <c r="F1049" s="2" t="s">
        <v>1503</v>
      </c>
    </row>
    <row r="1050" spans="1:6" ht="75" x14ac:dyDescent="0.25">
      <c r="A1050" s="2" t="s">
        <v>802</v>
      </c>
      <c r="B1050" s="2" t="b">
        <v>1</v>
      </c>
      <c r="C1050" s="2" t="s">
        <v>1987</v>
      </c>
      <c r="D1050" s="2">
        <v>6</v>
      </c>
      <c r="E1050" s="2">
        <v>1</v>
      </c>
      <c r="F1050" s="2" t="s">
        <v>1503</v>
      </c>
    </row>
    <row r="1051" spans="1:6" ht="75" x14ac:dyDescent="0.25">
      <c r="A1051" s="2" t="s">
        <v>801</v>
      </c>
      <c r="B1051" s="2" t="b">
        <v>1</v>
      </c>
      <c r="C1051" s="2" t="s">
        <v>3260</v>
      </c>
      <c r="D1051" s="2">
        <v>6</v>
      </c>
      <c r="E1051" s="2">
        <v>1</v>
      </c>
      <c r="F1051" s="2" t="s">
        <v>1503</v>
      </c>
    </row>
    <row r="1052" spans="1:6" ht="75" x14ac:dyDescent="0.25">
      <c r="A1052" s="2" t="s">
        <v>3261</v>
      </c>
      <c r="B1052" s="2" t="b">
        <v>0</v>
      </c>
      <c r="C1052" s="2" t="s">
        <v>3262</v>
      </c>
      <c r="D1052" s="2">
        <v>3</v>
      </c>
      <c r="E1052" s="2">
        <v>2</v>
      </c>
      <c r="F1052" s="2" t="s">
        <v>1503</v>
      </c>
    </row>
    <row r="1053" spans="1:6" ht="75" x14ac:dyDescent="0.25">
      <c r="A1053" s="2" t="s">
        <v>3263</v>
      </c>
      <c r="B1053" s="2" t="b">
        <v>1</v>
      </c>
      <c r="C1053" s="2" t="s">
        <v>3264</v>
      </c>
      <c r="D1053" s="2">
        <v>3</v>
      </c>
      <c r="E1053" s="2">
        <v>2</v>
      </c>
      <c r="F1053" s="2" t="s">
        <v>1503</v>
      </c>
    </row>
    <row r="1054" spans="1:6" ht="75" x14ac:dyDescent="0.25">
      <c r="A1054" s="2" t="s">
        <v>3265</v>
      </c>
      <c r="B1054" s="2" t="b">
        <v>1</v>
      </c>
      <c r="C1054" s="2" t="s">
        <v>3266</v>
      </c>
      <c r="D1054" s="2">
        <v>3</v>
      </c>
      <c r="E1054" s="2">
        <v>2</v>
      </c>
      <c r="F1054" s="2" t="s">
        <v>1503</v>
      </c>
    </row>
    <row r="1055" spans="1:6" ht="75" x14ac:dyDescent="0.25">
      <c r="A1055" s="2" t="s">
        <v>3267</v>
      </c>
      <c r="B1055" s="2" t="b">
        <v>1</v>
      </c>
      <c r="C1055" s="2" t="s">
        <v>3268</v>
      </c>
      <c r="D1055" s="2">
        <v>4</v>
      </c>
      <c r="E1055" s="2">
        <v>2</v>
      </c>
      <c r="F1055" s="2" t="s">
        <v>1503</v>
      </c>
    </row>
    <row r="1056" spans="1:6" ht="75" x14ac:dyDescent="0.25">
      <c r="A1056" s="2" t="s">
        <v>3269</v>
      </c>
      <c r="B1056" s="2" t="b">
        <v>0</v>
      </c>
      <c r="C1056" s="2" t="s">
        <v>3270</v>
      </c>
      <c r="D1056" s="2">
        <v>4</v>
      </c>
      <c r="E1056" s="2">
        <v>2</v>
      </c>
      <c r="F1056" s="2" t="s">
        <v>1503</v>
      </c>
    </row>
    <row r="1057" spans="1:6" ht="75" x14ac:dyDescent="0.25">
      <c r="A1057" s="2" t="s">
        <v>3271</v>
      </c>
      <c r="B1057" s="2" t="b">
        <v>0</v>
      </c>
      <c r="C1057" s="2" t="s">
        <v>3272</v>
      </c>
      <c r="D1057" s="2">
        <v>4</v>
      </c>
      <c r="E1057" s="2">
        <v>2</v>
      </c>
      <c r="F1057" s="2" t="s">
        <v>1503</v>
      </c>
    </row>
    <row r="1058" spans="1:6" ht="75" x14ac:dyDescent="0.25">
      <c r="A1058" s="2" t="s">
        <v>3273</v>
      </c>
      <c r="B1058" s="2" t="b">
        <v>0</v>
      </c>
      <c r="C1058" s="2" t="s">
        <v>3274</v>
      </c>
      <c r="D1058" s="2">
        <v>4</v>
      </c>
      <c r="E1058" s="2">
        <v>2</v>
      </c>
      <c r="F1058" s="2" t="s">
        <v>1503</v>
      </c>
    </row>
    <row r="1059" spans="1:6" ht="75" x14ac:dyDescent="0.25">
      <c r="A1059" s="2" t="s">
        <v>3275</v>
      </c>
      <c r="B1059" s="2" t="b">
        <v>0</v>
      </c>
      <c r="C1059" s="2" t="s">
        <v>3276</v>
      </c>
      <c r="D1059" s="2">
        <v>4</v>
      </c>
      <c r="E1059" s="2">
        <v>2</v>
      </c>
      <c r="F1059" s="2" t="s">
        <v>1503</v>
      </c>
    </row>
    <row r="1060" spans="1:6" ht="75" x14ac:dyDescent="0.25">
      <c r="A1060" s="2" t="s">
        <v>3277</v>
      </c>
      <c r="B1060" s="2" t="b">
        <v>1</v>
      </c>
      <c r="C1060" s="2" t="s">
        <v>3278</v>
      </c>
      <c r="D1060" s="2">
        <v>1</v>
      </c>
      <c r="E1060" s="2">
        <v>1</v>
      </c>
      <c r="F1060" s="2" t="s">
        <v>1503</v>
      </c>
    </row>
    <row r="1061" spans="1:6" ht="75" x14ac:dyDescent="0.25">
      <c r="A1061" s="2" t="s">
        <v>3279</v>
      </c>
      <c r="B1061" s="2" t="b">
        <v>1</v>
      </c>
      <c r="C1061" s="2" t="s">
        <v>3280</v>
      </c>
      <c r="D1061" s="2">
        <v>1</v>
      </c>
      <c r="E1061" s="2">
        <v>1</v>
      </c>
      <c r="F1061" s="2" t="s">
        <v>1503</v>
      </c>
    </row>
    <row r="1062" spans="1:6" ht="75" x14ac:dyDescent="0.25">
      <c r="A1062" s="2" t="s">
        <v>3281</v>
      </c>
      <c r="B1062" s="2" t="b">
        <v>1</v>
      </c>
      <c r="C1062" s="2" t="s">
        <v>2003</v>
      </c>
      <c r="D1062" s="2">
        <v>4</v>
      </c>
      <c r="E1062" s="2">
        <v>2</v>
      </c>
      <c r="F1062" s="2" t="s">
        <v>1503</v>
      </c>
    </row>
    <row r="1063" spans="1:6" ht="75" x14ac:dyDescent="0.25">
      <c r="A1063" s="2" t="s">
        <v>3282</v>
      </c>
      <c r="B1063" s="2" t="b">
        <v>1</v>
      </c>
      <c r="C1063" s="2" t="s">
        <v>3283</v>
      </c>
      <c r="D1063" s="2">
        <v>4</v>
      </c>
      <c r="E1063" s="2">
        <v>2</v>
      </c>
      <c r="F1063" s="2" t="s">
        <v>1503</v>
      </c>
    </row>
    <row r="1064" spans="1:6" ht="75" x14ac:dyDescent="0.25">
      <c r="A1064" s="2" t="s">
        <v>3284</v>
      </c>
      <c r="B1064" s="2" t="b">
        <v>1</v>
      </c>
      <c r="C1064" s="2" t="s">
        <v>3285</v>
      </c>
      <c r="D1064" s="2">
        <v>4</v>
      </c>
      <c r="E1064" s="2">
        <v>2</v>
      </c>
      <c r="F1064" s="2" t="s">
        <v>1503</v>
      </c>
    </row>
    <row r="1065" spans="1:6" ht="75" x14ac:dyDescent="0.25">
      <c r="A1065" s="2" t="s">
        <v>3286</v>
      </c>
      <c r="B1065" s="2" t="b">
        <v>0</v>
      </c>
      <c r="C1065" s="2" t="s">
        <v>3287</v>
      </c>
      <c r="D1065" s="2">
        <v>4</v>
      </c>
      <c r="E1065" s="2">
        <v>2</v>
      </c>
      <c r="F1065" s="2" t="s">
        <v>1503</v>
      </c>
    </row>
    <row r="1066" spans="1:6" ht="75" x14ac:dyDescent="0.25">
      <c r="A1066" s="2" t="s">
        <v>3288</v>
      </c>
      <c r="B1066" s="2" t="b">
        <v>1</v>
      </c>
      <c r="C1066" s="2" t="s">
        <v>3289</v>
      </c>
      <c r="D1066" s="2">
        <v>3</v>
      </c>
      <c r="E1066" s="2">
        <v>2</v>
      </c>
      <c r="F1066" s="2" t="s">
        <v>1503</v>
      </c>
    </row>
    <row r="1067" spans="1:6" ht="75" x14ac:dyDescent="0.25">
      <c r="A1067" s="2" t="s">
        <v>3290</v>
      </c>
      <c r="B1067" s="2" t="b">
        <v>1</v>
      </c>
      <c r="C1067" s="2" t="s">
        <v>3291</v>
      </c>
      <c r="D1067" s="2">
        <v>4</v>
      </c>
      <c r="E1067" s="2">
        <v>2</v>
      </c>
      <c r="F1067" s="2" t="s">
        <v>1503</v>
      </c>
    </row>
    <row r="1068" spans="1:6" ht="75" x14ac:dyDescent="0.25">
      <c r="A1068" s="2" t="s">
        <v>3292</v>
      </c>
      <c r="B1068" s="2" t="b">
        <v>1</v>
      </c>
      <c r="C1068" s="2" t="s">
        <v>3293</v>
      </c>
      <c r="D1068" s="2">
        <v>2</v>
      </c>
      <c r="E1068" s="2">
        <v>2</v>
      </c>
      <c r="F1068" s="2" t="s">
        <v>1503</v>
      </c>
    </row>
    <row r="1069" spans="1:6" ht="75" x14ac:dyDescent="0.25">
      <c r="A1069" s="2" t="s">
        <v>3294</v>
      </c>
      <c r="B1069" s="2" t="b">
        <v>1</v>
      </c>
      <c r="C1069" s="2" t="s">
        <v>3295</v>
      </c>
      <c r="D1069" s="2">
        <v>4</v>
      </c>
      <c r="E1069" s="2">
        <v>2</v>
      </c>
      <c r="F1069" s="2" t="s">
        <v>1503</v>
      </c>
    </row>
    <row r="1070" spans="1:6" ht="75" x14ac:dyDescent="0.25">
      <c r="A1070" s="2" t="s">
        <v>3296</v>
      </c>
      <c r="B1070" s="2" t="b">
        <v>1</v>
      </c>
      <c r="C1070" s="2" t="s">
        <v>3297</v>
      </c>
      <c r="D1070" s="2">
        <v>2</v>
      </c>
      <c r="E1070" s="2">
        <v>2</v>
      </c>
      <c r="F1070" s="2" t="s">
        <v>1503</v>
      </c>
    </row>
    <row r="1071" spans="1:6" ht="75" x14ac:dyDescent="0.25">
      <c r="A1071" s="2" t="s">
        <v>3298</v>
      </c>
      <c r="B1071" s="2" t="b">
        <v>1</v>
      </c>
      <c r="C1071" s="2" t="s">
        <v>3299</v>
      </c>
      <c r="D1071" s="2">
        <v>2</v>
      </c>
      <c r="E1071" s="2">
        <v>2</v>
      </c>
      <c r="F1071" s="2" t="s">
        <v>1503</v>
      </c>
    </row>
    <row r="1072" spans="1:6" ht="75" x14ac:dyDescent="0.25">
      <c r="A1072" s="2" t="s">
        <v>3300</v>
      </c>
      <c r="B1072" s="2" t="b">
        <v>1</v>
      </c>
      <c r="C1072" s="2" t="s">
        <v>3301</v>
      </c>
      <c r="D1072" s="2">
        <v>4</v>
      </c>
      <c r="E1072" s="2">
        <v>2</v>
      </c>
      <c r="F1072" s="2" t="s">
        <v>1503</v>
      </c>
    </row>
    <row r="1073" spans="1:6" ht="75" x14ac:dyDescent="0.25">
      <c r="A1073" s="2" t="s">
        <v>3302</v>
      </c>
      <c r="B1073" s="2" t="b">
        <v>1</v>
      </c>
      <c r="C1073" s="2" t="s">
        <v>3301</v>
      </c>
      <c r="D1073" s="2">
        <v>4</v>
      </c>
      <c r="E1073" s="2">
        <v>2</v>
      </c>
      <c r="F1073" s="2" t="s">
        <v>1503</v>
      </c>
    </row>
    <row r="1074" spans="1:6" ht="75" x14ac:dyDescent="0.25">
      <c r="A1074" s="2" t="s">
        <v>3303</v>
      </c>
      <c r="B1074" s="2" t="b">
        <v>1</v>
      </c>
      <c r="C1074" s="2" t="s">
        <v>3301</v>
      </c>
      <c r="D1074" s="2">
        <v>4</v>
      </c>
      <c r="E1074" s="2">
        <v>2</v>
      </c>
      <c r="F1074" s="2" t="s">
        <v>1503</v>
      </c>
    </row>
    <row r="1075" spans="1:6" ht="75" x14ac:dyDescent="0.25">
      <c r="A1075" s="2" t="s">
        <v>3304</v>
      </c>
      <c r="B1075" s="2" t="b">
        <v>1</v>
      </c>
      <c r="C1075" s="2" t="s">
        <v>3301</v>
      </c>
      <c r="D1075" s="2">
        <v>4</v>
      </c>
      <c r="E1075" s="2">
        <v>2</v>
      </c>
      <c r="F1075" s="2" t="s">
        <v>1503</v>
      </c>
    </row>
    <row r="1076" spans="1:6" ht="75" x14ac:dyDescent="0.25">
      <c r="A1076" s="2" t="s">
        <v>3305</v>
      </c>
      <c r="B1076" s="2" t="b">
        <v>1</v>
      </c>
      <c r="C1076" s="2" t="s">
        <v>3301</v>
      </c>
      <c r="D1076" s="2">
        <v>4</v>
      </c>
      <c r="E1076" s="2">
        <v>2</v>
      </c>
      <c r="F1076" s="2" t="s">
        <v>1503</v>
      </c>
    </row>
    <row r="1077" spans="1:6" ht="75" x14ac:dyDescent="0.25">
      <c r="A1077" s="2" t="s">
        <v>3306</v>
      </c>
      <c r="B1077" s="2" t="b">
        <v>1</v>
      </c>
      <c r="C1077" s="2" t="s">
        <v>3301</v>
      </c>
      <c r="D1077" s="2">
        <v>4</v>
      </c>
      <c r="E1077" s="2">
        <v>2</v>
      </c>
      <c r="F1077" s="2" t="s">
        <v>1503</v>
      </c>
    </row>
    <row r="1078" spans="1:6" ht="75" x14ac:dyDescent="0.25">
      <c r="A1078" s="2" t="s">
        <v>3307</v>
      </c>
      <c r="B1078" s="2" t="b">
        <v>1</v>
      </c>
      <c r="C1078" s="2" t="s">
        <v>3308</v>
      </c>
      <c r="D1078" s="2">
        <v>4</v>
      </c>
      <c r="E1078" s="2">
        <v>2</v>
      </c>
      <c r="F1078" s="2" t="s">
        <v>1503</v>
      </c>
    </row>
    <row r="1079" spans="1:6" ht="75" x14ac:dyDescent="0.25">
      <c r="A1079" s="2" t="s">
        <v>3309</v>
      </c>
      <c r="B1079" s="2" t="b">
        <v>1</v>
      </c>
      <c r="C1079" s="2" t="s">
        <v>3310</v>
      </c>
      <c r="D1079" s="2">
        <v>4</v>
      </c>
      <c r="E1079" s="2">
        <v>2</v>
      </c>
      <c r="F1079" s="2" t="s">
        <v>1503</v>
      </c>
    </row>
    <row r="1080" spans="1:6" ht="75" x14ac:dyDescent="0.25">
      <c r="A1080" s="2" t="s">
        <v>3311</v>
      </c>
      <c r="B1080" s="2" t="b">
        <v>1</v>
      </c>
      <c r="C1080" s="2" t="s">
        <v>3312</v>
      </c>
      <c r="D1080" s="2">
        <v>4</v>
      </c>
      <c r="E1080" s="2">
        <v>2</v>
      </c>
      <c r="F1080" s="2" t="s">
        <v>1503</v>
      </c>
    </row>
    <row r="1081" spans="1:6" ht="75" x14ac:dyDescent="0.25">
      <c r="A1081" s="2" t="s">
        <v>3313</v>
      </c>
      <c r="B1081" s="2" t="b">
        <v>1</v>
      </c>
      <c r="C1081" s="2" t="s">
        <v>3314</v>
      </c>
      <c r="D1081" s="2">
        <v>4</v>
      </c>
      <c r="E1081" s="2">
        <v>2</v>
      </c>
      <c r="F1081" s="2" t="s">
        <v>1503</v>
      </c>
    </row>
    <row r="1082" spans="1:6" ht="75" x14ac:dyDescent="0.25">
      <c r="A1082" s="2" t="s">
        <v>3315</v>
      </c>
      <c r="B1082" s="2" t="b">
        <v>1</v>
      </c>
      <c r="C1082" s="2" t="s">
        <v>3316</v>
      </c>
      <c r="D1082" s="2">
        <v>4</v>
      </c>
      <c r="E1082" s="2">
        <v>2</v>
      </c>
      <c r="F1082" s="2" t="s">
        <v>1503</v>
      </c>
    </row>
    <row r="1083" spans="1:6" ht="75" x14ac:dyDescent="0.25">
      <c r="A1083" s="2" t="s">
        <v>3317</v>
      </c>
      <c r="B1083" s="2" t="b">
        <v>1</v>
      </c>
      <c r="C1083" s="2" t="s">
        <v>3318</v>
      </c>
      <c r="D1083" s="2">
        <v>4</v>
      </c>
      <c r="E1083" s="2">
        <v>2</v>
      </c>
      <c r="F1083" s="2" t="s">
        <v>1503</v>
      </c>
    </row>
    <row r="1084" spans="1:6" ht="75" x14ac:dyDescent="0.25">
      <c r="A1084" s="2" t="s">
        <v>3319</v>
      </c>
      <c r="B1084" s="2" t="b">
        <v>1</v>
      </c>
      <c r="C1084" s="2" t="s">
        <v>3320</v>
      </c>
      <c r="D1084" s="2">
        <v>2</v>
      </c>
      <c r="E1084" s="2">
        <v>2</v>
      </c>
      <c r="F1084" s="2" t="s">
        <v>1503</v>
      </c>
    </row>
    <row r="1085" spans="1:6" ht="75" x14ac:dyDescent="0.25">
      <c r="A1085" s="2" t="s">
        <v>3321</v>
      </c>
      <c r="B1085" s="2" t="b">
        <v>1</v>
      </c>
      <c r="C1085" s="2" t="s">
        <v>3322</v>
      </c>
      <c r="D1085" s="2">
        <v>2</v>
      </c>
      <c r="E1085" s="2">
        <v>2</v>
      </c>
      <c r="F1085" s="2" t="s">
        <v>1503</v>
      </c>
    </row>
    <row r="1086" spans="1:6" ht="75" x14ac:dyDescent="0.25">
      <c r="A1086" s="2" t="s">
        <v>3323</v>
      </c>
      <c r="B1086" s="2" t="b">
        <v>1</v>
      </c>
      <c r="C1086" s="2" t="s">
        <v>3324</v>
      </c>
      <c r="D1086" s="2">
        <v>2</v>
      </c>
      <c r="E1086" s="2">
        <v>2</v>
      </c>
      <c r="F1086" s="2" t="s">
        <v>1503</v>
      </c>
    </row>
    <row r="1087" spans="1:6" ht="75" x14ac:dyDescent="0.25">
      <c r="A1087" s="2" t="s">
        <v>3325</v>
      </c>
      <c r="B1087" s="2" t="b">
        <v>1</v>
      </c>
      <c r="C1087" s="2" t="s">
        <v>3326</v>
      </c>
      <c r="D1087" s="2">
        <v>2</v>
      </c>
      <c r="E1087" s="2">
        <v>2</v>
      </c>
      <c r="F1087" s="2" t="s">
        <v>1503</v>
      </c>
    </row>
    <row r="1088" spans="1:6" ht="75" x14ac:dyDescent="0.25">
      <c r="A1088" s="2" t="s">
        <v>3327</v>
      </c>
      <c r="B1088" s="2" t="b">
        <v>1</v>
      </c>
      <c r="C1088" s="2" t="s">
        <v>3328</v>
      </c>
      <c r="D1088" s="2">
        <v>2</v>
      </c>
      <c r="E1088" s="2">
        <v>2</v>
      </c>
      <c r="F1088" s="2" t="s">
        <v>1503</v>
      </c>
    </row>
    <row r="1089" spans="1:6" ht="75" x14ac:dyDescent="0.25">
      <c r="A1089" s="2" t="s">
        <v>3329</v>
      </c>
      <c r="B1089" s="2" t="b">
        <v>1</v>
      </c>
      <c r="C1089" s="2" t="s">
        <v>3330</v>
      </c>
      <c r="D1089" s="2">
        <v>2</v>
      </c>
      <c r="E1089" s="2">
        <v>2</v>
      </c>
      <c r="F1089" s="2" t="s">
        <v>1503</v>
      </c>
    </row>
    <row r="1090" spans="1:6" ht="75" x14ac:dyDescent="0.25">
      <c r="A1090" s="2" t="s">
        <v>3331</v>
      </c>
      <c r="B1090" s="2" t="b">
        <v>1</v>
      </c>
      <c r="C1090" s="2" t="s">
        <v>3332</v>
      </c>
      <c r="D1090" s="2">
        <v>2</v>
      </c>
      <c r="E1090" s="2">
        <v>2</v>
      </c>
      <c r="F1090" s="2" t="s">
        <v>1503</v>
      </c>
    </row>
    <row r="1091" spans="1:6" ht="75" x14ac:dyDescent="0.25">
      <c r="A1091" s="2" t="s">
        <v>3333</v>
      </c>
      <c r="B1091" s="2" t="b">
        <v>1</v>
      </c>
      <c r="C1091" s="2" t="s">
        <v>3334</v>
      </c>
      <c r="D1091" s="2">
        <v>2</v>
      </c>
      <c r="E1091" s="2">
        <v>2</v>
      </c>
      <c r="F1091" s="2" t="s">
        <v>1503</v>
      </c>
    </row>
    <row r="1092" spans="1:6" ht="75" x14ac:dyDescent="0.25">
      <c r="A1092" s="2" t="s">
        <v>3335</v>
      </c>
      <c r="B1092" s="2" t="b">
        <v>1</v>
      </c>
      <c r="C1092" s="2" t="s">
        <v>3336</v>
      </c>
      <c r="D1092" s="2">
        <v>2</v>
      </c>
      <c r="E1092" s="2">
        <v>2</v>
      </c>
      <c r="F1092" s="2" t="s">
        <v>1503</v>
      </c>
    </row>
    <row r="1093" spans="1:6" ht="75" x14ac:dyDescent="0.25">
      <c r="A1093" s="2" t="s">
        <v>3337</v>
      </c>
      <c r="B1093" s="2" t="b">
        <v>1</v>
      </c>
      <c r="C1093" s="2" t="s">
        <v>3338</v>
      </c>
      <c r="D1093" s="2">
        <v>2</v>
      </c>
      <c r="E1093" s="2">
        <v>2</v>
      </c>
      <c r="F1093" s="2" t="s">
        <v>1503</v>
      </c>
    </row>
    <row r="1094" spans="1:6" ht="75" x14ac:dyDescent="0.25">
      <c r="A1094" s="2" t="s">
        <v>3339</v>
      </c>
      <c r="B1094" s="2" t="b">
        <v>1</v>
      </c>
      <c r="C1094" s="2" t="s">
        <v>3340</v>
      </c>
      <c r="D1094" s="2">
        <v>2</v>
      </c>
      <c r="E1094" s="2">
        <v>2</v>
      </c>
      <c r="F1094" s="2" t="s">
        <v>1503</v>
      </c>
    </row>
    <row r="1095" spans="1:6" ht="75" x14ac:dyDescent="0.25">
      <c r="A1095" s="2" t="s">
        <v>3341</v>
      </c>
      <c r="B1095" s="2" t="b">
        <v>1</v>
      </c>
      <c r="C1095" s="2" t="s">
        <v>3342</v>
      </c>
      <c r="D1095" s="2">
        <v>1</v>
      </c>
      <c r="E1095" s="2">
        <v>1</v>
      </c>
      <c r="F1095" s="2" t="s">
        <v>1503</v>
      </c>
    </row>
    <row r="1096" spans="1:6" ht="75" x14ac:dyDescent="0.25">
      <c r="A1096" s="2" t="s">
        <v>3343</v>
      </c>
      <c r="B1096" s="2" t="b">
        <v>1</v>
      </c>
      <c r="C1096" s="2" t="s">
        <v>3344</v>
      </c>
      <c r="D1096" s="2">
        <v>1</v>
      </c>
      <c r="E1096" s="2">
        <v>1</v>
      </c>
      <c r="F1096" s="2" t="s">
        <v>1503</v>
      </c>
    </row>
    <row r="1097" spans="1:6" ht="75" x14ac:dyDescent="0.25">
      <c r="A1097" s="2" t="s">
        <v>3345</v>
      </c>
      <c r="B1097" s="2" t="b">
        <v>1</v>
      </c>
      <c r="C1097" s="2" t="s">
        <v>3346</v>
      </c>
      <c r="D1097" s="2">
        <v>1</v>
      </c>
      <c r="E1097" s="2">
        <v>1</v>
      </c>
      <c r="F1097" s="2" t="s">
        <v>1503</v>
      </c>
    </row>
    <row r="1098" spans="1:6" ht="75" x14ac:dyDescent="0.25">
      <c r="A1098" s="2" t="s">
        <v>3347</v>
      </c>
      <c r="B1098" s="2" t="b">
        <v>1</v>
      </c>
      <c r="C1098" s="2" t="s">
        <v>3348</v>
      </c>
      <c r="D1098" s="2">
        <v>1</v>
      </c>
      <c r="E1098" s="2">
        <v>1</v>
      </c>
      <c r="F1098" s="2" t="s">
        <v>1503</v>
      </c>
    </row>
    <row r="1099" spans="1:6" ht="75" x14ac:dyDescent="0.25">
      <c r="A1099" s="2" t="s">
        <v>3349</v>
      </c>
      <c r="B1099" s="2" t="b">
        <v>1</v>
      </c>
      <c r="C1099" s="2" t="s">
        <v>3350</v>
      </c>
      <c r="D1099" s="2">
        <v>2</v>
      </c>
      <c r="E1099" s="2">
        <v>1</v>
      </c>
      <c r="F1099" s="2" t="s">
        <v>1503</v>
      </c>
    </row>
    <row r="1100" spans="1:6" ht="75" x14ac:dyDescent="0.25">
      <c r="A1100" s="2" t="s">
        <v>3351</v>
      </c>
      <c r="B1100" s="2" t="b">
        <v>1</v>
      </c>
      <c r="C1100" s="2" t="s">
        <v>3352</v>
      </c>
      <c r="D1100" s="2">
        <v>2</v>
      </c>
      <c r="E1100" s="2">
        <v>1</v>
      </c>
      <c r="F1100" s="2" t="s">
        <v>1503</v>
      </c>
    </row>
    <row r="1101" spans="1:6" ht="75" x14ac:dyDescent="0.25">
      <c r="A1101" s="2" t="s">
        <v>3353</v>
      </c>
      <c r="B1101" s="2" t="b">
        <v>1</v>
      </c>
      <c r="C1101" s="2" t="s">
        <v>3354</v>
      </c>
      <c r="D1101" s="2">
        <v>2</v>
      </c>
      <c r="E1101" s="2">
        <v>1</v>
      </c>
      <c r="F1101" s="2" t="s">
        <v>1503</v>
      </c>
    </row>
    <row r="1102" spans="1:6" ht="75" x14ac:dyDescent="0.25">
      <c r="A1102" s="2" t="s">
        <v>3355</v>
      </c>
      <c r="B1102" s="2" t="b">
        <v>1</v>
      </c>
      <c r="C1102" s="2" t="s">
        <v>3356</v>
      </c>
      <c r="D1102" s="2">
        <v>2</v>
      </c>
      <c r="E1102" s="2">
        <v>1</v>
      </c>
      <c r="F1102" s="2" t="s">
        <v>1503</v>
      </c>
    </row>
    <row r="1103" spans="1:6" ht="75" x14ac:dyDescent="0.25">
      <c r="A1103" s="2" t="s">
        <v>3357</v>
      </c>
      <c r="B1103" s="2" t="b">
        <v>0</v>
      </c>
      <c r="C1103" s="2" t="s">
        <v>3358</v>
      </c>
      <c r="D1103" s="2">
        <v>4</v>
      </c>
      <c r="E1103" s="2">
        <v>2</v>
      </c>
      <c r="F1103" s="2" t="s">
        <v>1503</v>
      </c>
    </row>
    <row r="1104" spans="1:6" ht="75" x14ac:dyDescent="0.25">
      <c r="A1104" s="2" t="s">
        <v>3359</v>
      </c>
      <c r="B1104" s="2" t="b">
        <v>0</v>
      </c>
      <c r="C1104" s="2" t="s">
        <v>3360</v>
      </c>
      <c r="D1104" s="2">
        <v>4</v>
      </c>
      <c r="E1104" s="2">
        <v>2</v>
      </c>
      <c r="F1104" s="2" t="s">
        <v>1503</v>
      </c>
    </row>
    <row r="1105" spans="1:6" ht="75" x14ac:dyDescent="0.25">
      <c r="A1105" s="2" t="s">
        <v>3361</v>
      </c>
      <c r="B1105" s="2" t="b">
        <v>0</v>
      </c>
      <c r="C1105" s="2" t="s">
        <v>3362</v>
      </c>
      <c r="D1105" s="2">
        <v>4</v>
      </c>
      <c r="E1105" s="2">
        <v>2</v>
      </c>
      <c r="F1105" s="2" t="s">
        <v>1503</v>
      </c>
    </row>
    <row r="1106" spans="1:6" ht="75" x14ac:dyDescent="0.25">
      <c r="A1106" s="2" t="s">
        <v>3363</v>
      </c>
      <c r="B1106" s="2" t="b">
        <v>0</v>
      </c>
      <c r="C1106" s="2" t="s">
        <v>3364</v>
      </c>
      <c r="D1106" s="2">
        <v>4</v>
      </c>
      <c r="E1106" s="2">
        <v>2</v>
      </c>
      <c r="F1106" s="2" t="s">
        <v>1503</v>
      </c>
    </row>
    <row r="1107" spans="1:6" ht="75" x14ac:dyDescent="0.25">
      <c r="A1107" s="2" t="s">
        <v>3365</v>
      </c>
      <c r="B1107" s="2" t="b">
        <v>1</v>
      </c>
      <c r="C1107" s="2" t="s">
        <v>3366</v>
      </c>
      <c r="D1107" s="2">
        <v>4</v>
      </c>
      <c r="E1107" s="2">
        <v>2</v>
      </c>
      <c r="F1107" s="2" t="s">
        <v>1503</v>
      </c>
    </row>
    <row r="1108" spans="1:6" ht="75" x14ac:dyDescent="0.25">
      <c r="A1108" s="2" t="s">
        <v>3367</v>
      </c>
      <c r="B1108" s="2" t="b">
        <v>1</v>
      </c>
      <c r="C1108" s="2" t="s">
        <v>3368</v>
      </c>
      <c r="D1108" s="2">
        <v>1</v>
      </c>
      <c r="E1108" s="2">
        <v>1</v>
      </c>
      <c r="F1108" s="2" t="s">
        <v>1503</v>
      </c>
    </row>
    <row r="1109" spans="1:6" ht="75" x14ac:dyDescent="0.25">
      <c r="A1109" s="2" t="s">
        <v>3369</v>
      </c>
      <c r="B1109" s="2" t="b">
        <v>1</v>
      </c>
      <c r="C1109" s="2" t="s">
        <v>3370</v>
      </c>
      <c r="D1109" s="2">
        <v>2</v>
      </c>
      <c r="E1109" s="2">
        <v>1</v>
      </c>
      <c r="F1109" s="2" t="s">
        <v>1503</v>
      </c>
    </row>
    <row r="1110" spans="1:6" ht="75" x14ac:dyDescent="0.25">
      <c r="A1110" s="2" t="s">
        <v>1375</v>
      </c>
      <c r="B1110" s="2" t="b">
        <v>1</v>
      </c>
      <c r="C1110" s="2" t="s">
        <v>3371</v>
      </c>
      <c r="D1110" s="2">
        <v>5</v>
      </c>
      <c r="E1110" s="2">
        <v>1</v>
      </c>
      <c r="F1110" s="2" t="s">
        <v>1503</v>
      </c>
    </row>
    <row r="1111" spans="1:6" ht="75" x14ac:dyDescent="0.25">
      <c r="A1111" s="2" t="s">
        <v>1380</v>
      </c>
      <c r="B1111" s="2" t="b">
        <v>1</v>
      </c>
      <c r="C1111" s="2" t="s">
        <v>3372</v>
      </c>
      <c r="D1111" s="2">
        <v>5</v>
      </c>
      <c r="E1111" s="2">
        <v>1</v>
      </c>
      <c r="F1111" s="2" t="s">
        <v>1503</v>
      </c>
    </row>
    <row r="1112" spans="1:6" ht="75" x14ac:dyDescent="0.25">
      <c r="A1112" s="2" t="s">
        <v>1379</v>
      </c>
      <c r="B1112" s="2" t="b">
        <v>1</v>
      </c>
      <c r="C1112" s="2" t="s">
        <v>3373</v>
      </c>
      <c r="D1112" s="2">
        <v>5</v>
      </c>
      <c r="E1112" s="2">
        <v>1</v>
      </c>
      <c r="F1112" s="2" t="s">
        <v>1503</v>
      </c>
    </row>
    <row r="1113" spans="1:6" ht="75" x14ac:dyDescent="0.25">
      <c r="A1113" s="2" t="s">
        <v>1378</v>
      </c>
      <c r="B1113" s="2" t="b">
        <v>1</v>
      </c>
      <c r="C1113" s="2" t="s">
        <v>3374</v>
      </c>
      <c r="D1113" s="2">
        <v>5</v>
      </c>
      <c r="E1113" s="2">
        <v>1</v>
      </c>
      <c r="F1113" s="2" t="s">
        <v>1503</v>
      </c>
    </row>
    <row r="1114" spans="1:6" ht="75" x14ac:dyDescent="0.25">
      <c r="A1114" s="2" t="s">
        <v>1377</v>
      </c>
      <c r="B1114" s="2" t="b">
        <v>1</v>
      </c>
      <c r="C1114" s="2" t="s">
        <v>3375</v>
      </c>
      <c r="D1114" s="2">
        <v>5</v>
      </c>
      <c r="E1114" s="2">
        <v>1</v>
      </c>
      <c r="F1114" s="2" t="s">
        <v>1503</v>
      </c>
    </row>
    <row r="1115" spans="1:6" ht="75" x14ac:dyDescent="0.25">
      <c r="A1115" s="2" t="s">
        <v>1376</v>
      </c>
      <c r="B1115" s="2" t="b">
        <v>1</v>
      </c>
      <c r="C1115" s="2" t="s">
        <v>3376</v>
      </c>
      <c r="D1115" s="2">
        <v>5</v>
      </c>
      <c r="E1115" s="2">
        <v>1</v>
      </c>
      <c r="F1115" s="2" t="s">
        <v>1503</v>
      </c>
    </row>
    <row r="1116" spans="1:6" ht="75" x14ac:dyDescent="0.25">
      <c r="A1116" s="2" t="s">
        <v>1381</v>
      </c>
      <c r="B1116" s="2" t="b">
        <v>1</v>
      </c>
      <c r="C1116" s="2" t="s">
        <v>3377</v>
      </c>
      <c r="D1116" s="2">
        <v>5</v>
      </c>
      <c r="E1116" s="2">
        <v>1</v>
      </c>
      <c r="F1116" s="2" t="s">
        <v>1503</v>
      </c>
    </row>
    <row r="1117" spans="1:6" ht="75" x14ac:dyDescent="0.25">
      <c r="A1117" s="2" t="s">
        <v>284</v>
      </c>
      <c r="B1117" s="2" t="b">
        <v>1</v>
      </c>
      <c r="C1117" s="2" t="s">
        <v>3378</v>
      </c>
      <c r="D1117" s="2">
        <v>6</v>
      </c>
      <c r="E1117" s="2">
        <v>1</v>
      </c>
      <c r="F1117" s="2" t="s">
        <v>1503</v>
      </c>
    </row>
    <row r="1118" spans="1:6" ht="75" x14ac:dyDescent="0.25">
      <c r="A1118" s="2" t="s">
        <v>1055</v>
      </c>
      <c r="B1118" s="2" t="b">
        <v>1</v>
      </c>
      <c r="C1118" s="2" t="s">
        <v>3379</v>
      </c>
      <c r="D1118" s="2">
        <v>6</v>
      </c>
      <c r="E1118" s="2">
        <v>1</v>
      </c>
      <c r="F1118" s="2" t="s">
        <v>1503</v>
      </c>
    </row>
    <row r="1119" spans="1:6" ht="75" x14ac:dyDescent="0.25">
      <c r="A1119" s="2" t="s">
        <v>3380</v>
      </c>
      <c r="B1119" s="2" t="b">
        <v>1</v>
      </c>
      <c r="C1119" s="2" t="s">
        <v>3381</v>
      </c>
      <c r="D1119" s="2">
        <v>3</v>
      </c>
      <c r="E1119" s="2">
        <v>2</v>
      </c>
      <c r="F1119" s="2" t="s">
        <v>1503</v>
      </c>
    </row>
    <row r="1120" spans="1:6" ht="75" x14ac:dyDescent="0.25">
      <c r="A1120" s="2" t="s">
        <v>3382</v>
      </c>
      <c r="B1120" s="2" t="b">
        <v>0</v>
      </c>
      <c r="C1120" s="2" t="s">
        <v>3383</v>
      </c>
      <c r="D1120" s="2">
        <v>4</v>
      </c>
      <c r="E1120" s="2">
        <v>1</v>
      </c>
      <c r="F1120" s="2" t="s">
        <v>1503</v>
      </c>
    </row>
    <row r="1121" spans="1:6" ht="75" x14ac:dyDescent="0.25">
      <c r="A1121" s="2" t="s">
        <v>3384</v>
      </c>
      <c r="B1121" s="2" t="b">
        <v>1</v>
      </c>
      <c r="C1121" s="2" t="s">
        <v>3385</v>
      </c>
      <c r="D1121" s="2">
        <v>3</v>
      </c>
      <c r="E1121" s="2">
        <v>2</v>
      </c>
      <c r="F1121" s="2" t="s">
        <v>1503</v>
      </c>
    </row>
    <row r="1122" spans="1:6" ht="75" x14ac:dyDescent="0.25">
      <c r="A1122" s="2" t="s">
        <v>3386</v>
      </c>
      <c r="B1122" s="2" t="b">
        <v>0</v>
      </c>
      <c r="C1122" s="2" t="s">
        <v>3387</v>
      </c>
      <c r="D1122" s="2">
        <v>4</v>
      </c>
      <c r="E1122" s="2">
        <v>2</v>
      </c>
      <c r="F1122" s="2" t="s">
        <v>1503</v>
      </c>
    </row>
    <row r="1123" spans="1:6" ht="75" x14ac:dyDescent="0.25">
      <c r="A1123" s="2" t="s">
        <v>1061</v>
      </c>
      <c r="B1123" s="2" t="b">
        <v>1</v>
      </c>
      <c r="C1123" s="2" t="s">
        <v>3388</v>
      </c>
      <c r="D1123" s="2">
        <v>6</v>
      </c>
      <c r="E1123" s="2">
        <v>1</v>
      </c>
      <c r="F1123" s="2" t="s">
        <v>1503</v>
      </c>
    </row>
    <row r="1124" spans="1:6" ht="75" x14ac:dyDescent="0.25">
      <c r="A1124" s="2" t="s">
        <v>1060</v>
      </c>
      <c r="B1124" s="2" t="b">
        <v>1</v>
      </c>
      <c r="C1124" s="2" t="s">
        <v>3389</v>
      </c>
      <c r="D1124" s="2">
        <v>6</v>
      </c>
      <c r="E1124" s="2">
        <v>1</v>
      </c>
      <c r="F1124" s="2" t="s">
        <v>1503</v>
      </c>
    </row>
    <row r="1125" spans="1:6" ht="75" x14ac:dyDescent="0.25">
      <c r="A1125" s="2" t="s">
        <v>3390</v>
      </c>
      <c r="B1125" s="2" t="b">
        <v>1</v>
      </c>
      <c r="C1125" s="2" t="s">
        <v>3391</v>
      </c>
      <c r="D1125" s="2">
        <v>2</v>
      </c>
      <c r="E1125" s="2">
        <v>1</v>
      </c>
      <c r="F1125" s="2" t="s">
        <v>1503</v>
      </c>
    </row>
    <row r="1126" spans="1:6" ht="75" x14ac:dyDescent="0.25">
      <c r="A1126" s="2" t="s">
        <v>3392</v>
      </c>
      <c r="B1126" s="2" t="b">
        <v>0</v>
      </c>
      <c r="C1126" s="2" t="s">
        <v>3393</v>
      </c>
      <c r="D1126" s="2">
        <v>4</v>
      </c>
      <c r="E1126" s="2">
        <v>2</v>
      </c>
      <c r="F1126" s="2" t="s">
        <v>1503</v>
      </c>
    </row>
  </sheetData>
  <autoFilter ref="A1:F1126" xr:uid="{00000000-0009-0000-0000-00000F000000}"/>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13"/>
  <sheetViews>
    <sheetView workbookViewId="0"/>
  </sheetViews>
  <sheetFormatPr defaultRowHeight="15" x14ac:dyDescent="0.25"/>
  <cols>
    <col min="1" max="1" width="15" customWidth="1"/>
    <col min="2" max="2" width="100" customWidth="1"/>
  </cols>
  <sheetData>
    <row r="1" spans="1:2" x14ac:dyDescent="0.25">
      <c r="A1" s="1" t="s">
        <v>1499</v>
      </c>
      <c r="B1" s="1" t="s">
        <v>3394</v>
      </c>
    </row>
    <row r="2" spans="1:2" ht="30" x14ac:dyDescent="0.25">
      <c r="A2" s="2" t="s">
        <v>92</v>
      </c>
      <c r="B2" s="2" t="s">
        <v>3395</v>
      </c>
    </row>
    <row r="3" spans="1:2" ht="30" x14ac:dyDescent="0.25">
      <c r="A3" s="2" t="s">
        <v>93</v>
      </c>
      <c r="B3" s="2" t="s">
        <v>3396</v>
      </c>
    </row>
    <row r="4" spans="1:2" ht="30" x14ac:dyDescent="0.25">
      <c r="A4" s="2" t="s">
        <v>94</v>
      </c>
      <c r="B4" s="2" t="s">
        <v>3397</v>
      </c>
    </row>
    <row r="5" spans="1:2" ht="30" x14ac:dyDescent="0.25">
      <c r="A5" s="2" t="s">
        <v>95</v>
      </c>
      <c r="B5" s="2" t="s">
        <v>3398</v>
      </c>
    </row>
    <row r="6" spans="1:2" ht="30" x14ac:dyDescent="0.25">
      <c r="A6" s="2" t="s">
        <v>96</v>
      </c>
      <c r="B6" s="2" t="s">
        <v>3399</v>
      </c>
    </row>
    <row r="7" spans="1:2" ht="30" x14ac:dyDescent="0.25">
      <c r="A7" s="2" t="s">
        <v>97</v>
      </c>
      <c r="B7" s="2" t="s">
        <v>3400</v>
      </c>
    </row>
    <row r="8" spans="1:2" ht="45" x14ac:dyDescent="0.25">
      <c r="A8" s="2" t="s">
        <v>98</v>
      </c>
      <c r="B8" s="2" t="s">
        <v>3401</v>
      </c>
    </row>
    <row r="9" spans="1:2" ht="30" x14ac:dyDescent="0.25">
      <c r="A9" s="2" t="s">
        <v>99</v>
      </c>
      <c r="B9" s="2" t="s">
        <v>3402</v>
      </c>
    </row>
    <row r="10" spans="1:2" ht="30" x14ac:dyDescent="0.25">
      <c r="A10" s="2" t="s">
        <v>100</v>
      </c>
      <c r="B10" s="2" t="s">
        <v>3403</v>
      </c>
    </row>
    <row r="11" spans="1:2" x14ac:dyDescent="0.25">
      <c r="A11" s="2" t="s">
        <v>101</v>
      </c>
      <c r="B11" s="2" t="s">
        <v>3404</v>
      </c>
    </row>
    <row r="12" spans="1:2" ht="30" x14ac:dyDescent="0.25">
      <c r="A12" s="2" t="s">
        <v>102</v>
      </c>
      <c r="B12" s="2" t="s">
        <v>3405</v>
      </c>
    </row>
    <row r="13" spans="1:2" ht="30" x14ac:dyDescent="0.25">
      <c r="A13" s="2" t="s">
        <v>103</v>
      </c>
      <c r="B13" s="2" t="s">
        <v>3406</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
  <sheetViews>
    <sheetView workbookViewId="0"/>
  </sheetViews>
  <sheetFormatPr defaultRowHeight="15" x14ac:dyDescent="0.25"/>
  <cols>
    <col min="1" max="3" width="25" customWidth="1"/>
    <col min="4" max="4" width="24" customWidth="1"/>
    <col min="5" max="5" width="20" customWidth="1"/>
    <col min="6" max="6" width="35" customWidth="1"/>
  </cols>
  <sheetData>
    <row r="1" spans="1:6" x14ac:dyDescent="0.25">
      <c r="A1" s="1" t="s">
        <v>37</v>
      </c>
      <c r="B1" s="1" t="s">
        <v>38</v>
      </c>
      <c r="C1" s="1" t="s">
        <v>39</v>
      </c>
      <c r="D1" s="1" t="s">
        <v>40</v>
      </c>
      <c r="E1" s="1" t="s">
        <v>41</v>
      </c>
      <c r="F1" s="1" t="s">
        <v>42</v>
      </c>
    </row>
    <row r="2" spans="1:6" x14ac:dyDescent="0.25">
      <c r="A2" s="2" t="s">
        <v>43</v>
      </c>
      <c r="B2" s="2"/>
      <c r="C2" s="2" t="s">
        <v>44</v>
      </c>
      <c r="D2" s="2" t="s">
        <v>45</v>
      </c>
      <c r="E2" s="2"/>
      <c r="F2" s="2" t="s">
        <v>46</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
  <sheetViews>
    <sheetView workbookViewId="0"/>
  </sheetViews>
  <sheetFormatPr defaultRowHeight="15" x14ac:dyDescent="0.25"/>
  <cols>
    <col min="1" max="1" width="20" customWidth="1"/>
    <col min="2" max="2" width="13" customWidth="1"/>
    <col min="3" max="3" width="12" customWidth="1"/>
    <col min="4" max="4" width="6.7109375" customWidth="1"/>
    <col min="5" max="5" width="16" customWidth="1"/>
    <col min="6" max="9" width="10" customWidth="1"/>
    <col min="10" max="10" width="10.42578125" customWidth="1"/>
    <col min="11" max="11" width="40" customWidth="1"/>
    <col min="12" max="12" width="9" customWidth="1"/>
  </cols>
  <sheetData>
    <row r="1" spans="1:12" ht="45" x14ac:dyDescent="0.25">
      <c r="A1" s="1" t="s">
        <v>47</v>
      </c>
      <c r="B1" s="1" t="s">
        <v>48</v>
      </c>
      <c r="C1" s="1" t="s">
        <v>49</v>
      </c>
      <c r="D1" s="1" t="s">
        <v>50</v>
      </c>
      <c r="E1" s="1" t="s">
        <v>51</v>
      </c>
      <c r="F1" s="1" t="s">
        <v>52</v>
      </c>
      <c r="G1" s="1" t="s">
        <v>53</v>
      </c>
      <c r="H1" s="1" t="s">
        <v>54</v>
      </c>
      <c r="I1" s="1" t="s">
        <v>55</v>
      </c>
      <c r="J1" s="1" t="s">
        <v>56</v>
      </c>
      <c r="K1" s="1" t="s">
        <v>57</v>
      </c>
      <c r="L1" s="1" t="s">
        <v>58</v>
      </c>
    </row>
    <row r="2" spans="1:12" ht="45" x14ac:dyDescent="0.25">
      <c r="A2" s="2" t="s">
        <v>44</v>
      </c>
      <c r="B2" s="2">
        <v>672</v>
      </c>
      <c r="C2" s="2" t="s">
        <v>59</v>
      </c>
      <c r="D2" s="2">
        <v>39613</v>
      </c>
      <c r="E2" s="2">
        <v>100740</v>
      </c>
      <c r="F2" s="2">
        <v>1379</v>
      </c>
      <c r="G2" s="2">
        <v>283385</v>
      </c>
      <c r="H2" s="2">
        <v>717</v>
      </c>
      <c r="I2" s="2">
        <v>959</v>
      </c>
      <c r="J2" s="2">
        <v>45</v>
      </c>
      <c r="K2" s="2" t="s">
        <v>60</v>
      </c>
      <c r="L2" s="2" t="s">
        <v>61</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
  <sheetViews>
    <sheetView workbookViewId="0"/>
  </sheetViews>
  <sheetFormatPr defaultRowHeight="15" x14ac:dyDescent="0.25"/>
  <cols>
    <col min="1" max="1" width="30" customWidth="1"/>
    <col min="2" max="5" width="15" customWidth="1"/>
  </cols>
  <sheetData>
    <row r="1" spans="1:5" ht="30" x14ac:dyDescent="0.25">
      <c r="A1" s="3" t="s">
        <v>62</v>
      </c>
      <c r="B1" s="3" t="s">
        <v>63</v>
      </c>
      <c r="C1" s="3" t="s">
        <v>64</v>
      </c>
      <c r="D1" s="3" t="s">
        <v>65</v>
      </c>
      <c r="E1" s="3" t="s">
        <v>66</v>
      </c>
    </row>
    <row r="2" spans="1:5" x14ac:dyDescent="0.25">
      <c r="A2" s="2" t="s">
        <v>67</v>
      </c>
      <c r="B2" s="2" t="s">
        <v>68</v>
      </c>
      <c r="C2" s="2">
        <v>0</v>
      </c>
      <c r="D2" s="4" t="s">
        <v>69</v>
      </c>
      <c r="E2" s="2">
        <v>0</v>
      </c>
    </row>
    <row r="3" spans="1:5" ht="30" x14ac:dyDescent="0.25">
      <c r="A3" s="2" t="s">
        <v>70</v>
      </c>
      <c r="B3" s="2" t="s">
        <v>68</v>
      </c>
      <c r="C3" s="2">
        <v>0</v>
      </c>
      <c r="D3" s="4" t="s">
        <v>69</v>
      </c>
      <c r="E3" s="2">
        <v>0</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5"/>
  <sheetViews>
    <sheetView workbookViewId="0"/>
  </sheetViews>
  <sheetFormatPr defaultRowHeight="15" x14ac:dyDescent="0.25"/>
  <cols>
    <col min="1" max="1" width="16" customWidth="1"/>
    <col min="2" max="2" width="8" customWidth="1"/>
    <col min="3" max="3" width="12" customWidth="1"/>
    <col min="4" max="5" width="19" customWidth="1"/>
    <col min="6" max="6" width="8" customWidth="1"/>
    <col min="7" max="7" width="19" customWidth="1"/>
    <col min="8" max="8" width="6" customWidth="1"/>
    <col min="9" max="9" width="19" customWidth="1"/>
    <col min="10" max="16" width="14" customWidth="1"/>
  </cols>
  <sheetData>
    <row r="1" spans="1:16" ht="75" x14ac:dyDescent="0.25">
      <c r="A1" s="5" t="s">
        <v>71</v>
      </c>
      <c r="B1" s="1" t="s">
        <v>72</v>
      </c>
      <c r="C1" s="1" t="s">
        <v>73</v>
      </c>
      <c r="D1" s="3" t="s">
        <v>74</v>
      </c>
      <c r="E1" s="3" t="s">
        <v>75</v>
      </c>
      <c r="F1" s="6" t="s">
        <v>76</v>
      </c>
      <c r="G1" s="6" t="s">
        <v>77</v>
      </c>
      <c r="H1" s="7" t="s">
        <v>78</v>
      </c>
      <c r="I1" s="7" t="s">
        <v>79</v>
      </c>
      <c r="J1" s="8" t="s">
        <v>80</v>
      </c>
      <c r="K1" s="8" t="s">
        <v>81</v>
      </c>
      <c r="L1" s="8" t="s">
        <v>82</v>
      </c>
      <c r="M1" s="8" t="s">
        <v>83</v>
      </c>
      <c r="N1" s="8" t="s">
        <v>84</v>
      </c>
      <c r="O1" s="8" t="s">
        <v>85</v>
      </c>
      <c r="P1" s="8" t="s">
        <v>86</v>
      </c>
    </row>
    <row r="2" spans="1:16" ht="30" x14ac:dyDescent="0.25">
      <c r="A2" s="9" t="s">
        <v>87</v>
      </c>
      <c r="B2" s="2">
        <v>3</v>
      </c>
      <c r="C2" s="10">
        <v>3</v>
      </c>
      <c r="D2" s="2">
        <v>0</v>
      </c>
      <c r="E2" s="2">
        <v>0</v>
      </c>
      <c r="F2" s="2">
        <v>3</v>
      </c>
      <c r="G2" s="2">
        <v>0</v>
      </c>
      <c r="H2" s="2">
        <v>0</v>
      </c>
      <c r="I2" s="2">
        <v>0</v>
      </c>
      <c r="J2" s="2">
        <v>0</v>
      </c>
      <c r="K2" s="2">
        <v>0</v>
      </c>
      <c r="L2" s="2">
        <v>0</v>
      </c>
      <c r="M2" s="2">
        <v>0</v>
      </c>
      <c r="N2" s="2">
        <v>0</v>
      </c>
      <c r="O2" s="2">
        <v>0</v>
      </c>
      <c r="P2" s="2">
        <v>0</v>
      </c>
    </row>
    <row r="3" spans="1:16" x14ac:dyDescent="0.25">
      <c r="A3" s="9" t="s">
        <v>88</v>
      </c>
      <c r="B3" s="2">
        <v>118</v>
      </c>
      <c r="C3" s="10">
        <v>2</v>
      </c>
      <c r="D3" s="2">
        <v>8</v>
      </c>
      <c r="E3" s="2">
        <v>0</v>
      </c>
      <c r="F3" s="2">
        <v>126</v>
      </c>
      <c r="G3" s="2">
        <v>0</v>
      </c>
      <c r="H3" s="2">
        <v>0</v>
      </c>
      <c r="I3" s="2">
        <v>0</v>
      </c>
      <c r="J3" s="2">
        <v>0</v>
      </c>
      <c r="K3" s="2">
        <v>83</v>
      </c>
      <c r="L3" s="2">
        <v>0</v>
      </c>
      <c r="M3" s="2">
        <v>0</v>
      </c>
      <c r="N3" s="2">
        <v>41</v>
      </c>
      <c r="O3" s="2">
        <v>0</v>
      </c>
      <c r="P3" s="2">
        <v>0</v>
      </c>
    </row>
    <row r="4" spans="1:16" x14ac:dyDescent="0.25">
      <c r="A4" s="9" t="s">
        <v>89</v>
      </c>
      <c r="B4" s="2">
        <v>93</v>
      </c>
      <c r="C4" s="2">
        <v>0</v>
      </c>
      <c r="D4" s="2">
        <v>0</v>
      </c>
      <c r="E4" s="2">
        <v>0</v>
      </c>
      <c r="F4" s="2">
        <v>93</v>
      </c>
      <c r="G4" s="2">
        <v>0</v>
      </c>
      <c r="H4" s="2">
        <v>0</v>
      </c>
      <c r="I4" s="2">
        <v>0</v>
      </c>
      <c r="J4" s="2">
        <v>0</v>
      </c>
      <c r="K4" s="2">
        <v>78</v>
      </c>
      <c r="L4" s="2">
        <v>0</v>
      </c>
      <c r="M4" s="2">
        <v>0</v>
      </c>
      <c r="N4" s="2">
        <v>0</v>
      </c>
      <c r="O4" s="2">
        <v>0</v>
      </c>
      <c r="P4" s="2">
        <v>0</v>
      </c>
    </row>
    <row r="5" spans="1:16" x14ac:dyDescent="0.25">
      <c r="A5" s="11" t="s">
        <v>90</v>
      </c>
      <c r="B5" s="11">
        <v>214</v>
      </c>
      <c r="C5" s="11">
        <v>5</v>
      </c>
      <c r="D5" s="11">
        <v>8</v>
      </c>
      <c r="E5" s="11">
        <v>0</v>
      </c>
      <c r="F5" s="11">
        <v>222</v>
      </c>
      <c r="G5" s="11">
        <v>0</v>
      </c>
      <c r="H5" s="11">
        <v>0</v>
      </c>
      <c r="I5" s="11">
        <v>0</v>
      </c>
      <c r="J5" s="11">
        <v>0</v>
      </c>
      <c r="K5" s="11">
        <v>161</v>
      </c>
      <c r="L5" s="11">
        <v>0</v>
      </c>
      <c r="M5" s="11">
        <v>0</v>
      </c>
      <c r="N5" s="11">
        <v>41</v>
      </c>
      <c r="O5" s="11">
        <v>0</v>
      </c>
      <c r="P5" s="11">
        <v>0</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14"/>
  <sheetViews>
    <sheetView workbookViewId="0"/>
  </sheetViews>
  <sheetFormatPr defaultRowHeight="15" x14ac:dyDescent="0.25"/>
  <cols>
    <col min="1" max="1" width="16" customWidth="1"/>
    <col min="2" max="2" width="8" customWidth="1"/>
    <col min="3" max="3" width="12" customWidth="1"/>
    <col min="4" max="5" width="19" customWidth="1"/>
    <col min="6" max="6" width="8" customWidth="1"/>
    <col min="7" max="7" width="19" customWidth="1"/>
    <col min="8" max="8" width="6" customWidth="1"/>
    <col min="9" max="9" width="19" customWidth="1"/>
    <col min="10" max="16" width="14" customWidth="1"/>
  </cols>
  <sheetData>
    <row r="1" spans="1:16" ht="75" x14ac:dyDescent="0.25">
      <c r="A1" s="5" t="s">
        <v>91</v>
      </c>
      <c r="B1" s="1" t="s">
        <v>72</v>
      </c>
      <c r="C1" s="1" t="s">
        <v>73</v>
      </c>
      <c r="D1" s="3" t="s">
        <v>74</v>
      </c>
      <c r="E1" s="3" t="s">
        <v>75</v>
      </c>
      <c r="F1" s="6" t="s">
        <v>76</v>
      </c>
      <c r="G1" s="6" t="s">
        <v>77</v>
      </c>
      <c r="H1" s="7" t="s">
        <v>78</v>
      </c>
      <c r="I1" s="7" t="s">
        <v>79</v>
      </c>
      <c r="J1" s="8" t="s">
        <v>80</v>
      </c>
      <c r="K1" s="8" t="s">
        <v>81</v>
      </c>
      <c r="L1" s="8" t="s">
        <v>82</v>
      </c>
      <c r="M1" s="8" t="s">
        <v>83</v>
      </c>
      <c r="N1" s="8" t="s">
        <v>84</v>
      </c>
      <c r="O1" s="8" t="s">
        <v>85</v>
      </c>
      <c r="P1" s="8" t="s">
        <v>86</v>
      </c>
    </row>
    <row r="2" spans="1:16" x14ac:dyDescent="0.25">
      <c r="A2" s="9" t="s">
        <v>92</v>
      </c>
      <c r="B2" s="2">
        <v>0</v>
      </c>
      <c r="C2" s="2">
        <v>0</v>
      </c>
      <c r="D2" s="2">
        <v>0</v>
      </c>
      <c r="E2" s="2">
        <v>0</v>
      </c>
      <c r="F2" s="2">
        <v>0</v>
      </c>
      <c r="G2" s="2">
        <v>0</v>
      </c>
      <c r="H2" s="2">
        <v>0</v>
      </c>
      <c r="I2" s="2">
        <v>0</v>
      </c>
      <c r="J2" s="2">
        <v>0</v>
      </c>
      <c r="K2" s="2">
        <v>0</v>
      </c>
      <c r="L2" s="2">
        <v>0</v>
      </c>
      <c r="M2" s="2">
        <v>0</v>
      </c>
      <c r="N2" s="2">
        <v>0</v>
      </c>
      <c r="O2" s="2">
        <v>0</v>
      </c>
      <c r="P2" s="2">
        <v>0</v>
      </c>
    </row>
    <row r="3" spans="1:16" x14ac:dyDescent="0.25">
      <c r="A3" s="9" t="s">
        <v>93</v>
      </c>
      <c r="B3" s="2">
        <v>0</v>
      </c>
      <c r="C3" s="2">
        <v>0</v>
      </c>
      <c r="D3" s="2">
        <v>0</v>
      </c>
      <c r="E3" s="2">
        <v>0</v>
      </c>
      <c r="F3" s="2">
        <v>0</v>
      </c>
      <c r="G3" s="2">
        <v>0</v>
      </c>
      <c r="H3" s="2">
        <v>0</v>
      </c>
      <c r="I3" s="2">
        <v>0</v>
      </c>
      <c r="J3" s="2">
        <v>0</v>
      </c>
      <c r="K3" s="2">
        <v>0</v>
      </c>
      <c r="L3" s="2">
        <v>0</v>
      </c>
      <c r="M3" s="2">
        <v>0</v>
      </c>
      <c r="N3" s="2">
        <v>0</v>
      </c>
      <c r="O3" s="2">
        <v>0</v>
      </c>
      <c r="P3" s="2">
        <v>0</v>
      </c>
    </row>
    <row r="4" spans="1:16" x14ac:dyDescent="0.25">
      <c r="A4" s="9" t="s">
        <v>94</v>
      </c>
      <c r="B4" s="2">
        <v>0</v>
      </c>
      <c r="C4" s="2">
        <v>0</v>
      </c>
      <c r="D4" s="2">
        <v>0</v>
      </c>
      <c r="E4" s="2">
        <v>0</v>
      </c>
      <c r="F4" s="2">
        <v>0</v>
      </c>
      <c r="G4" s="2">
        <v>0</v>
      </c>
      <c r="H4" s="2">
        <v>0</v>
      </c>
      <c r="I4" s="2">
        <v>0</v>
      </c>
      <c r="J4" s="2">
        <v>0</v>
      </c>
      <c r="K4" s="2">
        <v>0</v>
      </c>
      <c r="L4" s="2">
        <v>0</v>
      </c>
      <c r="M4" s="2">
        <v>0</v>
      </c>
      <c r="N4" s="2">
        <v>0</v>
      </c>
      <c r="O4" s="2">
        <v>0</v>
      </c>
      <c r="P4" s="2">
        <v>0</v>
      </c>
    </row>
    <row r="5" spans="1:16" x14ac:dyDescent="0.25">
      <c r="A5" s="9" t="s">
        <v>95</v>
      </c>
      <c r="B5" s="2">
        <v>0</v>
      </c>
      <c r="C5" s="2">
        <v>0</v>
      </c>
      <c r="D5" s="2">
        <v>0</v>
      </c>
      <c r="E5" s="2">
        <v>0</v>
      </c>
      <c r="F5" s="2">
        <v>0</v>
      </c>
      <c r="G5" s="2">
        <v>0</v>
      </c>
      <c r="H5" s="2">
        <v>0</v>
      </c>
      <c r="I5" s="2">
        <v>0</v>
      </c>
      <c r="J5" s="2">
        <v>0</v>
      </c>
      <c r="K5" s="2">
        <v>0</v>
      </c>
      <c r="L5" s="2">
        <v>0</v>
      </c>
      <c r="M5" s="2">
        <v>0</v>
      </c>
      <c r="N5" s="2">
        <v>0</v>
      </c>
      <c r="O5" s="2">
        <v>0</v>
      </c>
      <c r="P5" s="2">
        <v>0</v>
      </c>
    </row>
    <row r="6" spans="1:16" x14ac:dyDescent="0.25">
      <c r="A6" s="9" t="s">
        <v>96</v>
      </c>
      <c r="B6" s="2">
        <v>0</v>
      </c>
      <c r="C6" s="2">
        <v>0</v>
      </c>
      <c r="D6" s="2">
        <v>0</v>
      </c>
      <c r="E6" s="2">
        <v>0</v>
      </c>
      <c r="F6" s="2">
        <v>0</v>
      </c>
      <c r="G6" s="2">
        <v>0</v>
      </c>
      <c r="H6" s="2">
        <v>0</v>
      </c>
      <c r="I6" s="2">
        <v>0</v>
      </c>
      <c r="J6" s="2">
        <v>0</v>
      </c>
      <c r="K6" s="2">
        <v>0</v>
      </c>
      <c r="L6" s="2">
        <v>0</v>
      </c>
      <c r="M6" s="2">
        <v>0</v>
      </c>
      <c r="N6" s="2">
        <v>0</v>
      </c>
      <c r="O6" s="2">
        <v>0</v>
      </c>
      <c r="P6" s="2">
        <v>0</v>
      </c>
    </row>
    <row r="7" spans="1:16" x14ac:dyDescent="0.25">
      <c r="A7" s="9" t="s">
        <v>97</v>
      </c>
      <c r="B7" s="2">
        <v>0</v>
      </c>
      <c r="C7" s="2">
        <v>0</v>
      </c>
      <c r="D7" s="2">
        <v>0</v>
      </c>
      <c r="E7" s="2">
        <v>0</v>
      </c>
      <c r="F7" s="2">
        <v>0</v>
      </c>
      <c r="G7" s="2">
        <v>0</v>
      </c>
      <c r="H7" s="2">
        <v>0</v>
      </c>
      <c r="I7" s="2">
        <v>0</v>
      </c>
      <c r="J7" s="2">
        <v>0</v>
      </c>
      <c r="K7" s="2">
        <v>0</v>
      </c>
      <c r="L7" s="2">
        <v>0</v>
      </c>
      <c r="M7" s="2">
        <v>0</v>
      </c>
      <c r="N7" s="2">
        <v>0</v>
      </c>
      <c r="O7" s="2">
        <v>0</v>
      </c>
      <c r="P7" s="2">
        <v>0</v>
      </c>
    </row>
    <row r="8" spans="1:16" x14ac:dyDescent="0.25">
      <c r="A8" s="9" t="s">
        <v>98</v>
      </c>
      <c r="B8" s="2">
        <v>0</v>
      </c>
      <c r="C8" s="2">
        <v>0</v>
      </c>
      <c r="D8" s="2">
        <v>0</v>
      </c>
      <c r="E8" s="2">
        <v>0</v>
      </c>
      <c r="F8" s="2">
        <v>0</v>
      </c>
      <c r="G8" s="2">
        <v>0</v>
      </c>
      <c r="H8" s="2">
        <v>0</v>
      </c>
      <c r="I8" s="2">
        <v>0</v>
      </c>
      <c r="J8" s="2">
        <v>0</v>
      </c>
      <c r="K8" s="2">
        <v>0</v>
      </c>
      <c r="L8" s="2">
        <v>0</v>
      </c>
      <c r="M8" s="2">
        <v>0</v>
      </c>
      <c r="N8" s="2">
        <v>0</v>
      </c>
      <c r="O8" s="2">
        <v>0</v>
      </c>
      <c r="P8" s="2">
        <v>0</v>
      </c>
    </row>
    <row r="9" spans="1:16" x14ac:dyDescent="0.25">
      <c r="A9" s="9" t="s">
        <v>99</v>
      </c>
      <c r="B9" s="2">
        <v>0</v>
      </c>
      <c r="C9" s="2">
        <v>0</v>
      </c>
      <c r="D9" s="2">
        <v>0</v>
      </c>
      <c r="E9" s="2">
        <v>0</v>
      </c>
      <c r="F9" s="2">
        <v>0</v>
      </c>
      <c r="G9" s="2">
        <v>0</v>
      </c>
      <c r="H9" s="2">
        <v>0</v>
      </c>
      <c r="I9" s="2">
        <v>0</v>
      </c>
      <c r="J9" s="2">
        <v>0</v>
      </c>
      <c r="K9" s="2">
        <v>0</v>
      </c>
      <c r="L9" s="2">
        <v>0</v>
      </c>
      <c r="M9" s="2">
        <v>0</v>
      </c>
      <c r="N9" s="2">
        <v>0</v>
      </c>
      <c r="O9" s="2">
        <v>0</v>
      </c>
      <c r="P9" s="2">
        <v>0</v>
      </c>
    </row>
    <row r="10" spans="1:16" x14ac:dyDescent="0.25">
      <c r="A10" s="9" t="s">
        <v>100</v>
      </c>
      <c r="B10" s="2">
        <v>0</v>
      </c>
      <c r="C10" s="2">
        <v>0</v>
      </c>
      <c r="D10" s="2">
        <v>0</v>
      </c>
      <c r="E10" s="2">
        <v>0</v>
      </c>
      <c r="F10" s="2">
        <v>0</v>
      </c>
      <c r="G10" s="2">
        <v>0</v>
      </c>
      <c r="H10" s="2">
        <v>0</v>
      </c>
      <c r="I10" s="2">
        <v>0</v>
      </c>
      <c r="J10" s="2">
        <v>0</v>
      </c>
      <c r="K10" s="2">
        <v>0</v>
      </c>
      <c r="L10" s="2">
        <v>0</v>
      </c>
      <c r="M10" s="2">
        <v>0</v>
      </c>
      <c r="N10" s="2">
        <v>0</v>
      </c>
      <c r="O10" s="2">
        <v>0</v>
      </c>
      <c r="P10" s="2">
        <v>0</v>
      </c>
    </row>
    <row r="11" spans="1:16" x14ac:dyDescent="0.25">
      <c r="A11" s="9" t="s">
        <v>101</v>
      </c>
      <c r="B11" s="2">
        <v>0</v>
      </c>
      <c r="C11" s="2">
        <v>0</v>
      </c>
      <c r="D11" s="2">
        <v>0</v>
      </c>
      <c r="E11" s="2">
        <v>0</v>
      </c>
      <c r="F11" s="2">
        <v>0</v>
      </c>
      <c r="G11" s="2">
        <v>0</v>
      </c>
      <c r="H11" s="2">
        <v>0</v>
      </c>
      <c r="I11" s="2">
        <v>0</v>
      </c>
      <c r="J11" s="2">
        <v>0</v>
      </c>
      <c r="K11" s="2">
        <v>0</v>
      </c>
      <c r="L11" s="2">
        <v>0</v>
      </c>
      <c r="M11" s="2">
        <v>0</v>
      </c>
      <c r="N11" s="2">
        <v>0</v>
      </c>
      <c r="O11" s="2">
        <v>0</v>
      </c>
      <c r="P11" s="2">
        <v>0</v>
      </c>
    </row>
    <row r="12" spans="1:16" x14ac:dyDescent="0.25">
      <c r="A12" s="9" t="s">
        <v>102</v>
      </c>
      <c r="B12" s="2">
        <v>0</v>
      </c>
      <c r="C12" s="2">
        <v>0</v>
      </c>
      <c r="D12" s="2">
        <v>0</v>
      </c>
      <c r="E12" s="2">
        <v>0</v>
      </c>
      <c r="F12" s="2">
        <v>0</v>
      </c>
      <c r="G12" s="2">
        <v>0</v>
      </c>
      <c r="H12" s="2">
        <v>0</v>
      </c>
      <c r="I12" s="2">
        <v>0</v>
      </c>
      <c r="J12" s="2">
        <v>0</v>
      </c>
      <c r="K12" s="2">
        <v>0</v>
      </c>
      <c r="L12" s="2">
        <v>0</v>
      </c>
      <c r="M12" s="2">
        <v>0</v>
      </c>
      <c r="N12" s="2">
        <v>0</v>
      </c>
      <c r="O12" s="2">
        <v>0</v>
      </c>
      <c r="P12" s="2">
        <v>0</v>
      </c>
    </row>
    <row r="13" spans="1:16" x14ac:dyDescent="0.25">
      <c r="A13" s="9" t="s">
        <v>103</v>
      </c>
      <c r="B13" s="2">
        <v>214</v>
      </c>
      <c r="C13" s="10">
        <v>5</v>
      </c>
      <c r="D13" s="2">
        <v>8</v>
      </c>
      <c r="E13" s="2">
        <v>0</v>
      </c>
      <c r="F13" s="2">
        <v>222</v>
      </c>
      <c r="G13" s="2">
        <v>0</v>
      </c>
      <c r="H13" s="2">
        <v>0</v>
      </c>
      <c r="I13" s="2">
        <v>0</v>
      </c>
      <c r="J13" s="2">
        <v>0</v>
      </c>
      <c r="K13" s="2">
        <v>161</v>
      </c>
      <c r="L13" s="2">
        <v>0</v>
      </c>
      <c r="M13" s="2">
        <v>0</v>
      </c>
      <c r="N13" s="2">
        <v>41</v>
      </c>
      <c r="O13" s="2">
        <v>0</v>
      </c>
      <c r="P13" s="2">
        <v>0</v>
      </c>
    </row>
    <row r="14" spans="1:16" x14ac:dyDescent="0.25">
      <c r="A14" s="11" t="s">
        <v>90</v>
      </c>
      <c r="B14" s="11">
        <v>214</v>
      </c>
      <c r="C14" s="11">
        <v>5</v>
      </c>
      <c r="D14" s="11">
        <v>8</v>
      </c>
      <c r="E14" s="11">
        <v>0</v>
      </c>
      <c r="F14" s="11">
        <v>222</v>
      </c>
      <c r="G14" s="11">
        <v>0</v>
      </c>
      <c r="H14" s="11">
        <v>0</v>
      </c>
      <c r="I14" s="11">
        <v>0</v>
      </c>
      <c r="J14" s="11">
        <v>0</v>
      </c>
      <c r="K14" s="11">
        <v>161</v>
      </c>
      <c r="L14" s="11">
        <v>0</v>
      </c>
      <c r="M14" s="11">
        <v>0</v>
      </c>
      <c r="N14" s="11">
        <v>41</v>
      </c>
      <c r="O14" s="11">
        <v>0</v>
      </c>
      <c r="P14" s="11">
        <v>0</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6"/>
  <sheetViews>
    <sheetView workbookViewId="0"/>
  </sheetViews>
  <sheetFormatPr defaultRowHeight="15" x14ac:dyDescent="0.25"/>
  <cols>
    <col min="1" max="1" width="30" customWidth="1"/>
    <col min="2" max="4" width="15" customWidth="1"/>
    <col min="5" max="5" width="20" customWidth="1"/>
  </cols>
  <sheetData>
    <row r="1" spans="1:5" x14ac:dyDescent="0.25">
      <c r="A1" s="3" t="s">
        <v>104</v>
      </c>
      <c r="B1" s="3" t="s">
        <v>63</v>
      </c>
      <c r="C1" s="3" t="s">
        <v>64</v>
      </c>
      <c r="D1" s="3" t="s">
        <v>65</v>
      </c>
      <c r="E1" s="3" t="s">
        <v>66</v>
      </c>
    </row>
    <row r="2" spans="1:5" x14ac:dyDescent="0.25">
      <c r="A2" s="2" t="s">
        <v>105</v>
      </c>
      <c r="B2" s="2" t="s">
        <v>68</v>
      </c>
      <c r="C2" s="2" t="s">
        <v>106</v>
      </c>
      <c r="D2" s="10" t="s">
        <v>107</v>
      </c>
      <c r="E2" s="2">
        <v>2</v>
      </c>
    </row>
    <row r="3" spans="1:5" x14ac:dyDescent="0.25">
      <c r="A3" s="2" t="s">
        <v>108</v>
      </c>
      <c r="B3" s="2" t="s">
        <v>68</v>
      </c>
      <c r="C3" s="2" t="s">
        <v>109</v>
      </c>
      <c r="D3" s="10" t="s">
        <v>107</v>
      </c>
      <c r="E3" s="2">
        <v>2</v>
      </c>
    </row>
    <row r="4" spans="1:5" x14ac:dyDescent="0.25">
      <c r="A4" s="2" t="s">
        <v>110</v>
      </c>
      <c r="B4" s="2" t="s">
        <v>68</v>
      </c>
      <c r="C4" s="2" t="s">
        <v>111</v>
      </c>
      <c r="D4" s="10" t="s">
        <v>107</v>
      </c>
      <c r="E4" s="2">
        <v>4</v>
      </c>
    </row>
    <row r="5" spans="1:5" x14ac:dyDescent="0.25">
      <c r="A5" s="2" t="s">
        <v>112</v>
      </c>
      <c r="B5" s="2" t="s">
        <v>68</v>
      </c>
      <c r="C5" s="2" t="s">
        <v>113</v>
      </c>
      <c r="D5" s="10" t="s">
        <v>107</v>
      </c>
      <c r="E5" s="2">
        <v>19</v>
      </c>
    </row>
    <row r="6" spans="1:5" x14ac:dyDescent="0.25">
      <c r="A6" s="11" t="s">
        <v>90</v>
      </c>
      <c r="B6" s="11"/>
      <c r="C6" s="11"/>
      <c r="D6" s="11"/>
      <c r="E6" s="11">
        <v>27</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4"/>
  <sheetViews>
    <sheetView workbookViewId="0"/>
  </sheetViews>
  <sheetFormatPr defaultRowHeight="15" x14ac:dyDescent="0.25"/>
  <cols>
    <col min="1" max="1" width="16" customWidth="1"/>
    <col min="2" max="5" width="30" customWidth="1"/>
  </cols>
  <sheetData>
    <row r="1" spans="1:5" x14ac:dyDescent="0.25">
      <c r="A1" s="1" t="s">
        <v>91</v>
      </c>
      <c r="B1" s="1" t="s">
        <v>105</v>
      </c>
      <c r="C1" s="1" t="s">
        <v>108</v>
      </c>
      <c r="D1" s="1" t="s">
        <v>110</v>
      </c>
      <c r="E1" s="1" t="s">
        <v>112</v>
      </c>
    </row>
    <row r="2" spans="1:5" x14ac:dyDescent="0.25">
      <c r="A2" s="2" t="s">
        <v>92</v>
      </c>
      <c r="B2" s="2">
        <v>0</v>
      </c>
      <c r="C2" s="2">
        <v>0</v>
      </c>
      <c r="D2" s="2">
        <v>0</v>
      </c>
      <c r="E2" s="2">
        <v>0</v>
      </c>
    </row>
    <row r="3" spans="1:5" x14ac:dyDescent="0.25">
      <c r="A3" s="2" t="s">
        <v>93</v>
      </c>
      <c r="B3" s="2">
        <v>0</v>
      </c>
      <c r="C3" s="2">
        <v>0</v>
      </c>
      <c r="D3" s="2">
        <v>0</v>
      </c>
      <c r="E3" s="2">
        <v>0</v>
      </c>
    </row>
    <row r="4" spans="1:5" x14ac:dyDescent="0.25">
      <c r="A4" s="2" t="s">
        <v>94</v>
      </c>
      <c r="B4" s="2">
        <v>0</v>
      </c>
      <c r="C4" s="2">
        <v>0</v>
      </c>
      <c r="D4" s="2">
        <v>0</v>
      </c>
      <c r="E4" s="2">
        <v>0</v>
      </c>
    </row>
    <row r="5" spans="1:5" x14ac:dyDescent="0.25">
      <c r="A5" s="2" t="s">
        <v>95</v>
      </c>
      <c r="B5" s="2">
        <v>0</v>
      </c>
      <c r="C5" s="2">
        <v>0</v>
      </c>
      <c r="D5" s="2">
        <v>0</v>
      </c>
      <c r="E5" s="2">
        <v>0</v>
      </c>
    </row>
    <row r="6" spans="1:5" x14ac:dyDescent="0.25">
      <c r="A6" s="2" t="s">
        <v>96</v>
      </c>
      <c r="B6" s="2">
        <v>0</v>
      </c>
      <c r="C6" s="2">
        <v>0</v>
      </c>
      <c r="D6" s="2">
        <v>0</v>
      </c>
      <c r="E6" s="2">
        <v>0</v>
      </c>
    </row>
    <row r="7" spans="1:5" x14ac:dyDescent="0.25">
      <c r="A7" s="2" t="s">
        <v>97</v>
      </c>
      <c r="B7" s="2">
        <v>0</v>
      </c>
      <c r="C7" s="2">
        <v>0</v>
      </c>
      <c r="D7" s="2">
        <v>0</v>
      </c>
      <c r="E7" s="2">
        <v>0</v>
      </c>
    </row>
    <row r="8" spans="1:5" x14ac:dyDescent="0.25">
      <c r="A8" s="2" t="s">
        <v>98</v>
      </c>
      <c r="B8" s="2">
        <v>0</v>
      </c>
      <c r="C8" s="2">
        <v>0</v>
      </c>
      <c r="D8" s="2">
        <v>0</v>
      </c>
      <c r="E8" s="2">
        <v>0</v>
      </c>
    </row>
    <row r="9" spans="1:5" x14ac:dyDescent="0.25">
      <c r="A9" s="2" t="s">
        <v>99</v>
      </c>
      <c r="B9" s="2">
        <v>0</v>
      </c>
      <c r="C9" s="2">
        <v>0</v>
      </c>
      <c r="D9" s="2">
        <v>0</v>
      </c>
      <c r="E9" s="2">
        <v>0</v>
      </c>
    </row>
    <row r="10" spans="1:5" x14ac:dyDescent="0.25">
      <c r="A10" s="2" t="s">
        <v>100</v>
      </c>
      <c r="B10" s="2">
        <v>0</v>
      </c>
      <c r="C10" s="2">
        <v>0</v>
      </c>
      <c r="D10" s="2">
        <v>0</v>
      </c>
      <c r="E10" s="2">
        <v>0</v>
      </c>
    </row>
    <row r="11" spans="1:5" x14ac:dyDescent="0.25">
      <c r="A11" s="2" t="s">
        <v>101</v>
      </c>
      <c r="B11" s="2">
        <v>0</v>
      </c>
      <c r="C11" s="2">
        <v>0</v>
      </c>
      <c r="D11" s="2">
        <v>0</v>
      </c>
      <c r="E11" s="2">
        <v>0</v>
      </c>
    </row>
    <row r="12" spans="1:5" x14ac:dyDescent="0.25">
      <c r="A12" s="2" t="s">
        <v>102</v>
      </c>
      <c r="B12" s="2">
        <v>0</v>
      </c>
      <c r="C12" s="2">
        <v>0</v>
      </c>
      <c r="D12" s="2">
        <v>0</v>
      </c>
      <c r="E12" s="2">
        <v>0</v>
      </c>
    </row>
    <row r="13" spans="1:5" x14ac:dyDescent="0.25">
      <c r="A13" s="2" t="s">
        <v>103</v>
      </c>
      <c r="B13" s="10">
        <v>2</v>
      </c>
      <c r="C13" s="10">
        <v>2</v>
      </c>
      <c r="D13" s="10">
        <v>4</v>
      </c>
      <c r="E13" s="10">
        <v>19</v>
      </c>
    </row>
    <row r="14" spans="1:5" x14ac:dyDescent="0.25">
      <c r="A14" s="11" t="s">
        <v>90</v>
      </c>
      <c r="B14" s="11">
        <v>2</v>
      </c>
      <c r="C14" s="11">
        <v>2</v>
      </c>
      <c r="D14" s="11">
        <v>4</v>
      </c>
      <c r="E14" s="11">
        <v>19</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0"/>
  <sheetViews>
    <sheetView workbookViewId="0"/>
  </sheetViews>
  <sheetFormatPr defaultRowHeight="15" x14ac:dyDescent="0.25"/>
  <cols>
    <col min="1" max="1" width="16" customWidth="1"/>
    <col min="2" max="2" width="8" customWidth="1"/>
    <col min="3" max="3" width="19" customWidth="1"/>
    <col min="4" max="4" width="8" customWidth="1"/>
    <col min="5" max="5" width="19" customWidth="1"/>
    <col min="6" max="13" width="8" customWidth="1"/>
  </cols>
  <sheetData>
    <row r="1" spans="1:13" ht="60" x14ac:dyDescent="0.25">
      <c r="A1" s="5" t="s">
        <v>71</v>
      </c>
      <c r="B1" s="1" t="s">
        <v>78</v>
      </c>
      <c r="C1" s="1" t="s">
        <v>79</v>
      </c>
      <c r="D1" s="6" t="s">
        <v>76</v>
      </c>
      <c r="E1" s="6" t="s">
        <v>77</v>
      </c>
      <c r="F1" s="3" t="s">
        <v>114</v>
      </c>
      <c r="G1" s="3" t="s">
        <v>72</v>
      </c>
      <c r="H1" s="3" t="s">
        <v>74</v>
      </c>
      <c r="I1" s="3" t="s">
        <v>115</v>
      </c>
      <c r="J1" s="3" t="s">
        <v>116</v>
      </c>
      <c r="K1" s="3" t="s">
        <v>117</v>
      </c>
      <c r="L1" s="3" t="s">
        <v>118</v>
      </c>
      <c r="M1" s="3" t="s">
        <v>119</v>
      </c>
    </row>
    <row r="2" spans="1:13" ht="30" x14ac:dyDescent="0.25">
      <c r="A2" s="9" t="s">
        <v>87</v>
      </c>
      <c r="B2" s="2">
        <v>0</v>
      </c>
      <c r="C2" s="2">
        <v>0</v>
      </c>
      <c r="D2" s="2">
        <v>3</v>
      </c>
      <c r="E2" s="2">
        <v>0</v>
      </c>
      <c r="F2" s="2">
        <v>0</v>
      </c>
      <c r="G2" s="2">
        <v>3</v>
      </c>
      <c r="H2" s="2">
        <v>0</v>
      </c>
      <c r="I2" s="2">
        <v>0</v>
      </c>
      <c r="J2" s="2">
        <v>0</v>
      </c>
      <c r="K2" s="2">
        <v>0</v>
      </c>
      <c r="L2" s="2">
        <v>0</v>
      </c>
      <c r="M2" s="2">
        <v>0</v>
      </c>
    </row>
    <row r="3" spans="1:13" x14ac:dyDescent="0.25">
      <c r="A3" s="9" t="s">
        <v>88</v>
      </c>
      <c r="B3" s="2">
        <v>0</v>
      </c>
      <c r="C3" s="2">
        <v>0</v>
      </c>
      <c r="D3" s="2">
        <v>126</v>
      </c>
      <c r="E3" s="2">
        <v>0</v>
      </c>
      <c r="F3" s="2">
        <v>0</v>
      </c>
      <c r="G3" s="2">
        <v>118</v>
      </c>
      <c r="H3" s="2">
        <v>8</v>
      </c>
      <c r="I3" s="2">
        <v>0</v>
      </c>
      <c r="J3" s="2">
        <v>0</v>
      </c>
      <c r="K3" s="2">
        <v>0</v>
      </c>
      <c r="L3" s="2">
        <v>0</v>
      </c>
      <c r="M3" s="2">
        <v>0</v>
      </c>
    </row>
    <row r="4" spans="1:13" x14ac:dyDescent="0.25">
      <c r="A4" s="9" t="s">
        <v>89</v>
      </c>
      <c r="B4" s="2">
        <v>0</v>
      </c>
      <c r="C4" s="2">
        <v>0</v>
      </c>
      <c r="D4" s="2">
        <v>93</v>
      </c>
      <c r="E4" s="2">
        <v>0</v>
      </c>
      <c r="F4" s="2">
        <v>0</v>
      </c>
      <c r="G4" s="2">
        <v>93</v>
      </c>
      <c r="H4" s="2">
        <v>0</v>
      </c>
      <c r="I4" s="2">
        <v>0</v>
      </c>
      <c r="J4" s="2">
        <v>0</v>
      </c>
      <c r="K4" s="2">
        <v>0</v>
      </c>
      <c r="L4" s="2">
        <v>0</v>
      </c>
      <c r="M4" s="2">
        <v>0</v>
      </c>
    </row>
    <row r="5" spans="1:13" x14ac:dyDescent="0.25">
      <c r="A5" s="9" t="s">
        <v>120</v>
      </c>
      <c r="B5" s="2">
        <v>0</v>
      </c>
      <c r="C5" s="2">
        <v>0</v>
      </c>
      <c r="D5" s="2">
        <v>0</v>
      </c>
      <c r="E5" s="2">
        <v>0</v>
      </c>
      <c r="F5" s="2">
        <v>0</v>
      </c>
      <c r="G5" s="2">
        <v>0</v>
      </c>
      <c r="H5" s="2">
        <v>0</v>
      </c>
      <c r="I5" s="2">
        <v>0</v>
      </c>
      <c r="J5" s="2">
        <v>0</v>
      </c>
      <c r="K5" s="2">
        <v>0</v>
      </c>
      <c r="L5" s="2">
        <v>0</v>
      </c>
      <c r="M5" s="2">
        <v>0</v>
      </c>
    </row>
    <row r="6" spans="1:13" x14ac:dyDescent="0.25">
      <c r="A6" s="9" t="s">
        <v>121</v>
      </c>
      <c r="B6" s="2">
        <v>0</v>
      </c>
      <c r="C6" s="2">
        <v>0</v>
      </c>
      <c r="D6" s="2">
        <v>0</v>
      </c>
      <c r="E6" s="2">
        <v>0</v>
      </c>
      <c r="F6" s="2">
        <v>0</v>
      </c>
      <c r="G6" s="2">
        <v>0</v>
      </c>
      <c r="H6" s="2">
        <v>0</v>
      </c>
      <c r="I6" s="2">
        <v>0</v>
      </c>
      <c r="J6" s="2">
        <v>0</v>
      </c>
      <c r="K6" s="2">
        <v>0</v>
      </c>
      <c r="L6" s="2">
        <v>0</v>
      </c>
      <c r="M6" s="2">
        <v>0</v>
      </c>
    </row>
    <row r="7" spans="1:13" x14ac:dyDescent="0.25">
      <c r="A7" s="9" t="s">
        <v>122</v>
      </c>
      <c r="B7" s="2">
        <v>0</v>
      </c>
      <c r="C7" s="2">
        <v>0</v>
      </c>
      <c r="D7" s="2">
        <v>0</v>
      </c>
      <c r="E7" s="2">
        <v>0</v>
      </c>
      <c r="F7" s="2">
        <v>0</v>
      </c>
      <c r="G7" s="2">
        <v>0</v>
      </c>
      <c r="H7" s="2">
        <v>0</v>
      </c>
      <c r="I7" s="2">
        <v>0</v>
      </c>
      <c r="J7" s="2">
        <v>0</v>
      </c>
      <c r="K7" s="2">
        <v>0</v>
      </c>
      <c r="L7" s="2">
        <v>0</v>
      </c>
      <c r="M7" s="2">
        <v>0</v>
      </c>
    </row>
    <row r="8" spans="1:13" x14ac:dyDescent="0.25">
      <c r="A8" s="9" t="s">
        <v>123</v>
      </c>
      <c r="B8" s="2">
        <v>0</v>
      </c>
      <c r="C8" s="2">
        <v>0</v>
      </c>
      <c r="D8" s="2">
        <v>501</v>
      </c>
      <c r="E8" s="2">
        <v>0</v>
      </c>
      <c r="F8" s="2">
        <v>0</v>
      </c>
      <c r="G8" s="2">
        <v>501</v>
      </c>
      <c r="H8" s="2">
        <v>0</v>
      </c>
      <c r="I8" s="2">
        <v>0</v>
      </c>
      <c r="J8" s="2">
        <v>0</v>
      </c>
      <c r="K8" s="2">
        <v>0</v>
      </c>
      <c r="L8" s="2">
        <v>0</v>
      </c>
      <c r="M8" s="2">
        <v>0</v>
      </c>
    </row>
    <row r="9" spans="1:13" x14ac:dyDescent="0.25">
      <c r="A9" s="9" t="s">
        <v>124</v>
      </c>
      <c r="B9" s="2">
        <v>0</v>
      </c>
      <c r="C9" s="2">
        <v>0</v>
      </c>
      <c r="D9" s="2">
        <v>27</v>
      </c>
      <c r="E9" s="2">
        <v>0</v>
      </c>
      <c r="F9" s="2">
        <v>0</v>
      </c>
      <c r="G9" s="2">
        <v>27</v>
      </c>
      <c r="H9" s="2">
        <v>0</v>
      </c>
      <c r="I9" s="2">
        <v>0</v>
      </c>
      <c r="J9" s="2">
        <v>0</v>
      </c>
      <c r="K9" s="2">
        <v>0</v>
      </c>
      <c r="L9" s="2">
        <v>0</v>
      </c>
      <c r="M9" s="2">
        <v>0</v>
      </c>
    </row>
    <row r="10" spans="1:13" x14ac:dyDescent="0.25">
      <c r="A10" s="11" t="s">
        <v>90</v>
      </c>
      <c r="B10" s="11">
        <v>0</v>
      </c>
      <c r="C10" s="11">
        <v>0</v>
      </c>
      <c r="D10" s="11">
        <v>750</v>
      </c>
      <c r="E10" s="11">
        <v>0</v>
      </c>
      <c r="F10" s="11">
        <v>0</v>
      </c>
      <c r="G10" s="11">
        <v>742</v>
      </c>
      <c r="H10" s="11">
        <v>8</v>
      </c>
      <c r="I10" s="11">
        <v>0</v>
      </c>
      <c r="J10" s="11">
        <v>0</v>
      </c>
      <c r="K10" s="11">
        <v>0</v>
      </c>
      <c r="L10" s="11">
        <v>0</v>
      </c>
      <c r="M10" s="11">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Table of Contents</vt:lpstr>
      <vt:lpstr>Script Input Parameters</vt:lpstr>
      <vt:lpstr>Klocwork Build Configuration</vt:lpstr>
      <vt:lpstr>MISRA Summary by Metrics</vt:lpstr>
      <vt:lpstr>MISRA Summary by Severity</vt:lpstr>
      <vt:lpstr>MISRA Summary by Modules</vt:lpstr>
      <vt:lpstr>HIS Summary by Metrics</vt:lpstr>
      <vt:lpstr>HIS Summary by Modules</vt:lpstr>
      <vt:lpstr>SA Summary by Severity</vt:lpstr>
      <vt:lpstr>SA Summary by Modules</vt:lpstr>
      <vt:lpstr>Raw Issue Details</vt:lpstr>
      <vt:lpstr>Guideline Enforcement Plan</vt:lpstr>
      <vt:lpstr>Deviation Summary by Type &amp; Cat</vt:lpstr>
      <vt:lpstr>Deviation Summary by Class</vt:lpstr>
      <vt:lpstr>Active Deviation Permits</vt:lpstr>
      <vt:lpstr>Taxonomy Checkers</vt:lpstr>
      <vt:lpstr>Klocwork Project Modules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Rohit ..Tiwari</cp:lastModifiedBy>
  <dcterms:created xsi:type="dcterms:W3CDTF">2022-10-07T16:52:29Z</dcterms:created>
  <dcterms:modified xsi:type="dcterms:W3CDTF">2022-10-07T11:44:30Z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bb46c77-3b58-4101-b463-cd3b3d516e4a_Enabled">
    <vt:lpwstr>true</vt:lpwstr>
  </property>
  <property fmtid="{D5CDD505-2E9C-101B-9397-08002B2CF9AE}" pid="3" name="MSIP_Label_3bb46c77-3b58-4101-b463-cd3b3d516e4a_SetDate">
    <vt:lpwstr>2022-10-07T11:41:33Z</vt:lpwstr>
  </property>
  <property fmtid="{D5CDD505-2E9C-101B-9397-08002B2CF9AE}" pid="4" name="MSIP_Label_3bb46c77-3b58-4101-b463-cd3b3d516e4a_Method">
    <vt:lpwstr>Privileged</vt:lpwstr>
  </property>
  <property fmtid="{D5CDD505-2E9C-101B-9397-08002B2CF9AE}" pid="5" name="MSIP_Label_3bb46c77-3b58-4101-b463-cd3b3d516e4a_Name">
    <vt:lpwstr>Non-Business</vt:lpwstr>
  </property>
  <property fmtid="{D5CDD505-2E9C-101B-9397-08002B2CF9AE}" pid="6" name="MSIP_Label_3bb46c77-3b58-4101-b463-cd3b3d516e4a_SiteId">
    <vt:lpwstr>311b3378-8e8a-4b5e-a33f-e80a3d8ba60a</vt:lpwstr>
  </property>
  <property fmtid="{D5CDD505-2E9C-101B-9397-08002B2CF9AE}" pid="7" name="MSIP_Label_3bb46c77-3b58-4101-b463-cd3b3d516e4a_ActionId">
    <vt:lpwstr>7fdb5571-53e9-4a26-bc6f-8453807348ac</vt:lpwstr>
  </property>
  <property fmtid="{D5CDD505-2E9C-101B-9397-08002B2CF9AE}" pid="8" name="MSIP_Label_3bb46c77-3b58-4101-b463-cd3b3d516e4a_ContentBits">
    <vt:lpwstr>0</vt:lpwstr>
  </property>
</Properties>
</file>