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650" yWindow="480" windowWidth="14625" windowHeight="12615" tabRatio="962" firstSheet="8" activeTab="26"/>
  </bookViews>
  <sheets>
    <sheet name="Sommaire (FR)" sheetId="1" r:id="rId1"/>
    <sheet name="Outline (EN)" sheetId="47" r:id="rId2"/>
    <sheet name="Barème IR" sheetId="2" r:id="rId3"/>
    <sheet name="Barème IGR" sheetId="48" r:id="rId4"/>
    <sheet name="Déductions" sheetId="14" r:id="rId5"/>
    <sheet name="RCM" sheetId="16" r:id="rId6"/>
    <sheet name="micro" sheetId="17" r:id="rId7"/>
    <sheet name="charg_deduc" sheetId="19" r:id="rId8"/>
    <sheet name="abat_RNI" sheetId="20" r:id="rId9"/>
    <sheet name="exo_IR" sheetId="22" r:id="rId10"/>
    <sheet name="plaf_qf" sheetId="21" r:id="rId11"/>
    <sheet name="pv" sheetId="9" r:id="rId12"/>
    <sheet name="dons" sheetId="26" r:id="rId13"/>
    <sheet name="deduc_sal" sheetId="25" r:id="rId14"/>
    <sheet name="SOFIPECHE" sheetId="41" r:id="rId15"/>
    <sheet name="sal_dom" sheetId="6" r:id="rId16"/>
    <sheet name="prest_compen" sheetId="40" r:id="rId17"/>
    <sheet name="FCP" sheetId="28" r:id="rId18"/>
    <sheet name="SOFICA" sheetId="29" r:id="rId19"/>
    <sheet name="PME" sheetId="30" r:id="rId20"/>
    <sheet name="forêt" sheetId="27" r:id="rId21"/>
    <sheet name="enfscol" sheetId="8" r:id="rId22"/>
    <sheet name="heberg_santé" sheetId="37" r:id="rId23"/>
    <sheet name="habitat_princ" sheetId="38" r:id="rId24"/>
    <sheet name="codev" sheetId="42" r:id="rId25"/>
    <sheet name="divers" sheetId="39" r:id="rId26"/>
    <sheet name="gardenf" sheetId="7" r:id="rId27"/>
    <sheet name="plaf_nich" sheetId="34" r:id="rId28"/>
    <sheet name="PPE" sheetId="3" r:id="rId29"/>
    <sheet name="taxe_HR" sheetId="44" r:id="rId30"/>
    <sheet name="majo_excep" sheetId="45" r:id="rId31"/>
  </sheets>
  <calcPr calcId="145621"/>
</workbook>
</file>

<file path=xl/calcChain.xml><?xml version="1.0" encoding="utf-8"?>
<calcChain xmlns="http://schemas.openxmlformats.org/spreadsheetml/2006/main">
  <c r="C14" i="47" l="1"/>
  <c r="C11" i="47"/>
  <c r="C14" i="1" l="1"/>
  <c r="C11" i="1"/>
  <c r="C17" i="47" l="1"/>
  <c r="C18" i="47" s="1"/>
  <c r="C19" i="47" s="1"/>
  <c r="C21" i="47" s="1"/>
  <c r="C22" i="47" s="1"/>
  <c r="C24" i="47" s="1"/>
  <c r="C25" i="47" s="1"/>
  <c r="C26" i="47" s="1"/>
  <c r="C27" i="47" s="1"/>
  <c r="C28" i="47" s="1"/>
  <c r="C29" i="47" s="1"/>
  <c r="C30" i="47" s="1"/>
  <c r="C31" i="47" s="1"/>
  <c r="C32" i="47" s="1"/>
  <c r="C33" i="47" s="1"/>
  <c r="C34" i="47" s="1"/>
  <c r="C35" i="47" s="1"/>
  <c r="C36" i="47" s="1"/>
  <c r="C37" i="47" s="1"/>
  <c r="C39" i="47" s="1"/>
  <c r="C40" i="47" s="1"/>
  <c r="C41" i="47" s="1"/>
  <c r="C43" i="47" s="1"/>
  <c r="C15" i="47"/>
  <c r="W20" i="2" l="1"/>
  <c r="F7" i="28" l="1"/>
  <c r="F8" i="28"/>
  <c r="F9" i="28"/>
  <c r="F10" i="28"/>
  <c r="F5" i="28"/>
  <c r="F6" i="28"/>
  <c r="H7" i="21" l="1"/>
  <c r="H8" i="21"/>
  <c r="H9" i="21"/>
  <c r="H10" i="21"/>
  <c r="H11" i="21"/>
  <c r="H12" i="21"/>
  <c r="H13" i="21"/>
  <c r="H14" i="21"/>
  <c r="H15" i="21"/>
  <c r="H16" i="21"/>
  <c r="H18" i="21"/>
  <c r="H19" i="21"/>
  <c r="H6" i="21"/>
  <c r="AE4" i="2"/>
  <c r="F4" i="19"/>
  <c r="J5" i="17" l="1"/>
  <c r="I4" i="17"/>
  <c r="H4" i="17"/>
  <c r="AE72" i="2" l="1"/>
  <c r="AE71" i="2"/>
  <c r="AE70" i="2"/>
  <c r="AE69" i="2"/>
  <c r="AE46" i="2"/>
  <c r="AE47" i="2"/>
  <c r="AE48" i="2"/>
  <c r="AE49" i="2"/>
  <c r="AE50" i="2"/>
  <c r="AE51" i="2"/>
  <c r="AE52" i="2"/>
  <c r="AE53" i="2"/>
  <c r="AE54" i="2"/>
  <c r="AE55" i="2"/>
  <c r="AE56" i="2"/>
  <c r="AE57" i="2"/>
  <c r="AE58" i="2"/>
  <c r="AE59" i="2"/>
  <c r="AE60" i="2"/>
  <c r="AE61" i="2"/>
  <c r="AE62" i="2"/>
  <c r="AE63" i="2"/>
  <c r="AE64" i="2"/>
  <c r="AE65" i="2"/>
  <c r="AE66" i="2"/>
  <c r="AE67" i="2"/>
  <c r="AE68" i="2"/>
  <c r="AE45" i="2"/>
  <c r="AE44" i="2"/>
  <c r="AE38" i="2"/>
  <c r="AE39" i="2"/>
  <c r="AE40" i="2"/>
  <c r="AE41" i="2"/>
  <c r="AE42" i="2"/>
  <c r="AE43" i="2"/>
  <c r="AE37" i="2"/>
  <c r="AE36" i="2"/>
  <c r="AE35" i="2"/>
  <c r="AE34" i="2"/>
  <c r="AE33" i="2"/>
  <c r="AE32" i="2"/>
  <c r="AE27" i="2"/>
  <c r="AE28" i="2"/>
  <c r="AE29" i="2"/>
  <c r="AE30" i="2"/>
  <c r="AE31" i="2"/>
  <c r="AE26" i="2"/>
  <c r="AE25" i="2"/>
  <c r="AE13" i="2"/>
  <c r="AE14" i="2"/>
  <c r="AE15" i="2"/>
  <c r="AE16" i="2"/>
  <c r="AE17" i="2"/>
  <c r="AE18" i="2"/>
  <c r="AE19" i="2"/>
  <c r="AE20" i="2"/>
  <c r="AE21" i="2"/>
  <c r="AE22" i="2"/>
  <c r="AE23" i="2"/>
  <c r="AE24" i="2"/>
  <c r="AE12" i="2"/>
  <c r="AE10" i="2"/>
  <c r="AE9" i="2"/>
  <c r="AE8" i="2"/>
  <c r="AE7" i="2"/>
  <c r="AE11" i="2"/>
  <c r="AE6" i="2"/>
  <c r="AE5" i="2"/>
  <c r="F5" i="19"/>
  <c r="E5" i="19" s="1"/>
  <c r="I11" i="9" l="1"/>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10" i="9"/>
  <c r="G18" i="21" l="1"/>
  <c r="G19" i="21"/>
  <c r="G17" i="21"/>
  <c r="G4" i="6" l="1"/>
  <c r="F4" i="6"/>
  <c r="E4" i="6"/>
  <c r="D4" i="6"/>
  <c r="C4" i="6"/>
  <c r="F4" i="26"/>
  <c r="G4" i="26" s="1"/>
  <c r="E4" i="26"/>
  <c r="H4" i="26" s="1"/>
  <c r="C4" i="26"/>
  <c r="I4" i="26" l="1"/>
  <c r="J4" i="17"/>
  <c r="I5" i="17"/>
  <c r="H5" i="17"/>
  <c r="F6" i="26" l="1"/>
  <c r="G6" i="26" s="1"/>
  <c r="F5" i="26"/>
  <c r="E12" i="19"/>
  <c r="E7" i="19"/>
  <c r="E8" i="19"/>
  <c r="E5" i="6" l="1"/>
  <c r="C7" i="7" l="1"/>
  <c r="C8" i="7"/>
  <c r="H6" i="17" l="1"/>
  <c r="J6" i="17"/>
  <c r="I6" i="17"/>
  <c r="H11" i="26" l="1"/>
  <c r="H13" i="26"/>
  <c r="H12" i="26"/>
  <c r="F13" i="26" l="1"/>
  <c r="C11" i="26"/>
  <c r="F11" i="26"/>
  <c r="D5" i="26"/>
  <c r="G11" i="26" l="1"/>
  <c r="I11" i="26"/>
  <c r="I13" i="26"/>
  <c r="G13" i="26"/>
  <c r="D6" i="27"/>
  <c r="D5" i="27"/>
  <c r="C15" i="26"/>
  <c r="E18" i="26"/>
  <c r="F12" i="26"/>
  <c r="I12" i="26" l="1"/>
  <c r="G12" i="26"/>
  <c r="D8" i="9"/>
  <c r="D21" i="26"/>
  <c r="D20" i="26"/>
  <c r="D19" i="26"/>
  <c r="D17" i="26"/>
  <c r="D16" i="26"/>
  <c r="D15" i="26"/>
  <c r="E21" i="26"/>
  <c r="C21" i="26"/>
  <c r="E20" i="26"/>
  <c r="C20" i="26"/>
  <c r="F19" i="26"/>
  <c r="E19" i="26"/>
  <c r="C19" i="26"/>
  <c r="F18" i="26"/>
  <c r="C18" i="26"/>
  <c r="F17" i="26"/>
  <c r="E17" i="26"/>
  <c r="C17" i="26"/>
  <c r="F16" i="26"/>
  <c r="E16" i="26"/>
  <c r="C16" i="26"/>
  <c r="F15" i="26"/>
  <c r="E15" i="26"/>
  <c r="F14" i="26"/>
  <c r="E14" i="26"/>
  <c r="C12" i="26"/>
  <c r="D11" i="26"/>
  <c r="F10" i="26"/>
  <c r="E10" i="26"/>
  <c r="H10" i="26" s="1"/>
  <c r="C10" i="26"/>
  <c r="F9" i="26"/>
  <c r="E9" i="26"/>
  <c r="H9" i="26" s="1"/>
  <c r="C9" i="26"/>
  <c r="F8" i="26"/>
  <c r="E8" i="26"/>
  <c r="H8" i="26" s="1"/>
  <c r="C8" i="26"/>
  <c r="F7" i="26"/>
  <c r="E7" i="26"/>
  <c r="H7" i="26" s="1"/>
  <c r="C7" i="26"/>
  <c r="E6" i="26"/>
  <c r="H6" i="26" s="1"/>
  <c r="D6" i="26"/>
  <c r="C6" i="26"/>
  <c r="E5" i="26"/>
  <c r="H5" i="26" s="1"/>
  <c r="C5" i="26"/>
  <c r="D21" i="21"/>
  <c r="D20" i="21"/>
  <c r="D17" i="21"/>
  <c r="H17" i="21" s="1"/>
  <c r="E9" i="19"/>
  <c r="E10" i="19"/>
  <c r="E11" i="19"/>
  <c r="E6" i="19"/>
  <c r="I10" i="26" l="1"/>
  <c r="G10" i="26"/>
  <c r="G7" i="26"/>
  <c r="I7" i="26"/>
  <c r="G8" i="26"/>
  <c r="I8" i="26"/>
  <c r="I5" i="26"/>
  <c r="G5" i="26"/>
  <c r="I6" i="26"/>
  <c r="G9" i="26"/>
  <c r="I9" i="26"/>
  <c r="E15" i="22"/>
  <c r="E16" i="22"/>
  <c r="E17" i="22"/>
  <c r="E18" i="22"/>
  <c r="E19" i="22"/>
  <c r="E21" i="22"/>
  <c r="E22" i="22"/>
  <c r="E23" i="22"/>
  <c r="E13" i="22"/>
  <c r="E14" i="22"/>
  <c r="E20" i="22" l="1"/>
  <c r="J17" i="17" l="1"/>
  <c r="J16" i="17"/>
  <c r="J15" i="17"/>
  <c r="J14" i="17"/>
  <c r="J13" i="17"/>
  <c r="J12" i="17"/>
  <c r="J11" i="17"/>
  <c r="J10" i="17"/>
  <c r="J9" i="17"/>
  <c r="J8" i="17"/>
  <c r="J7" i="17"/>
  <c r="I8" i="17"/>
  <c r="I7" i="17"/>
  <c r="L20" i="17"/>
  <c r="L19" i="17"/>
  <c r="L18" i="17"/>
  <c r="L17" i="17"/>
  <c r="L16" i="17"/>
  <c r="L15" i="17"/>
  <c r="L14" i="17"/>
  <c r="L13" i="17"/>
  <c r="H10" i="17"/>
  <c r="H9" i="17"/>
  <c r="H8" i="17"/>
  <c r="H7" i="17"/>
  <c r="C15" i="1"/>
  <c r="C17" i="1" s="1"/>
  <c r="C18" i="1" s="1"/>
  <c r="C19" i="1" s="1"/>
  <c r="C21" i="1" s="1"/>
  <c r="C22" i="1" s="1"/>
  <c r="C24" i="1" s="1"/>
  <c r="C25" i="1" s="1"/>
  <c r="C26" i="1" s="1"/>
  <c r="C27" i="1" s="1"/>
  <c r="C28" i="1" s="1"/>
  <c r="C29" i="1" s="1"/>
  <c r="C30" i="1" s="1"/>
  <c r="C31" i="1" s="1"/>
  <c r="C32" i="1" s="1"/>
  <c r="C33" i="1" s="1"/>
  <c r="C34" i="1" s="1"/>
  <c r="C35" i="1" s="1"/>
  <c r="C36" i="1" s="1"/>
  <c r="C37" i="1" s="1"/>
  <c r="C39" i="1" s="1"/>
  <c r="C40" i="1" s="1"/>
  <c r="C41" i="1" s="1"/>
  <c r="C43" i="1" s="1"/>
  <c r="I20" i="14"/>
  <c r="K20" i="14"/>
  <c r="V20" i="2" l="1"/>
  <c r="U20" i="2"/>
  <c r="T20" i="2"/>
  <c r="S20" i="2"/>
  <c r="Q20" i="2"/>
  <c r="D15" i="6"/>
  <c r="D16" i="6"/>
  <c r="C15" i="6"/>
  <c r="C16" i="6"/>
  <c r="D4" i="7"/>
  <c r="D5" i="7"/>
  <c r="G5" i="6"/>
  <c r="F5" i="6"/>
  <c r="D5" i="6"/>
  <c r="C5" i="6"/>
  <c r="G6" i="6"/>
  <c r="F6" i="6"/>
  <c r="E6" i="6"/>
  <c r="D6" i="6"/>
  <c r="C6" i="6"/>
  <c r="G7" i="6"/>
  <c r="F7" i="6"/>
  <c r="E7" i="6"/>
  <c r="D7" i="6"/>
  <c r="C7" i="6"/>
  <c r="G8" i="6"/>
  <c r="F8" i="6"/>
  <c r="E8" i="6"/>
  <c r="D8" i="6"/>
  <c r="C8" i="6"/>
  <c r="C9" i="6"/>
  <c r="C10" i="6"/>
  <c r="C11" i="6"/>
  <c r="C12" i="6"/>
  <c r="C13" i="6"/>
  <c r="C14" i="6"/>
  <c r="L10" i="3" l="1"/>
  <c r="K10" i="3"/>
  <c r="I10" i="3"/>
  <c r="G10" i="3"/>
  <c r="L9" i="3"/>
  <c r="K9" i="3"/>
  <c r="K6" i="3"/>
  <c r="W21" i="2"/>
  <c r="V21" i="2"/>
  <c r="U21" i="2"/>
  <c r="T21" i="2"/>
  <c r="S21" i="2"/>
  <c r="R21" i="2"/>
  <c r="Q21" i="2"/>
  <c r="G21" i="2"/>
  <c r="F21" i="2"/>
  <c r="E21" i="2"/>
  <c r="D21" i="2"/>
  <c r="W19" i="2"/>
  <c r="V19" i="2"/>
  <c r="U19" i="2"/>
  <c r="T19" i="2"/>
  <c r="S19" i="2"/>
  <c r="Q19" i="2"/>
  <c r="G19" i="2"/>
  <c r="F19" i="2"/>
  <c r="E19" i="2"/>
  <c r="D19" i="2"/>
  <c r="C19" i="2"/>
  <c r="W18" i="2"/>
  <c r="V18" i="2"/>
  <c r="U18" i="2"/>
  <c r="T18" i="2"/>
  <c r="S18" i="2"/>
  <c r="R18" i="2"/>
  <c r="Q18" i="2"/>
  <c r="G18" i="2"/>
  <c r="F18" i="2"/>
  <c r="E18" i="2"/>
  <c r="D18" i="2"/>
  <c r="W17" i="2"/>
  <c r="V17" i="2"/>
  <c r="U17" i="2"/>
  <c r="T17" i="2"/>
  <c r="S17" i="2"/>
  <c r="R17" i="2"/>
  <c r="Q17" i="2"/>
  <c r="G17" i="2"/>
  <c r="F17" i="2"/>
  <c r="E17" i="2"/>
  <c r="D17" i="2"/>
  <c r="C17" i="2"/>
  <c r="W16" i="2"/>
  <c r="V16" i="2"/>
  <c r="U16" i="2"/>
  <c r="T16" i="2"/>
  <c r="S16" i="2"/>
  <c r="R16" i="2"/>
  <c r="Q16" i="2"/>
  <c r="E16" i="2"/>
  <c r="D16" i="2"/>
  <c r="C16" i="2"/>
  <c r="W15" i="2"/>
  <c r="V15" i="2"/>
  <c r="I15" i="2"/>
  <c r="U15" i="2"/>
  <c r="T15" i="2"/>
  <c r="S15" i="2"/>
  <c r="R15" i="2"/>
  <c r="Q15" i="2"/>
  <c r="C15" i="2"/>
  <c r="I14" i="2"/>
  <c r="Q14" i="2"/>
  <c r="F14" i="2"/>
  <c r="E14" i="2"/>
  <c r="D14" i="2"/>
  <c r="C14" i="2"/>
  <c r="I13" i="2"/>
  <c r="R13" i="2"/>
  <c r="R12" i="2" s="1"/>
  <c r="Q13" i="2"/>
  <c r="G13" i="2"/>
  <c r="E13" i="2"/>
  <c r="C13" i="2"/>
  <c r="Q12" i="2"/>
  <c r="C12" i="2"/>
  <c r="U11" i="2"/>
  <c r="T11" i="2"/>
  <c r="S11" i="2"/>
  <c r="R11" i="2"/>
  <c r="Q11" i="2"/>
  <c r="C11" i="2"/>
  <c r="U10" i="2"/>
  <c r="T10" i="2"/>
  <c r="S10" i="2"/>
  <c r="R10" i="2"/>
  <c r="Q10" i="2"/>
  <c r="C10" i="2"/>
  <c r="U9" i="2"/>
  <c r="T9" i="2"/>
  <c r="S9" i="2"/>
  <c r="R9" i="2"/>
  <c r="Q9" i="2"/>
  <c r="G9" i="2"/>
  <c r="F9" i="2"/>
  <c r="E9" i="2"/>
  <c r="D9" i="2"/>
  <c r="C9" i="2"/>
  <c r="U8" i="2"/>
  <c r="T8" i="2"/>
  <c r="S8" i="2"/>
  <c r="R8" i="2"/>
  <c r="Q8" i="2"/>
  <c r="C8" i="2"/>
  <c r="T7" i="2"/>
  <c r="S7" i="2"/>
  <c r="R7" i="2"/>
  <c r="Q7" i="2"/>
  <c r="C7" i="2"/>
</calcChain>
</file>

<file path=xl/sharedStrings.xml><?xml version="1.0" encoding="utf-8"?>
<sst xmlns="http://schemas.openxmlformats.org/spreadsheetml/2006/main" count="1851" uniqueCount="1184">
  <si>
    <t>Parution au JO</t>
  </si>
  <si>
    <t>Notes</t>
  </si>
  <si>
    <t>tranche1</t>
  </si>
  <si>
    <t>tranche2</t>
  </si>
  <si>
    <t>tranche3</t>
  </si>
  <si>
    <t>tranche4</t>
  </si>
  <si>
    <t>tranche5</t>
  </si>
  <si>
    <t>txmarg1</t>
  </si>
  <si>
    <t>txmarg2</t>
  </si>
  <si>
    <t>txmarg3</t>
  </si>
  <si>
    <t>txmarg4</t>
  </si>
  <si>
    <t>txmarg5</t>
  </si>
  <si>
    <t>txmarg6</t>
  </si>
  <si>
    <t>txmarg7</t>
  </si>
  <si>
    <t>BOI 5 B-7-11 
n°26 du 28/03/2011</t>
  </si>
  <si>
    <t>BOI 5 B-13-10
 n°22 du 16/02/2010</t>
  </si>
  <si>
    <t>BOI 5 B-9-09
n°35 du 31/03/2009</t>
  </si>
  <si>
    <t>BOI 5 B-11-08
n°28 du 04/03/2008</t>
  </si>
  <si>
    <t>BOI 5 B-10-07
n°47 du 29/03/2007</t>
  </si>
  <si>
    <t>BOI 5 B-6-06
n°8 du 18/01/2006</t>
  </si>
  <si>
    <t>BOI 5 B-9-05
n°33 du 18/02/2005</t>
  </si>
  <si>
    <t>BOI 5 B-8-04
n°37 du 25/02/2004</t>
  </si>
  <si>
    <t>BOI 5 B-6-03
n°16 du 27/01/2003</t>
  </si>
  <si>
    <t>BOI 5 B-3-02
n°18 du 25/01/2002</t>
  </si>
  <si>
    <t>BOI 5 B-9-01
n°44 du 02/03/2001</t>
  </si>
  <si>
    <t>seuil_rfr_ppe</t>
  </si>
  <si>
    <t>seuil_rfr_ppe_coup</t>
  </si>
  <si>
    <t>seuil_rfr_ppe_enf</t>
  </si>
  <si>
    <t>seuil_ppe_min</t>
  </si>
  <si>
    <t>seuil_ppe</t>
  </si>
  <si>
    <t>seuil_ppe_max</t>
  </si>
  <si>
    <t>seuil_ppe_coup</t>
  </si>
  <si>
    <t>seuil_ppe_max_coup</t>
  </si>
  <si>
    <t>tx_ppe</t>
  </si>
  <si>
    <t>tx_ret_ppe</t>
  </si>
  <si>
    <t>tx_ret_ppe_coup</t>
  </si>
  <si>
    <t>supp_ppe_coup</t>
  </si>
  <si>
    <t>supp_ppe_enf</t>
  </si>
  <si>
    <t>maj_ppe_tp</t>
  </si>
  <si>
    <t>maj_ppe_tpbis</t>
  </si>
  <si>
    <t>ppe_min</t>
  </si>
  <si>
    <t>plaf_qf</t>
  </si>
  <si>
    <t>plaf_qf_parentisole</t>
  </si>
  <si>
    <t>plaf_qf_persseule</t>
  </si>
  <si>
    <t>plaf_qf_inv</t>
  </si>
  <si>
    <t>plaf_penalim</t>
  </si>
  <si>
    <t>abt_pers_age2</t>
  </si>
  <si>
    <t>plaf_pers_age1</t>
  </si>
  <si>
    <t>plaf_pers_age2</t>
  </si>
  <si>
    <t>tx_ded_sal</t>
  </si>
  <si>
    <t>min_abtsal</t>
  </si>
  <si>
    <t>min_abtsal_chom</t>
  </si>
  <si>
    <t>max_abtsal</t>
  </si>
  <si>
    <t>min_abtpen</t>
  </si>
  <si>
    <t>max_abtpen</t>
  </si>
  <si>
    <t>plaf_frais</t>
  </si>
  <si>
    <t>abt_enfmaries</t>
  </si>
  <si>
    <t>plafColuche</t>
  </si>
  <si>
    <t>param_decote</t>
  </si>
  <si>
    <t>txsaldomicile</t>
  </si>
  <si>
    <t>plafsaldomicile</t>
  </si>
  <si>
    <t>increment_plafsaldomicile</t>
  </si>
  <si>
    <t>superplafsaldom</t>
  </si>
  <si>
    <t>plafsaldominvalide</t>
  </si>
  <si>
    <t>txgardenf</t>
  </si>
  <si>
    <t>plafgardenf</t>
  </si>
  <si>
    <t>tx_pv</t>
  </si>
  <si>
    <t>seuil_pv</t>
  </si>
  <si>
    <t>BOI 5 C-1-09
n°9 du 23/01/2009</t>
  </si>
  <si>
    <t>BOI 5 C-2-08
n°50 du 14/05/2008</t>
  </si>
  <si>
    <t>BOI 5 C-2-08
n°36 du 14/03/2007</t>
  </si>
  <si>
    <t>BOI 5 C-1-03
n°51 du 18/03/2003</t>
  </si>
  <si>
    <t>txabt_micro</t>
  </si>
  <si>
    <t>txabt_micro_service</t>
  </si>
  <si>
    <t>abtmin_micro</t>
  </si>
  <si>
    <t>limit_micro</t>
  </si>
  <si>
    <t>limit_micro_service</t>
  </si>
  <si>
    <t>txabt_microbnc</t>
  </si>
  <si>
    <t xml:space="preserve">BOI 5 B-5-00
n°11 du 17/01/2000
</t>
  </si>
  <si>
    <t>BOI 5 B-8-03
n°34 du 21/02/2003</t>
  </si>
  <si>
    <t>BOI 5 B-20-05
n°121 du 15/07/2005</t>
  </si>
  <si>
    <t>abt_micro_fon</t>
  </si>
  <si>
    <t>BOI 5 B-1-08
n°6 du 14/01/2008</t>
  </si>
  <si>
    <t>BOI 5 B-6-10
n°9 du 19/01/2010</t>
  </si>
  <si>
    <t xml:space="preserve">Création du dispositif pour l'imposition des revenus de 1991. 
Le contribuable doit choisir entre la réduction d'impôt pour l'emploi d'un salarié travaillant à la résidence d'un ascendant et le bénéfice des dispositions relatives aux pensions alimentaires, pour la pension versée à ce même ascendant. Le choix effectué en faveur de la réduction d'impôt entraîne renonciation à la déduction de l'ensemble des sommes versées à titre de pension alimentaire pour un même ascendant et non pas seulement à la fraction relative aux frais d'emploi du salarié à domicile. </t>
  </si>
  <si>
    <t>BOI 5 B-13-06
n°62 du 05/04/2006</t>
  </si>
  <si>
    <t>Passage de 25% à 50% du taux de crédit d'impôt.</t>
  </si>
  <si>
    <t>abt_av</t>
  </si>
  <si>
    <t>tx_abt_rcm</t>
  </si>
  <si>
    <t>abt_rcm</t>
  </si>
  <si>
    <t>tx_pv1</t>
  </si>
  <si>
    <t>tx_pv2</t>
  </si>
  <si>
    <t>plaf_DefBA</t>
  </si>
  <si>
    <t>plaf_def_fonc</t>
  </si>
  <si>
    <t>Séparation du régime d'imposition micro-entreprise :
ventes de marchandises et prestations de services</t>
  </si>
  <si>
    <t>txSOFICA_1</t>
  </si>
  <si>
    <t>txSOFICA_2</t>
  </si>
  <si>
    <t>plafSOFICA</t>
  </si>
  <si>
    <t xml:space="preserve">baseSOFICA </t>
  </si>
  <si>
    <t>abt_pers_age1</t>
  </si>
  <si>
    <t>Décret n°2010-421 du
 27/04/2010 - art. 1</t>
  </si>
  <si>
    <t>Décret n°2011-645 du
 09/06/2011 - art. 1</t>
  </si>
  <si>
    <t>exo_apprenti</t>
  </si>
  <si>
    <t>mindeduc_perp</t>
  </si>
  <si>
    <t>max_deduc_perp</t>
  </si>
  <si>
    <t>BOI 5 B-5-00
n°11 du 17/01/2000</t>
  </si>
  <si>
    <t>plafcotsynd</t>
  </si>
  <si>
    <t>txColuche</t>
  </si>
  <si>
    <t>txDons</t>
  </si>
  <si>
    <t>plafDons</t>
  </si>
  <si>
    <t>Décret n°2009-389 du 7 avril 2009 - art. 1</t>
  </si>
  <si>
    <t>seuil_pv1</t>
  </si>
  <si>
    <t>tx_pea</t>
  </si>
  <si>
    <t xml:space="preserve">Loi de programmation pour la cohésion sociale
 n° 2005-32 du 18/01/2005 </t>
  </si>
  <si>
    <t>txFCP_1</t>
  </si>
  <si>
    <t>txFCP_2</t>
  </si>
  <si>
    <t>Article 199 decies du CGI</t>
  </si>
  <si>
    <t>plaf_creditRCM</t>
  </si>
  <si>
    <t>tx_nich</t>
  </si>
  <si>
    <t>plaf_nich</t>
  </si>
  <si>
    <t>txmarg8</t>
  </si>
  <si>
    <t>txmarg9</t>
  </si>
  <si>
    <t>txmarg10</t>
  </si>
  <si>
    <t>txmarg11</t>
  </si>
  <si>
    <t>txmarg12</t>
  </si>
  <si>
    <t>txmarg13</t>
  </si>
  <si>
    <t>tranche6</t>
  </si>
  <si>
    <t>tranche7</t>
  </si>
  <si>
    <t>tranche8</t>
  </si>
  <si>
    <t>tranche9</t>
  </si>
  <si>
    <t>tranche10</t>
  </si>
  <si>
    <t>tranche11</t>
  </si>
  <si>
    <t>tranche12</t>
  </si>
  <si>
    <t>tranche13</t>
  </si>
  <si>
    <t>tranche14</t>
  </si>
  <si>
    <t>txmarg14</t>
  </si>
  <si>
    <t>Source: Lefebvre Fiscal 1989</t>
  </si>
  <si>
    <t>max_abt_dedsal</t>
  </si>
  <si>
    <t>plaf_ab_dedsal</t>
  </si>
  <si>
    <t>plaf_micro_foncier</t>
  </si>
  <si>
    <t>plaf_navire</t>
  </si>
  <si>
    <t>tx_navire</t>
  </si>
  <si>
    <t>plaf_navirecom</t>
  </si>
  <si>
    <t>plaf_SOFIPECHE</t>
  </si>
  <si>
    <t>plaf_SOFICA</t>
  </si>
  <si>
    <t xml:space="preserve">base_SOFICA </t>
  </si>
  <si>
    <t>plaf_capital_soc1</t>
  </si>
  <si>
    <t>plaf_capital_soc2</t>
  </si>
  <si>
    <t>plaf_epargnecodev</t>
  </si>
  <si>
    <t>tx_epargnecodev</t>
  </si>
  <si>
    <t>plaf_grossedepense</t>
  </si>
  <si>
    <t>tx_formachef</t>
  </si>
  <si>
    <t>plaf_formachef</t>
  </si>
  <si>
    <t>tx_cotsynd</t>
  </si>
  <si>
    <t>tx_habitat</t>
  </si>
  <si>
    <t>increment_action</t>
  </si>
  <si>
    <t>plaf_action</t>
  </si>
  <si>
    <t>plaf_habitat1</t>
  </si>
  <si>
    <t>plaf_habitat2</t>
  </si>
  <si>
    <t>plaf_habitat3</t>
  </si>
  <si>
    <t>increment_habitat</t>
  </si>
  <si>
    <t>tx_avie</t>
  </si>
  <si>
    <t>plaf_avie</t>
  </si>
  <si>
    <t>increment_avie</t>
  </si>
  <si>
    <t>comptabilité</t>
  </si>
  <si>
    <t>tx_survie</t>
  </si>
  <si>
    <t>plaf_survie</t>
  </si>
  <si>
    <t>increment_survie</t>
  </si>
  <si>
    <t>tx_PME</t>
  </si>
  <si>
    <t>tx_rachat</t>
  </si>
  <si>
    <t>plaf_rachat</t>
  </si>
  <si>
    <t>plaf_donsintgéné</t>
  </si>
  <si>
    <t>tx_partipol</t>
  </si>
  <si>
    <t>tx_salarial</t>
  </si>
  <si>
    <t>plaf_salarial</t>
  </si>
  <si>
    <t>prêt_conso</t>
  </si>
  <si>
    <t>plaf_partipol</t>
  </si>
  <si>
    <t>tx_grostravaux</t>
  </si>
  <si>
    <t>plaf_grostravaux</t>
  </si>
  <si>
    <t>tx_prestcomp</t>
  </si>
  <si>
    <t>plaf_prestcomp</t>
  </si>
  <si>
    <t>tx_foret</t>
  </si>
  <si>
    <t>plaf_foret</t>
  </si>
  <si>
    <t>plaf_conso</t>
  </si>
  <si>
    <t>tx_repsoc</t>
  </si>
  <si>
    <t>plaf_repsoc</t>
  </si>
  <si>
    <t>taux_intagri</t>
  </si>
  <si>
    <t>plaf_intagri</t>
  </si>
  <si>
    <t>taux_incendie</t>
  </si>
  <si>
    <t>plaf_incendie</t>
  </si>
  <si>
    <t>crea_entr</t>
  </si>
  <si>
    <t>crea_entr2</t>
  </si>
  <si>
    <t>tx_monhist</t>
  </si>
  <si>
    <t>plaf_monhist</t>
  </si>
  <si>
    <t>plaf_restauimmo</t>
  </si>
  <si>
    <t>tx_restauimmo1</t>
  </si>
  <si>
    <t>tx_restauimmo2</t>
  </si>
  <si>
    <t>txSOFIPECHE</t>
  </si>
  <si>
    <t xml:space="preserve">base_SOFIPECHE </t>
  </si>
  <si>
    <t>tx_codev</t>
  </si>
  <si>
    <t>plaf_codev</t>
  </si>
  <si>
    <t xml:space="preserve">base_codev </t>
  </si>
  <si>
    <t>tx_protecpat</t>
  </si>
  <si>
    <t>plaf_protecpat</t>
  </si>
  <si>
    <t>plaf_hebergante</t>
  </si>
  <si>
    <t>tx_hebergante</t>
  </si>
  <si>
    <t>tranche1_HR</t>
  </si>
  <si>
    <t>tranche2_HR</t>
  </si>
  <si>
    <t>txmarg1_HR</t>
  </si>
  <si>
    <t>txmarg2_HR</t>
  </si>
  <si>
    <t>II. Calcul de l'impôt sur le revenu</t>
  </si>
  <si>
    <t>I. Calcul des revenus imposables</t>
  </si>
  <si>
    <t>III. Calcul des réductions d'impôts</t>
  </si>
  <si>
    <t>Antoine Bozio, antoine.bozio@ipp.eu</t>
  </si>
  <si>
    <t>Année IR</t>
  </si>
  <si>
    <t>Jusqu'à l'imposition des revenus de 1998, les régimes spéciaux  (appelé micro et micro_service ici) concernent les locations meublés non professionnelles, les BIC non professionnelles (depuis 98 seulement) et les autres activités industrielles et commerciales</t>
  </si>
  <si>
    <t>Ensemble du barème année par année : article 197 du CGI.</t>
  </si>
  <si>
    <t>Changement de calcul de la décote</t>
  </si>
  <si>
    <t>Création sous forme de charge déductible du revenu global</t>
  </si>
  <si>
    <t>Méthode de calcul : en 2011, les dépenses sont retenues dans la limite d'un plafond annuel de 12 000 € , majorée de 1 500 € par enfant à charge et par membre du foyer âgé de plus de 65 ans, sans toutefois dépasser 15 000 € .   Le plafond est porté à 20 000 € en cas d'invalidité</t>
  </si>
  <si>
    <t>Depuis le 01/01/2010, pour la première utilisation du dispositif, les limites du plafonnement  passent de 12 000 € à 15 000 € et de 15 000 € à 18 000 €.</t>
  </si>
  <si>
    <t>Création d'un plafond supérieur pour les invalides</t>
  </si>
  <si>
    <t>Devient une réduction d'impôt =&gt; changement de méthode de calcul</t>
  </si>
  <si>
    <t>Charge déductible du revenu global</t>
  </si>
  <si>
    <t>Plafond des depenses d'investissement forestier</t>
  </si>
  <si>
    <t>Rénommée Dépenses d'hébergement dans un établissement de long séjour ou pour personnes âgées dépendantes ou dans une section de cure médicale</t>
  </si>
  <si>
    <t>Renommée Dépenses liées à la dépendance en cas d'accueil dans un établissement pour personnes âgées dépendantes ou frais d'hébergement dans une section de soins de longue durée ou de cure médicale</t>
  </si>
  <si>
    <t>Renommée Dépenses d'accueil dans un établissement pour personnes âgées dépendantes</t>
  </si>
  <si>
    <t>Renommée Dépenses liées à la dépendance ou frais d'accueil (à partir de 2003, le plafonnement s'applique par personne dépendante)</t>
  </si>
  <si>
    <t>Coefficient de majoration PPE pour temps partiel</t>
  </si>
  <si>
    <t>BOI 5 B-9-08
n°27 DU 03/03/2008</t>
  </si>
  <si>
    <t>BOI 5 B-8-07
n°45 DU 27/03/2007</t>
  </si>
  <si>
    <t>BOI 5 B-16-06
n°82 DU 17/05/2006</t>
  </si>
  <si>
    <t>BOI 5 B-2-05
n°11 DU 17/01/2005</t>
  </si>
  <si>
    <t>BOI 5 B-11-04
n°103 DU 22/06/2004</t>
  </si>
  <si>
    <t>BOI 5 B-12-03
n°102 DU 06/06/2003</t>
  </si>
  <si>
    <t>BOI 5 B-12-02
n°100 DU 06/06/2002</t>
  </si>
  <si>
    <t>BOI 5 B-12-01
n°114 DU 26/06/2001</t>
  </si>
  <si>
    <t>2060 FRF</t>
  </si>
  <si>
    <t>2120 FRF</t>
  </si>
  <si>
    <t>30 200 FRF</t>
  </si>
  <si>
    <t>100 000 FRF</t>
  </si>
  <si>
    <t>70 000 FRF</t>
  </si>
  <si>
    <t>50 000 FRF</t>
  </si>
  <si>
    <t>2000 FRF</t>
  </si>
  <si>
    <t>27 120 FRF</t>
  </si>
  <si>
    <t>22 730 FRF</t>
  </si>
  <si>
    <t>22 100 FRF</t>
  </si>
  <si>
    <t>21 450 FRF</t>
  </si>
  <si>
    <t>20 780 FRF</t>
  </si>
  <si>
    <t>20 110 FRF</t>
  </si>
  <si>
    <t>9 300 FRF</t>
  </si>
  <si>
    <t>4 650 FRF</t>
  </si>
  <si>
    <t>57 000 FRF</t>
  </si>
  <si>
    <t xml:space="preserve">93 000 FRF </t>
  </si>
  <si>
    <t>19 600 FRF</t>
  </si>
  <si>
    <t>18 570 FRF</t>
  </si>
  <si>
    <t>16 190 FRF</t>
  </si>
  <si>
    <t>15 330 FRF</t>
  </si>
  <si>
    <t>14 230 FRF</t>
  </si>
  <si>
    <t>13 000 FRF</t>
  </si>
  <si>
    <t>12 500 FRF</t>
  </si>
  <si>
    <t>18 600 FRF</t>
  </si>
  <si>
    <t>20 300 FRF</t>
  </si>
  <si>
    <t>21 100 FRF</t>
  </si>
  <si>
    <t>23 000 FRF</t>
  </si>
  <si>
    <t>24 000 FRF</t>
  </si>
  <si>
    <t>26 200 FRF</t>
  </si>
  <si>
    <t>1000 FRF</t>
  </si>
  <si>
    <t>520 FRF</t>
  </si>
  <si>
    <t>1 800 FRF</t>
  </si>
  <si>
    <t>24 400 FRF</t>
  </si>
  <si>
    <t>29 300 FRF</t>
  </si>
  <si>
    <t>25 000 FRF</t>
  </si>
  <si>
    <t>21 400 FRF</t>
  </si>
  <si>
    <t>25 900 FRF</t>
  </si>
  <si>
    <t>1 800FRF</t>
  </si>
  <si>
    <t>1 860 FRF</t>
  </si>
  <si>
    <t>27 500 FRF</t>
  </si>
  <si>
    <t>28 400 FRF</t>
  </si>
  <si>
    <t>30 800 FRF</t>
  </si>
  <si>
    <t>1 900 FRF</t>
  </si>
  <si>
    <t>23 100 FRF</t>
  </si>
  <si>
    <t>8 700 FRF</t>
  </si>
  <si>
    <t>9 800 FRF</t>
  </si>
  <si>
    <t>6 000 FRF</t>
  </si>
  <si>
    <t>5 000 FRF</t>
  </si>
  <si>
    <t>2 000 FRF</t>
  </si>
  <si>
    <t>40 000 FRF</t>
  </si>
  <si>
    <t>7 900 FRF</t>
  </si>
  <si>
    <t>8 600 FRF</t>
  </si>
  <si>
    <t>4 000 FRF</t>
  </si>
  <si>
    <t>21  450 FRF</t>
  </si>
  <si>
    <t>6 700 FRF</t>
  </si>
  <si>
    <t>7 300 FRF</t>
  </si>
  <si>
    <t>3 720 FRF</t>
  </si>
  <si>
    <t>37 200 FRF</t>
  </si>
  <si>
    <t>3 400 FRF</t>
  </si>
  <si>
    <t>1 700 FRF</t>
  </si>
  <si>
    <t>21 000 FRF</t>
  </si>
  <si>
    <t>34 000 FRF</t>
  </si>
  <si>
    <t>32 500 FRF</t>
  </si>
  <si>
    <t>2 630 FRF</t>
  </si>
  <si>
    <t>52 600 FRF</t>
  </si>
  <si>
    <t>4 630 FRF</t>
  </si>
  <si>
    <t>15 900 FRF</t>
  </si>
  <si>
    <t>16 400 FRF</t>
  </si>
  <si>
    <t>8 860 FRF</t>
  </si>
  <si>
    <t>1 500 FRF</t>
  </si>
  <si>
    <t>8 000 FRF</t>
  </si>
  <si>
    <t>3 000 FRF</t>
  </si>
  <si>
    <t>13 620 FRF</t>
  </si>
  <si>
    <t>13 310 FRF</t>
  </si>
  <si>
    <t>500 FRF</t>
  </si>
  <si>
    <t>400 FRF</t>
  </si>
  <si>
    <t xml:space="preserve">  </t>
  </si>
  <si>
    <t>15 000 FRF</t>
  </si>
  <si>
    <t>30 000 FRF</t>
  </si>
  <si>
    <t>20 000 FRF</t>
  </si>
  <si>
    <t>10 000 FRF</t>
  </si>
  <si>
    <t>307 600 FRF</t>
  </si>
  <si>
    <t>150 000 FRF</t>
  </si>
  <si>
    <t>265 000 FRF</t>
  </si>
  <si>
    <t>272 000 FRF</t>
  </si>
  <si>
    <t>281 000 FRF</t>
  </si>
  <si>
    <t>298 000 FRF</t>
  </si>
  <si>
    <t>316 900 FRF</t>
  </si>
  <si>
    <t>325 800 FRF</t>
  </si>
  <si>
    <t>85 800 frf</t>
  </si>
  <si>
    <t>15 730 FRF</t>
  </si>
  <si>
    <t>39 300 FRF</t>
  </si>
  <si>
    <t>42 800 FRF</t>
  </si>
  <si>
    <t>16 660 FRF</t>
  </si>
  <si>
    <t>46 300 FRF</t>
  </si>
  <si>
    <t>42 500 FRF</t>
  </si>
  <si>
    <t>14 470 FRF</t>
  </si>
  <si>
    <t>4 010 FRF</t>
  </si>
  <si>
    <t>Déduction du revenu offerte  aux foyers fiscaux  dont les conjoints justifient d'un emploi à plein temps ou ne peuvent exercer leur emploi du fait d'une longue maladie ou d'une infirmité à partir de 1982.</t>
  </si>
  <si>
    <t>4 310 FRF</t>
  </si>
  <si>
    <t>1 000 FRF</t>
  </si>
  <si>
    <t>3 225 FRF</t>
  </si>
  <si>
    <t>600 FRF</t>
  </si>
  <si>
    <t>3 250 FRF</t>
  </si>
  <si>
    <t>42500 FRF</t>
  </si>
  <si>
    <t>41 700 FRF</t>
  </si>
  <si>
    <t>40 500 FRF</t>
  </si>
  <si>
    <t>36 700 FRF</t>
  </si>
  <si>
    <t>34 500 FRF</t>
  </si>
  <si>
    <t>33 600 FRF</t>
  </si>
  <si>
    <t>16 800 FRF</t>
  </si>
  <si>
    <t>15 200 FRF</t>
  </si>
  <si>
    <t>342 800 FRF</t>
  </si>
  <si>
    <t>336 700 FRF</t>
  </si>
  <si>
    <t>Plaf_qf_foy_maj</t>
  </si>
  <si>
    <t>9 000 FRF</t>
  </si>
  <si>
    <t>7 000 FRF</t>
  </si>
  <si>
    <t>7 600 FRF</t>
  </si>
  <si>
    <t>8 740 FRF</t>
  </si>
  <si>
    <t>9 500 FRF</t>
  </si>
  <si>
    <t>10 800 FRF</t>
  </si>
  <si>
    <t>168 000 FRF</t>
  </si>
  <si>
    <t>14 090 FRF</t>
  </si>
  <si>
    <t>7 800 FRF</t>
  </si>
  <si>
    <t>3 900 FRF</t>
  </si>
  <si>
    <t>48 400 FRF</t>
  </si>
  <si>
    <t>78 000 FRF</t>
  </si>
  <si>
    <t>35 700 FRF</t>
  </si>
  <si>
    <t>38 900 FRF</t>
  </si>
  <si>
    <t>12 810 FRF</t>
  </si>
  <si>
    <t>6 960 FRF</t>
  </si>
  <si>
    <t>3 480 FRF</t>
  </si>
  <si>
    <t>43 100 FRF</t>
  </si>
  <si>
    <t>69 600 FRF</t>
  </si>
  <si>
    <t>31 800 FRF</t>
  </si>
  <si>
    <t>34 700 FRF</t>
  </si>
  <si>
    <t>190 700 FRF</t>
  </si>
  <si>
    <t>BOI 5-B-11-12</t>
  </si>
  <si>
    <t>Allocations chômage</t>
  </si>
  <si>
    <t xml:space="preserve">Taux </t>
  </si>
  <si>
    <t>Taux</t>
  </si>
  <si>
    <t>Abattement forfaitaire pour frais professionnels sur les salaires et pensions</t>
  </si>
  <si>
    <t>Pensions</t>
  </si>
  <si>
    <t>Produits des assurances-vies et assimilés</t>
  </si>
  <si>
    <t>Abattement</t>
  </si>
  <si>
    <t>Revenus de capitaux mobiliers (dividendes)</t>
  </si>
  <si>
    <t>Taux de l'abattement</t>
  </si>
  <si>
    <t>Abattement forfaitaire</t>
  </si>
  <si>
    <t xml:space="preserve">Plafond du crédit d'impôt </t>
  </si>
  <si>
    <t>Plafond de recettes (marchandises)</t>
  </si>
  <si>
    <t>Plafond de recettes (services)</t>
  </si>
  <si>
    <t>Plafond de recettes</t>
  </si>
  <si>
    <t>Plafond</t>
  </si>
  <si>
    <t>Déduction pour frais d'accueil d'une personne de plus de 75 ans</t>
  </si>
  <si>
    <t>Déduction pour pensions alimentaires</t>
  </si>
  <si>
    <t>Minimum</t>
  </si>
  <si>
    <t>Maximum</t>
  </si>
  <si>
    <t>Plafond de la réduction</t>
  </si>
  <si>
    <t>Acquisition de navire</t>
  </si>
  <si>
    <t>Déductions pour pertes en capital sociétés nouvelles</t>
  </si>
  <si>
    <t>Plafond 1</t>
  </si>
  <si>
    <t>Plafond 2</t>
  </si>
  <si>
    <t>Déductions investissement DOM-TOM</t>
  </si>
  <si>
    <t>Déductions pour souscription parts SOFIPECHE</t>
  </si>
  <si>
    <t>Plafond en % du rev net global</t>
  </si>
  <si>
    <t>Déductions pour investissements en actions</t>
  </si>
  <si>
    <t>Supplément par enfant</t>
  </si>
  <si>
    <t xml:space="preserve">Réduction  pour versement compte épargne CODEV  </t>
  </si>
  <si>
    <t>Déductions pour grosses réparations</t>
  </si>
  <si>
    <t>Déductions pour navires de commerce</t>
  </si>
  <si>
    <t>Montant 1</t>
  </si>
  <si>
    <t>Montant 2</t>
  </si>
  <si>
    <t>Plafond de ressources 1</t>
  </si>
  <si>
    <t>Plafond de ressources 2</t>
  </si>
  <si>
    <t>Montant</t>
  </si>
  <si>
    <t xml:space="preserve"> moins de 65 ans</t>
  </si>
  <si>
    <t>plus de 65 ans</t>
  </si>
  <si>
    <t>Apprentis</t>
  </si>
  <si>
    <t xml:space="preserve">BOI 5 B-19-00
n°163 du 05/09/2000
</t>
  </si>
  <si>
    <t>Général</t>
  </si>
  <si>
    <t>Part pour le 1er enfant des parents isolés</t>
  </si>
  <si>
    <t>Personnes seules ayant eus des enfants</t>
  </si>
  <si>
    <t>Décote</t>
  </si>
  <si>
    <t>Imposition des plus-values mobilières (levées d'options attribuées depuis 27/4/2000 &amp; cessions réalisées moins de deux ans après la levée)</t>
  </si>
  <si>
    <t>Seuil d'imposition</t>
  </si>
  <si>
    <t>PEA</t>
  </si>
  <si>
    <t>Dons Coluche</t>
  </si>
  <si>
    <t>Dons aux œuvres</t>
  </si>
  <si>
    <t>Dons d'intérêt général</t>
  </si>
  <si>
    <t>Dons aux partis politiques</t>
  </si>
  <si>
    <t>Réduction d'impôt pour cotisations syndicales</t>
  </si>
  <si>
    <t>Réduction pour souscriptions de parts de SOFIPECHE</t>
  </si>
  <si>
    <t>Increment du plafond</t>
  </si>
  <si>
    <t>Plafond maximum</t>
  </si>
  <si>
    <t>Prestations compensatoires</t>
  </si>
  <si>
    <t>Réduction pour souscriptions de parts de SOFICA</t>
  </si>
  <si>
    <t>Taux 1</t>
  </si>
  <si>
    <t>Taux 2</t>
  </si>
  <si>
    <t>Réduction d'impot pour investissements forestiers</t>
  </si>
  <si>
    <t>Réduction d'impôt pour la défense des forêts contre les incendies</t>
  </si>
  <si>
    <t>Lycée</t>
  </si>
  <si>
    <t>Université</t>
  </si>
  <si>
    <t>Réduction d'impôt pour gros travaux</t>
  </si>
  <si>
    <t>Intérêts d'emprunts</t>
  </si>
  <si>
    <t>Déduction des charges</t>
  </si>
  <si>
    <t>Compte épargne co-developpement</t>
  </si>
  <si>
    <t>Plafond en % du revenu net global</t>
  </si>
  <si>
    <t>Dépenses pour la formation des chefs d'entreprises</t>
  </si>
  <si>
    <t>Assurances-vie</t>
  </si>
  <si>
    <t>Incrément</t>
  </si>
  <si>
    <t>Rachat d'entreprise</t>
  </si>
  <si>
    <t>Versement fond salarial</t>
  </si>
  <si>
    <t>Suppléments</t>
  </si>
  <si>
    <t>Couples mono-emploi</t>
  </si>
  <si>
    <t>Par personne à charge</t>
  </si>
  <si>
    <t>Minimun de PPE</t>
  </si>
  <si>
    <t>Seuil de RFR pour être éligibilité à la PPE</t>
  </si>
  <si>
    <t>Revenu d'activité individuel permettant d'obtenir la PPE à taux plein (cas général)</t>
  </si>
  <si>
    <t>Couple marié ou pacsé</t>
  </si>
  <si>
    <t xml:space="preserve"> Personne seule</t>
  </si>
  <si>
    <t>Revenu d'activité individuel minimum</t>
  </si>
  <si>
    <t>Revenu d'activité individuel permettant d'obtenir la PPE à taux plein (couples mono-revenus)</t>
  </si>
  <si>
    <t>Revenu d'activité individuel maximum (couples mono-emploi et parents isolés)</t>
  </si>
  <si>
    <t xml:space="preserve">Taux de la PPE 
</t>
  </si>
  <si>
    <t>phase-out
(cas général)</t>
  </si>
  <si>
    <t>phase-in</t>
  </si>
  <si>
    <t xml:space="preserve"> phase-out (couples mono-emploi)</t>
  </si>
  <si>
    <t>Plafonnement des niches</t>
  </si>
  <si>
    <t>Seuil de la 1ère tranche</t>
  </si>
  <si>
    <t>Seuil de la 2ème tranche</t>
  </si>
  <si>
    <t>tx_pv_pro</t>
  </si>
  <si>
    <t>ntranche</t>
  </si>
  <si>
    <t>Conditions de ressources pour exonération d'IR</t>
  </si>
  <si>
    <t>Veuf avec un ou plusieurs enfants à charge</t>
  </si>
  <si>
    <t>plaf_qf_veuf</t>
  </si>
  <si>
    <t>reduc_enfscol1</t>
  </si>
  <si>
    <t>reduc_enfscol2</t>
  </si>
  <si>
    <t>reduc_enfscol3</t>
  </si>
  <si>
    <t>Taux d'imposition des plus-values mobilières de 2012 (imposées en 2013) majoré à 24% par la loi de finances pour 2013 (LOI n° 2012-1509 du 29 décembre 2012 de finances pour 2013 art. 10)</t>
  </si>
  <si>
    <t>tx_abt_irpp_sal</t>
  </si>
  <si>
    <t>Intégration de l'abattement de 20% au barème de l'impôt sur le revenu</t>
  </si>
  <si>
    <t>Valeur minimale d'abattement pour les chômeurs de plus d'un an
 (art. 13 de la loi de finances pour 1998)</t>
  </si>
  <si>
    <t>Abattement de 10% salaire et chômeur : art. 83-3 du CGI 
Abattement de 10% pensions et retraites : art. 158-5 du CGI
Abattement supplémentaire de 20% : art. 158-5 du CGI</t>
  </si>
  <si>
    <t>Décret n°2009-389 du 
07/04/2009 - art. 1</t>
  </si>
  <si>
    <t>Décret n°2008-294 du 
01/04/2008 - art. 1</t>
  </si>
  <si>
    <t>BOI 5 F-7-12 du 02/03/2012</t>
  </si>
  <si>
    <t>Invalidité - Ancien combattant</t>
  </si>
  <si>
    <t xml:space="preserve">Création catégorie invalidité :
art.3 loi de finances pour 1999 </t>
  </si>
  <si>
    <t xml:space="preserve">Création catégorie personne seule : 
art.2 loi de finances pour 1998 </t>
  </si>
  <si>
    <t>Les plus-values mobilières sont intégrées à l'assiette de l'IR et donc imposées au barème avec des abattements dépendant de la durée de détention  : 20 % (détention 2 à 4 ans), 30 % (4-6 ans), 40% (au-delà)</t>
  </si>
  <si>
    <t>Imposition des plus-values de cession de valeurs mobilières et des plus-values professionnelles</t>
  </si>
  <si>
    <t>Taux tranche inférieure</t>
  </si>
  <si>
    <t>Seuil tranche supérieure</t>
  </si>
  <si>
    <t>Taux tranche supérieure</t>
  </si>
  <si>
    <t>Taux avant 2 ans</t>
  </si>
  <si>
    <t>Taux postérieur</t>
  </si>
  <si>
    <t>Depuis revenus 1999, regroupement des dons aux œuvres reconnues d'utilité publique, d'intérêt général et pour le financement des partis politiques et des campagnes électorales</t>
  </si>
  <si>
    <t>Avant 1990 (inclus) : Dons coluche et autre dons dans art. 238-2 bis du CGI</t>
  </si>
  <si>
    <t>Loi de finances pour 2011 n° 2010-1657 du 29 décembre 2010 art. 105</t>
  </si>
  <si>
    <t>Emploi d'un salarié à domicile</t>
  </si>
  <si>
    <t>Depuis le 01/01/2008, la réduction d'impôt peut également devenir un crédit d'impôt</t>
  </si>
  <si>
    <t>Institution d'une réduction d'impôt en cas de versement de la prestation compensatoire en capital </t>
  </si>
  <si>
    <t>Aménagement possible des dispositions fiscales : art. 128  et 275-1 du code civil</t>
  </si>
  <si>
    <t>Plafond célibataire</t>
  </si>
  <si>
    <t>Taux (Corse - FIP)</t>
  </si>
  <si>
    <t>Plafond couple (FCPI)</t>
  </si>
  <si>
    <t>BOI-IR-RICI-110</t>
  </si>
  <si>
    <t>BOI-IR-LIQ-20 du 13/06/2013</t>
  </si>
  <si>
    <t xml:space="preserve">
</t>
  </si>
  <si>
    <t xml:space="preserve">Notes : </t>
  </si>
  <si>
    <t>(1) Les montants des plafonnements de quotient familial et de la décote se trouvent  à l'article 197-2 du CGI.</t>
  </si>
  <si>
    <t>Voir notes (1) et (2) pour la fin du régime transitoire pour certains contribuables</t>
  </si>
  <si>
    <t>Notes :</t>
  </si>
  <si>
    <t>(3) Plafond à doubler pour couples mariés ou pacsés pour fonds d'investissement de proximité (FIP)</t>
  </si>
  <si>
    <t>Concerne les versements jusqu'au 31 décembre 2012 (et non 2013)</t>
  </si>
  <si>
    <t>(2) Art. 199 terdecies-0-A CGI. Pour les FIP en Corse voir BOI-IR-RICI-120</t>
  </si>
  <si>
    <t>Auteurs :</t>
  </si>
  <si>
    <t>(1) Abattement et plafond de ressources pour personne âgée : art. 157 bis du CGI (abattement doublé si le conjoint répond aux mêmes conditions)</t>
  </si>
  <si>
    <t>(2) Abattement pour rattachement d'enfants mariés : art. 196 B du CGI</t>
  </si>
  <si>
    <t>(3) Abattement par personne rattachée - à doubler dans le cas d'un jeune ménage ou d'un célibataire avec jeune enfant, à tripler pour couple avec enfant rattaché</t>
  </si>
  <si>
    <t>Voir Notes (1), (2) et (3)</t>
  </si>
  <si>
    <t>voir aussi loi de finances rectificative pour 2001 
N° 2001-1276 du 28 décembre 2001 art.51</t>
  </si>
  <si>
    <t>(1) Le montant annuel de référence pour l’exonération des salaires des apprentis est obtenu en multipliant le montant moyen du SMIC horaire brut sur l’année d’imposition par 1 820 heures (35 h x 52)</t>
  </si>
  <si>
    <t>Exonération apprentis : fraction du salaire des apprentis exonérée d'IR jusqu'en 2005 inclus : art. 5-2° bis du CGI, à compter de 2006, ce montant est égal au montant annuel du SMIC</t>
  </si>
  <si>
    <t>(2) Les plafonds font référence aux revenus nets de frais professionnels.</t>
  </si>
  <si>
    <t>(3) Conditions de ressources pour exonération IR : art. 5-2° bis du CGI</t>
  </si>
  <si>
    <t>&gt; Voir B.O.I. N° 27 DU 25 FEVRIER 2010 [BOI 5B-15-10]</t>
  </si>
  <si>
    <t>Avant 2001 : art 92 B du CGI</t>
  </si>
  <si>
    <t xml:space="preserve">Seuil d'imposition des plus-values : art 150-0 A du CGI supprimé par LF 2011 
</t>
  </si>
  <si>
    <t>Pour les options attribuées à compter du 27/04/2000, création des variables tx_pv1 et seuil_pv1</t>
  </si>
  <si>
    <t>Pour les options attribuées à compter du 20/09/95, création de la variable tx_pv2</t>
  </si>
  <si>
    <t xml:space="preserve">(1) Dons Coluche (organismes d'aide aux personnes en difficulté)  : art. 200-1 ter du CGI </t>
  </si>
  <si>
    <t>(2) Dons : art. 200-1 du CGI</t>
  </si>
  <si>
    <t xml:space="preserve">Notes </t>
  </si>
  <si>
    <t xml:space="preserve">(1) Cotisations syndicales : art. 199 quater C du CGI </t>
  </si>
  <si>
    <t>(1) Souscription au capital d'une SOFIPECHE : plafonnement à doubler pour couple</t>
  </si>
  <si>
    <t>Les taux de la réduction d’impôt ont été diminués par l’article 105 de la loi de finances pour 2011 (n° 2010-1657 du 29 décembre 2010) pour les investissements réalisés à compter du 1er janvier 2011 puis par l’article 83 de la loi de finances pour 2012 (n° 2011-1977 du 28 décembre 2011) pour les investissements réalisés à compter du 1er janvier 2012.</t>
  </si>
  <si>
    <t>(1) Souscription au capital des PME : 1° du I de l'article 199 terdecies OA du CGI</t>
  </si>
  <si>
    <t>(2) Plafond doublé pour les couples</t>
  </si>
  <si>
    <t>Emprunts contractés pour la reprise d'une PME</t>
  </si>
  <si>
    <t>BOI-IR-RICI-130-20 du  06/03/2014</t>
  </si>
  <si>
    <t>Loi n°2006-1771 du 30 décembre 2006 - art. 56 JORF 31 décembre 2006</t>
  </si>
  <si>
    <t>Augmentation des seuils des chiffres d'affaires (de 140 à 260 millions FRF) ou de total de bilan (de 70 à 175 millions FRF)</t>
  </si>
  <si>
    <t>Loi n°2008-776 du 4 août 2008 - art. 67 (V)</t>
  </si>
  <si>
    <t>Loi n°2008-1443 du 30 décembre 2008 - art. 114 (V)</t>
  </si>
  <si>
    <t>Loi n°2010-1657 du 29 décembre 2010 - art. 38 (V)</t>
  </si>
  <si>
    <t>Loi n°2011-1978 du 28 décembre 2011 - art. 59 (V)</t>
  </si>
  <si>
    <t>Réductions d'impôt pour dépenses d'accueil dans établissement pour les personnes âgées</t>
  </si>
  <si>
    <t>tx_formachef n'est à appliquer que sur l'excédent des frais de formation par rapport à ceux de l'année précédente</t>
  </si>
  <si>
    <t>plaf_formachef: il existe un plafonement trienal de 10 000 FRF pour les conjoints collaborateurs du chef d'entreprise</t>
  </si>
  <si>
    <t xml:space="preserve">Notes : Intitulés précis </t>
  </si>
  <si>
    <t>(2) Assurance-vie : Le montant reporté case MG de la déclaration ouvre droit à la réduction sans condition, ceux reportés case MH sont sous condition que l'impôt de référence soit inférieur ou égal à 7000 FRF</t>
  </si>
  <si>
    <t>(3) Frais de comptabilité et d'adhésion à un CGA ou AA : recettes ne doivent pas excéder la limite du forfait ou de l'évaluation administrativce. Montant par exploitation</t>
  </si>
  <si>
    <t>(4) Rente survie et contrat d'épargne handicap</t>
  </si>
  <si>
    <t>(5) Rachat d'entreprise par salarié : plafond à doubler pour couple</t>
  </si>
  <si>
    <t>(6) Versements à un fonds salarial</t>
  </si>
  <si>
    <t>(7) Intérêt des prêts à la consommation</t>
  </si>
  <si>
    <t>(9) Intérêts pour paiement différé accordé aux agriculteurs : plafond à doubler pour couple</t>
  </si>
  <si>
    <t>(8) Intérêts d'emprunts pour reprise de société : plafond à doubler pour un couple</t>
  </si>
  <si>
    <t>Loi n°2004-804 du 9 août 2004 - art. 2 JORF 11 août 2004 / Décret n°2004-1000 du 21 septembre 2004 - Art. 2</t>
  </si>
  <si>
    <t>Art. 199 vicies A du CGI. Loi n°2006-11 du 5 janvier 2006 - art. 16 (V) JORF 6 janvier 2006</t>
  </si>
  <si>
    <t>Art. 199 terdecies-0 B du CGI. Loi n°2003-721 du 1 août 2003 - art. 42 JORF 5 août 2003</t>
  </si>
  <si>
    <t>(1) Dépenses de formation du chef d'entreprise individuelle : ensemble des dépenses effectuées entre le 01/01/1994 et le 31/12/1996</t>
  </si>
  <si>
    <t>(10) Aide aux créateurs et repreneurs d'entreprise</t>
  </si>
  <si>
    <t>Réduction</t>
  </si>
  <si>
    <t>Surplus si invalide</t>
  </si>
  <si>
    <t>Art. 200 octies du CGI. LOI n°2008-1249 du 1er décembre 2008 - art. 12</t>
  </si>
  <si>
    <t>Art. 199 septies du CGI. Loi 95-1346 1995-12-30 art. 4 I a, b Finances pour 1996 JORF 31 décembre 1995</t>
  </si>
  <si>
    <t>Art. 199 quater B du CGI. Loi n°2001-1275 du 28 décembre 2001 - art. 84</t>
  </si>
  <si>
    <t>Réduction pour enfants scolarisés</t>
  </si>
  <si>
    <t>Crédit d'impôt pour frais de garde d'enfants</t>
  </si>
  <si>
    <t>DB 5 B-3315 - JOFR 31/12/1992</t>
  </si>
  <si>
    <t>Crée par loi d'orientation sur la forêt n°2001-602 du 9 juillet 2001 - JOFR 11/07/2001</t>
  </si>
  <si>
    <t>Loi n°2003-709 du 01/08/2003 - art. 1 (V) - JORF 02/08/2003</t>
  </si>
  <si>
    <t>Décret n°2011-645 du 9 juin 2011 - art. 1 / JORF 11/06/2011</t>
  </si>
  <si>
    <t>Décret n°2010-421 du 27 avril 2010 - art. 1 / JORF 30/04/2010</t>
  </si>
  <si>
    <t>Décret n°2009-389 du 7 avril 2009 - art. 1 / JORF 09/04/2009</t>
  </si>
  <si>
    <t>Décret n°2008-294 du 1er avril 2008 - art. 1 / JORF 02/04/2008</t>
  </si>
  <si>
    <t>BOI 5F-2-12 N° 10 du 03/02/12</t>
  </si>
  <si>
    <t>(1) Art. 200 sexies du CGI</t>
  </si>
  <si>
    <t>(1) Art. 200-0 A du CGI</t>
  </si>
  <si>
    <t>(2) Plafonnement total des niches = plafonnement des niches + taux de plafonnement * revenu net imposable</t>
  </si>
  <si>
    <t>(1) Les seuils du barème exprimés ici sont pour les célibataires. Il faut donc les doubler pour les couples mariés ou pacsés .
 Assiette = revenu fiscal de référence.</t>
  </si>
  <si>
    <t>Contribution exceptionnelle sur les hauts revenus</t>
  </si>
  <si>
    <t>(2) Art. 223 sexies du CGI</t>
  </si>
  <si>
    <t>Décret n°2012-653 du 4 mai 2012 - art. 1</t>
  </si>
  <si>
    <t>Salaires</t>
  </si>
  <si>
    <t>Minimum de l'abattement pour frais professionnels</t>
  </si>
  <si>
    <t>Maximum de l'abattement pour frais professionnels</t>
  </si>
  <si>
    <t>Références législatives</t>
  </si>
  <si>
    <t>Déduction pour versements sur PERP</t>
  </si>
  <si>
    <t xml:space="preserve"> Réduction pour souscriptions de parts de SOFICA </t>
  </si>
  <si>
    <t>Plafond  en % du revenu net global</t>
  </si>
  <si>
    <t>Citer cette source :</t>
  </si>
  <si>
    <t>Contacts :</t>
  </si>
  <si>
    <t>Sommes versées sur un compte épargne codéveloppement (2010)</t>
  </si>
  <si>
    <t>(4) Plafonnement de l'imputations des déficits agricoles  : art. 156-I-1° du CGI</t>
  </si>
  <si>
    <t>(5) Plafond déficits fonciers : art. 156-I-3° du CGI</t>
  </si>
  <si>
    <t>Plafond (déficits agricoles)</t>
  </si>
  <si>
    <t>Plafond (déficits fonciers)</t>
  </si>
  <si>
    <t xml:space="preserve">Imputation sur le revenu global </t>
  </si>
  <si>
    <t>(3) Régime microfoncier : art. 32-1 du CGI</t>
  </si>
  <si>
    <t>Taux (ventes de marchandises)</t>
  </si>
  <si>
    <t>Montant minimum</t>
  </si>
  <si>
    <t>Taux  (Prestations de services)</t>
  </si>
  <si>
    <t>(2) BNC : bénéfices non commerciaux. Si soumis à la TVA voir art. 293-B du CGI</t>
  </si>
  <si>
    <t>Création du régime d'autoentrepreneur : voir BOI-BIC-DECLA-10-40 du 09/12/2012</t>
  </si>
  <si>
    <t xml:space="preserve">Abattement sur recettes des microentreprises </t>
  </si>
  <si>
    <t xml:space="preserve">Abattement pour le régime micro BNC </t>
  </si>
  <si>
    <t xml:space="preserve">Abattement pour le régime microfoncier </t>
  </si>
  <si>
    <t>(1) Abattement concernant les entrepreneurs individuels. Pour les autoentrepreneurs, voir art. 151-0 du CGI</t>
  </si>
  <si>
    <t>(1) Sociétés pour le financement de l’industrie cinématographique ou audiovisuelle 
(SOFICA)</t>
  </si>
  <si>
    <t>Nombre de tranches</t>
  </si>
  <si>
    <t>Intégration de l'abattement de 20% au barème de l'impôt sur le revenu et diminution du nombre de tranches de 7 à 5.</t>
  </si>
  <si>
    <t>Investissement DOM-TOM devient investissement DOM-TOM dans le cadre d'une entreprise (à partir de revenus de 1999)</t>
  </si>
  <si>
    <t>(1) Plafond frais personnes de plus de 75 ans : art. 156-II-2° ter du CGI</t>
  </si>
  <si>
    <t>(2) Plafond pension alimentaire : art. 196 B du CGI</t>
  </si>
  <si>
    <t>(3) Déductions pour plan épargne populaire (PERP) : art. 163 quatervicies du CGI</t>
  </si>
  <si>
    <t>SOFICA et SOFIPECHE deviennent des crédits d'impôt à partir de la déclaration des revenus de 2006 (aller aux onglets SOFICA et SOFIPECHE)</t>
  </si>
  <si>
    <t>(4) Acquisition navire : plafond à doubler pour les couples mariés ou pacsés  (acquisitions de parts de copropriété de navires neufs)</t>
  </si>
  <si>
    <t>(5) Souscriptions de parts de copropriété de navires de commerce soumise à agrément : plaf_navirecom (à doubler pour couples mariés ou pacsés)</t>
  </si>
  <si>
    <t>(6) Pertes en capital consécutives à la souscription au capital de sociétés nouvelles ou de sociétés en difficulté : 
plafonnement à doubler  pour les couples mariés ou pacsés</t>
  </si>
  <si>
    <t>À partir de l'imposition des revenus de 2004, différence entre pertes en capital souscription du 01/01/1994 = plaf_capita_soc1 et pertes en capital souscriptions à compter du 01/01/2003 = plaf_capital_soc2, le total des pertes reportés dans les deux cas ne peut excéder plaf_capital_soc2</t>
  </si>
  <si>
    <t>(7) Détaxation du revenu investi en actions : détaxation limitée à plaf_action + increment_action par enfant jusqu'au deuxième + 2*increment_action par enfant à charge à partir du 3ème enfant</t>
  </si>
  <si>
    <t>(8) Versements sur un compte épargne codéveloppement : montant versé dans la limite de 25% du revenu et de 20 000 euros par personne du foyer fiscal</t>
  </si>
  <si>
    <t>Voir aussi loi de finances pour 2006 
N° 2005-1719 DU 30 /12/2005  art.76</t>
  </si>
  <si>
    <t>Abattement pour rattachement d'enfants mariés</t>
  </si>
  <si>
    <t>Abattement pour personnes agées de + de 65 ans ou invalide</t>
  </si>
  <si>
    <t xml:space="preserve">Références législatives </t>
  </si>
  <si>
    <t>À partir de 1989, les avantages fiscaux prennent la forme de réduction d'impôt  et non plus de déduction du revenu imposable (sauf dons Coluche)</t>
  </si>
  <si>
    <t>Plafond en % du revenu global</t>
  </si>
  <si>
    <t>Réduction d'impôt pour les dons</t>
  </si>
  <si>
    <t>Réduction d'impôt pour souscriptions de parts de FCPI ou FIP</t>
  </si>
  <si>
    <t xml:space="preserve">(1) Souscriptions de parts de fonds communs de placement dans l'innovation (FCPI) ou de fonds d'investissements de proximité (FIP)
</t>
  </si>
  <si>
    <t xml:space="preserve">plaf_PME1 : sommes versées avant le 31/07/1995    </t>
  </si>
  <si>
    <t xml:space="preserve">plaf_PME2 : sommes versées à partir du 01/08/1995 </t>
  </si>
  <si>
    <t>Création d'une réduction d'impôt pour la défense des forêts contre l'incendie</t>
  </si>
  <si>
    <t xml:space="preserve">(1) En 2007, investissements forestiers renommés en investissements et travaux forestiers  </t>
  </si>
  <si>
    <t xml:space="preserve">Incrément du plafond </t>
  </si>
  <si>
    <t>Plafond 3</t>
  </si>
  <si>
    <t>À partir de 1984, les bénéfices liés aux primes d'assurances vie et rentes-survie prennent la forme d'une réduction d'împôt, alors qu'ils consistaient en une déduction du revenu net.</t>
  </si>
  <si>
    <t>Collège</t>
  </si>
  <si>
    <t>Incrément par demi-part de QF au-delà de 1 ou 2</t>
  </si>
  <si>
    <t>Revenu d'activité individuel maximum (cas général)</t>
  </si>
  <si>
    <t>Introduction de la majoration pour temps partiel</t>
  </si>
  <si>
    <t>Loi n°2012-1509 du 29 décembre 2012 - art. 73 (VD)</t>
  </si>
  <si>
    <t>Loi n°2010-1657 du 29 décembre 2010 - art. 106 (V)</t>
  </si>
  <si>
    <t>Loi n°2009-1673 du 30 décembre 2009 - art. 81 (V)</t>
  </si>
  <si>
    <t>Loi n°2008-1425 du 27 décembre 2008 - art. 91 (V)</t>
  </si>
  <si>
    <t>Taux marginal de la 1ère tranche</t>
  </si>
  <si>
    <t>Taux marginal de la 2ème tranche</t>
  </si>
  <si>
    <t>Référence générale :</t>
  </si>
  <si>
    <t>Loi 2010-1657 du 29/12/2010 (LF pour 2011)</t>
  </si>
  <si>
    <t>Loi 2009-1673 du 30/12/2009 (LF pour 2010)</t>
  </si>
  <si>
    <t>Loi 2008-1425 du 27 /12/2008 (LF pour 2009)</t>
  </si>
  <si>
    <t>Loi 2007-1822 du 24/12/2007 (LF pour 2008)</t>
  </si>
  <si>
    <t>Loi 2006-1666 du 21/12/2006 (LF pour 2007)</t>
  </si>
  <si>
    <t>Loi 2005-1719 du 30 /12/2005 (LF pour 2006)</t>
  </si>
  <si>
    <t>Loi 2004-1484 du 30/12/2004 (LF pour 2005)</t>
  </si>
  <si>
    <t>Loi 2003-1311 du 30/12/2003 (LF pour 2004)</t>
  </si>
  <si>
    <t>Loi 2002-1575 du 30/12/2002 (LF pour 2003)</t>
  </si>
  <si>
    <t>Loi 2001-1275 du 28/12/2001 (LF pour 2002)</t>
  </si>
  <si>
    <t>Loi 2000-1352 du 30/12/2000 (LF pour 2001)</t>
  </si>
  <si>
    <t>Loi 98-1266 du 30/12/1998 (LF pour 1999)</t>
  </si>
  <si>
    <t>Loi 97-1269 du 30/12/1997 (LF pour 1998)</t>
  </si>
  <si>
    <t>Loi 96-1181 du 30/12/1996 (LF pour 1997)</t>
  </si>
  <si>
    <t>Loi 95-1346 du 30/12/1995 (LF pour 1996)</t>
  </si>
  <si>
    <t>Loi 94-1162 du 29/12/1994 (LF pour 1995)</t>
  </si>
  <si>
    <t>Références BOI</t>
  </si>
  <si>
    <t>BOI 5 B-9-09 n°35 du 31/03/2009</t>
  </si>
  <si>
    <t>BOI 5 B-11-08 n°28 du 04/03/2008</t>
  </si>
  <si>
    <t>BOI 5 B-10-07 n°47 du 29/03/2007</t>
  </si>
  <si>
    <t>BOI 5 B-6-06 n°8 du 18/01/2006</t>
  </si>
  <si>
    <t>BOI 5 B-9-05 n°33 du 18/02/2005</t>
  </si>
  <si>
    <t>BOI 5 B-8-04 n°37 du 25/02/2004</t>
  </si>
  <si>
    <t>BOI 5 B-6-03 n°16 du 27/01/2003</t>
  </si>
  <si>
    <t>BOI 5 B-3-02 n°18 du 25/01/2002</t>
  </si>
  <si>
    <t>BOI 5 B-9-01 n°44 du 02/03/2001</t>
  </si>
  <si>
    <t>Loi 2011-1977 du 28/12/2011 (LF pour 2012) </t>
  </si>
  <si>
    <t>Loi 2012-1509 du 29/12/2012 (LF pour 2013)</t>
  </si>
  <si>
    <t>Loi 2013-1278 du 29/12/2013 (LF pour 2014)</t>
  </si>
  <si>
    <t>(3) Entre 1915 et 1947, des réductions d'impôt pour charges de famille ont été appliquées pour le calcul de l'imposition des revenus</t>
  </si>
  <si>
    <t>Voir aussi BOI 5 F-10-01 N° 37 du 21 FEVRIER 2001</t>
  </si>
  <si>
    <t>Voir BOFiP archives [DB 5F252]</t>
  </si>
  <si>
    <t>(2) La déduction forfaitaire de 10 % prévue par l'article 83 -3°, 2e alinéa du CGI pour la prise en compte des frais professionnels des salariés est plafonnée.</t>
  </si>
  <si>
    <t>Abattement maximal</t>
  </si>
  <si>
    <t>Salaire plafond</t>
  </si>
  <si>
    <t>Création d'un abattement supplémentaire pour les salaires inférieurs au seuil (colonne D)</t>
  </si>
  <si>
    <t>Au titre de l'imposition des revenus des années 1943-1952, les salariés avaient également droit à une déduction forfaitaire pour frais professionnels de 5% au-delà du plafond.</t>
  </si>
  <si>
    <t xml:space="preserve">Pour les revenus 1973 et 1974, les salariés avaient également droit à un abattement de 10 % au-delà du plafond. </t>
  </si>
  <si>
    <t>Le maximum sur les pensions est pris en compte par foyer fiscal pour l'imposition des revenus de 1977 et 1978.</t>
  </si>
  <si>
    <t>(3) Il n'y a pas de plafond à la déduction entre 1952 et 1978.  Entre 1934 et 1942, la déduction de 10 % est aussi plafonnée à 20 000 FRF (colonne J).</t>
  </si>
  <si>
    <t>BOI 5 F-1-99 N° 4 du 07/01/1999</t>
  </si>
  <si>
    <t xml:space="preserve">Déduction supplémentaire </t>
  </si>
  <si>
    <t>Enfant majeur célibataire</t>
  </si>
  <si>
    <t>4 300 FRF*</t>
  </si>
  <si>
    <t>4 000 FRF*</t>
  </si>
  <si>
    <t>3 700 FRF*</t>
  </si>
  <si>
    <t>3 200 FRF*</t>
  </si>
  <si>
    <t>2 600 FRF*</t>
  </si>
  <si>
    <t>Plafond des avantages procurés par demi-part de QF</t>
  </si>
  <si>
    <t>*Deux montants sont indiqués pour la décote: celui de 4 300 FRF pour un QF=1 et celui de 1 700 FRF pour un QF=1,5</t>
  </si>
  <si>
    <t>*Deux montants sont indiqués pour la décote: celui de 4 000 FRF pour un QF=1 et celui de 1 600 FRF pour un QF=1,5</t>
  </si>
  <si>
    <t>*Deux montants sont indiqués pour la décote: celui de 3 700 FRF pour un QF=1 et celui de 1 400 FRF pour un QF=1,5</t>
  </si>
  <si>
    <t>*Deux montants sont indiqués pour la décote: celui de 3 200 FRF pour un QF=1 et celui de 1 100 FRF pour un QF=1,5</t>
  </si>
  <si>
    <t>*Deux montants sont indiqués pour la décote: celui de 2 600 FRF pour un QF=1 et celui de 800 FRF pour un QF=1,5</t>
  </si>
  <si>
    <t>Paramètres de calcul</t>
  </si>
  <si>
    <t>(4) Entre 1951 et 1981, la décote est décrite à l'aide de deux paramètres quand elle exise : un montant d'impôt seuil en dessous duquel les contribuables sont exonérés (décote qui sera conservée) et une réduction d'impôt jusqu'à un certain montant d'impôt (égale à la différence entre ce montant seuil et l'impôt par part)</t>
  </si>
  <si>
    <t>Avant 1981, le plafond se calcule en multipliant le nombre d'enfant par le montant de la colonne C</t>
  </si>
  <si>
    <t>(5) Pour définition enfant majeur voir art. 6-II bis du CGI (en vigueur au 1er janvier 1982)</t>
  </si>
  <si>
    <t xml:space="preserve">(2) Dispositif transitoire entre 2008 et 2010 : pour les personnes vivant seuls qui n'ont pas élevés seuls leurs enfants pendant 5 ans et qui ont bénéficié de la demi-part </t>
  </si>
  <si>
    <t>Sources : voir notes (3) et (4)</t>
  </si>
  <si>
    <r>
      <t>T. Piketty,</t>
    </r>
    <r>
      <rPr>
        <i/>
        <sz val="11"/>
        <rFont val="Calibri"/>
        <family val="2"/>
        <scheme val="minor"/>
      </rPr>
      <t xml:space="preserve"> Les hauts revenus en France au XXe siècle. Inégalités et redistribution 1901-1998, </t>
    </r>
    <r>
      <rPr>
        <sz val="11"/>
        <rFont val="Calibri"/>
        <family val="2"/>
        <scheme val="minor"/>
      </rPr>
      <t>Grasset (2001)</t>
    </r>
  </si>
  <si>
    <r>
      <t>&gt; Voir Annexes C-2 et C-7 dans Thomas Piketty</t>
    </r>
    <r>
      <rPr>
        <i/>
        <sz val="11"/>
        <color theme="1"/>
        <rFont val="Calibri"/>
        <family val="2"/>
        <scheme val="minor"/>
      </rPr>
      <t>, Les hauts revenus en France au XXe siècle</t>
    </r>
    <r>
      <rPr>
        <sz val="11"/>
        <color theme="1"/>
        <rFont val="Calibri"/>
        <family val="2"/>
        <scheme val="minor"/>
      </rPr>
      <t xml:space="preserve"> (Grasset, 2001)</t>
    </r>
  </si>
  <si>
    <r>
      <t>&gt; Voir Annexe C-4 dans Thomas Piketty</t>
    </r>
    <r>
      <rPr>
        <i/>
        <sz val="11"/>
        <color theme="1"/>
        <rFont val="Calibri"/>
        <family val="2"/>
        <scheme val="minor"/>
      </rPr>
      <t>, Les hauts revenus en France au XXe siècle</t>
    </r>
    <r>
      <rPr>
        <sz val="11"/>
        <color theme="1"/>
        <rFont val="Calibri"/>
        <family val="2"/>
        <scheme val="minor"/>
      </rPr>
      <t xml:space="preserve"> (Grasset 2001)</t>
    </r>
  </si>
  <si>
    <r>
      <t xml:space="preserve">&gt; Voir Annexe C-1 dans Thomas Piketty, </t>
    </r>
    <r>
      <rPr>
        <i/>
        <sz val="11"/>
        <color theme="1"/>
        <rFont val="Calibri"/>
        <family val="2"/>
        <scheme val="minor"/>
      </rPr>
      <t xml:space="preserve">Les hauts revenus en France au XXe siècle </t>
    </r>
    <r>
      <rPr>
        <sz val="11"/>
        <color theme="1"/>
        <rFont val="Calibri"/>
        <family val="2"/>
        <scheme val="minor"/>
      </rPr>
      <t>(Grasset, 2001) ; voir aussi note (3) de l'onglet sur le quotient familial concernant les réductions d'impôt pour charges de famille entre 1915 et 1947.</t>
    </r>
  </si>
  <si>
    <r>
      <t xml:space="preserve">&gt; Voir Annexe C-3 dans Thomas Piketty, </t>
    </r>
    <r>
      <rPr>
        <i/>
        <sz val="11"/>
        <color theme="1"/>
        <rFont val="Calibri"/>
        <family val="2"/>
        <scheme val="minor"/>
      </rPr>
      <t>Les hauts revenus en France au XXe siècle</t>
    </r>
    <r>
      <rPr>
        <sz val="11"/>
        <color theme="1"/>
        <rFont val="Calibri"/>
        <family val="2"/>
        <scheme val="minor"/>
      </rPr>
      <t xml:space="preserve"> (Grasset, 2001)</t>
    </r>
  </si>
  <si>
    <t xml:space="preserve">(1) L'imposition des revenus en France a été instaurée au 01/01/1915 sur les revenus 1914 : </t>
  </si>
  <si>
    <t>La loi du 15/07/1914 crée l'impôt général sur le revenu (IGR). La loi du 26/12/1914 repousse son application au 01/01/1916 sur les revenus 1915.</t>
  </si>
  <si>
    <t xml:space="preserve">(2) Entre 1914 et 1947, il a existé six impôts cédulaires qui ont été progressivement remplacés par les impôts actuels </t>
  </si>
  <si>
    <t>(4) La loi du 31/07/1917 crée quatre impôts cédulaires en remplacement des impôts directs existants :</t>
  </si>
  <si>
    <t xml:space="preserve">(3) La loi du 29/03/1914 modifie des  contributions existantes en créant les deux impôts cédulaires : </t>
  </si>
  <si>
    <t>Ils sont dits cédulaires car ils sont indépendants et s'appliquent à différents types de revenus (déclarés sur des feuillets indépendants dit «cédules»).</t>
  </si>
  <si>
    <t>(1) Entre 1915 et 1944, des déductions du revenu imposable pour charges des familles étaient appliquées pour le calcul de l'impôt général sur le revenu (et de l'impôt cédulaire sur les salaires) sous forme d'abattement général dépendant du statut marital et du nombre d'enfant.</t>
  </si>
  <si>
    <t>l'impôt sur les bénéfices des professions non commerciales (taux initial : 3,75%)</t>
  </si>
  <si>
    <t>l'impôt sur les bénéfices industriels et commerciaux  (taux initial : 4,5% avec différentes contributions par tranches)</t>
  </si>
  <si>
    <t>l'impôt sur les bénéfices de l'exploitation agricole  (taux initial : 3,75%).</t>
  </si>
  <si>
    <t> l'impôt sur le revenu des valeurs mobilières  (taux initial : 6%)</t>
  </si>
  <si>
    <t> l'impôt foncier des propriétés bâties et des propriétés non bâties  (taux initial : 5%)</t>
  </si>
  <si>
    <t>l'impôt sur les traitements et salaires (taux initial : 3,75%)</t>
  </si>
  <si>
    <t>Ils sont  à taux proportionnels et s'ajoutent à l'impôt général sur les revenus.</t>
  </si>
  <si>
    <t xml:space="preserve">BOI 5 B-19-00 n°163 du 05/09/2000
</t>
  </si>
  <si>
    <t>Décret du 09/12/1948 - JORF du 01/01/1949</t>
  </si>
  <si>
    <t>,</t>
  </si>
  <si>
    <t>&gt; voir notamment tableau 4-5 p 296-298</t>
  </si>
  <si>
    <t>(5) À sa création l'IRPP (1948) se compose d'une «surtaxe progressive» (SP) et d'une taxe proportionnelle (TP). Elles ont supprimées en 1959.</t>
  </si>
  <si>
    <t>IRPP rebaptisé «impôt sur le revenu» (IR).</t>
  </si>
  <si>
    <t>Suppression des impôts cédulaires et création de l'IRPP («impôt sur le revenu des personnes physiques», voir note 5) et «impôt sur les bénéfices des sociétés et autres personnes morales»</t>
  </si>
  <si>
    <t>Montant révisé chaque année dans la même proportion que la limite supérieure de la première tranche du barème de l'impôt sur le revenu</t>
  </si>
  <si>
    <t>Loi n°59-1472 du 28/12/1959</t>
  </si>
  <si>
    <t>IRPP est dit «impôt unique» : Suppression de la SP et TP (voir note 5). Ces barèmes concernent uniquement la SP entre 1948 et 1958 puis l'IRPP dans son ensemble après 1958 (IR après 1970).</t>
  </si>
  <si>
    <t>Suppression de la TC en 1970. Abattement général de 30 000 FRF sur les revenus 1969.</t>
  </si>
  <si>
    <t>Taux réduit à 3 % de la TC pour les «artisans et assimilés» et BNC «autres que les produits des charges et offices»</t>
  </si>
  <si>
    <t>Taxe complémentaire (TC)</t>
  </si>
  <si>
    <t>Taxe proportionnelle (TP)</t>
  </si>
  <si>
    <r>
      <rPr>
        <b/>
        <sz val="11"/>
        <rFont val="Calibri"/>
        <family val="2"/>
        <scheme val="minor"/>
      </rPr>
      <t>Les montants sont en anciens Francs avant 1960</t>
    </r>
    <r>
      <rPr>
        <sz val="11"/>
        <rFont val="Calibri"/>
        <family val="2"/>
        <scheme val="minor"/>
      </rPr>
      <t>. Création d'un «taxe complémentaire» (TC).</t>
    </r>
  </si>
  <si>
    <r>
      <t>Les salaires et pensions sont exemptés de TP ; pour les bénéfices des  «artisans et assimilés» et et BNC «autres que les produits des charges et offices» des taux réduits (9 % et 5%) s'appliquent par tranches selon les années. Les revenus de valeurs mobilières (dividendes, intérêts, etc.) bénéficient de décote et de taux réduits.  Voir annexe C-7 dans Thomas Piketty,</t>
    </r>
    <r>
      <rPr>
        <i/>
        <sz val="11"/>
        <rFont val="Calibri"/>
        <family val="2"/>
        <scheme val="minor"/>
      </rPr>
      <t xml:space="preserve"> Les hauts revenus en France au XXe siècle </t>
    </r>
    <r>
      <rPr>
        <sz val="11"/>
        <rFont val="Calibri"/>
        <family val="2"/>
        <scheme val="minor"/>
      </rPr>
      <t xml:space="preserve">(Grasset, 2001) et </t>
    </r>
    <r>
      <rPr>
        <i/>
        <sz val="11"/>
        <rFont val="Calibri"/>
        <family val="2"/>
        <scheme val="minor"/>
      </rPr>
      <t>Statistiques et Études Financières</t>
    </r>
    <r>
      <rPr>
        <sz val="11"/>
        <rFont val="Calibri"/>
        <family val="2"/>
        <scheme val="minor"/>
      </rPr>
      <t xml:space="preserve"> n°122 (ministère des Finances, février 1959).</t>
    </r>
  </si>
  <si>
    <t>Loi 99-1172 du 30/12/1999 (LF pour 2000)</t>
  </si>
  <si>
    <t>Référence BOI</t>
  </si>
  <si>
    <t>Voir note (1)</t>
  </si>
  <si>
    <t>Loi N° 2001-1276 du 28/12/2001 (LFR pour 2001) - art.51</t>
  </si>
  <si>
    <t>Parution au JORF</t>
  </si>
  <si>
    <t>Références législatives ou BOI</t>
  </si>
  <si>
    <t xml:space="preserve">Loi 2001-602 du 9/07/2001 </t>
  </si>
  <si>
    <t>Réécriture complète de l'art. 199 quindecies du CGI (simplification des établissements concernés, extension à l'UE, base des frais élargie)</t>
  </si>
  <si>
    <t>Décret n°91-883 du 09/09/1991 - art. 1 / JORF 10/09/1991</t>
  </si>
  <si>
    <t>(1) Art. 199 quindecies du CGI : Réduction d'impôt accordée au titre de l'hébergement en établissement de long séjour ou en section de cure médicale</t>
  </si>
  <si>
    <t>Applicable à partir des revenus 1989 (réductions communes aux art. 199 quaterdecies et quindecies du CGI)</t>
  </si>
  <si>
    <t>Loi 91-1322 du 30/12/1991 (LF pour 1992) - art. 2</t>
  </si>
  <si>
    <t xml:space="preserve">Loi 97-1269 1997 du 30/12/1997 (LF pour 1998) - art. 90 </t>
  </si>
  <si>
    <t>Loi 96-1181 du 30/12/1996 (LF pour 1997) - art. 83</t>
  </si>
  <si>
    <t>Ordonnance n°2000-916 du 19/09/2000 - art. 6 (V) JORF 22/09/2000</t>
  </si>
  <si>
    <t>Loi 2003-1311 du 30/12/2003 (LF pour 2004) - art. 4</t>
  </si>
  <si>
    <t>À partir de l'imposition des revenus de 2005, la réduction d'impot devient un crédit d'impot.</t>
  </si>
  <si>
    <t>Doublement de la prime versée théoriquement en 2001 avec l'instauration d'un complément égal au montant inital de PPE calculé pour l'année 2001.</t>
  </si>
  <si>
    <t>Loi n° 85-695 du 11/07/1985 - art. 40-IV</t>
  </si>
  <si>
    <t>Loi n° 2006-1771 du 30/12/2006 (LFR pour 2006) - art. 102</t>
  </si>
  <si>
    <t>Loi n° 2008-1443 du 30/12/2008 (LFR pour 2008) - art. 87</t>
  </si>
  <si>
    <t>Décret n° 2010-13 du 6/01/2010</t>
  </si>
  <si>
    <t>BOI N°31 du 14/03/2012 - 5-B12-12</t>
  </si>
  <si>
    <t xml:space="preserve">Loi n° 2011-1977 du 28/12/2011 (LF pour 2012) - art. 9 </t>
  </si>
  <si>
    <t>Si la personne rattachée est elle-même chef de famille, l'avantage fiscal prend la forme d'un abattement. Les plafonds sont revalorisés chaque année dans la même proportion que la limite de la première tranche du barème prévu à l'article 197 du CGI. La loi de 1974 abaissant l'âge de la majorité de 21 à 18 ans a entraîné une modification importante de la prise en compte des enfants à charge.</t>
  </si>
  <si>
    <t>Loi n°81-1160 du 30/12/1981 - art. 12</t>
  </si>
  <si>
    <t>Demi-part supplémentaire pour 5ème enfant à charge sur revenus 1979 (loi 18/01/1980) et pour 3ème enfant à charge sur revenus 1980 (loi 30/12/1980).</t>
  </si>
  <si>
    <t>La décote s'applique uniquement aux contribuables ayant 1 ou 1,5 part avant 1986, c'est généralisé à tous après 1986. Demi-part généralisée à tous les enfants après le 3ème (loi 30/12/1986).</t>
  </si>
  <si>
    <t>&gt; Création du quotient familial en 1945 (Loi n° 45-0195 du 31/02/1945).</t>
  </si>
  <si>
    <t>Loi n° 48-24 du 06/01/1948 </t>
  </si>
  <si>
    <t>Majorations exceptionnelles (1947-1981)</t>
  </si>
  <si>
    <t xml:space="preserve">Coexistence IGR et impôts cédulaires (voir notes 1 à 4). Ces barèmes concernent l'IGR jusqu'en 1948. En 1948, un «prélèvement exceptionnel de lutte contre l'inflation» sur les revenus 1946 est instauré dans le cadre du «plan Mayer» (intégré dans le barème), les contribuables ayant le choix d'échapper à cette majoration du barème s'ils souscrivent à un «emprunt obligatoire» rémunéré à 3% sur 10 ans. </t>
  </si>
  <si>
    <t>Majorations exceptionnelles d'impôt</t>
  </si>
  <si>
    <t>Seuil revenu</t>
  </si>
  <si>
    <r>
      <t xml:space="preserve">&gt; Voir tableau 4-6 dans Thomas Piketty, </t>
    </r>
    <r>
      <rPr>
        <i/>
        <sz val="11"/>
        <color theme="1"/>
        <rFont val="Calibri"/>
        <family val="2"/>
        <scheme val="minor"/>
      </rPr>
      <t>Les hauts revenus en France au XXe siècle</t>
    </r>
    <r>
      <rPr>
        <sz val="11"/>
        <color theme="1"/>
        <rFont val="Calibri"/>
        <family val="2"/>
        <scheme val="minor"/>
      </rPr>
      <t xml:space="preserve"> (Grasset, 2001)</t>
    </r>
  </si>
  <si>
    <t>Le «double décime» (majoration de 20% de l'IGR) est appliqué à tous les contribuables dont le revenu est supérieur de 50 000 FRF au seuil d'imposition.</t>
  </si>
  <si>
    <t>Majoration d'impôt de 10 % si impôt supérieur à 5 000 FRF, de 15 % si impôt entre seuil 1 et seuil 2 et de 25% si impôt supérieur à seuil 3.</t>
  </si>
  <si>
    <t>Seuil 1</t>
  </si>
  <si>
    <t>Seuil 2</t>
  </si>
  <si>
    <t>(1) Attention, les majorations ne se calculent pas de façon identique selon les années (selon le revenu ou l'impôt payé, à partir d'un certain montant ou non, etc.)</t>
  </si>
  <si>
    <t>Majoration d'impôt de 5 % si impôt compris en seuil 1 et seuil 2 et de 8 % si impôt supérieur à seuil 2.</t>
  </si>
  <si>
    <t>15 000 FRF*</t>
  </si>
  <si>
    <t>Majorations applicables uniquement à la fraction d'impôt supérieure au seuil. Pour les revenus 1981, seuls les contribuables dont l'impôt est supérieur à 25 000 FRF sont concernés.</t>
  </si>
  <si>
    <t>Taux 3 (supérieur)</t>
  </si>
  <si>
    <t>Seuil 3 (supérieur)</t>
  </si>
  <si>
    <t>Les majorations se font par paliers de 1 000 FRF d'impôt: +2% entre 6000 FRF et 7000 FRF, +4% entre 7000 FRF et 8000 FRF, etc. jusque +14% entre 12 000 FRF et 14 000 FRF; au-dessus, le taux 3 (15 %) s'applique. Des minorations d'impôt par paliers de 500 FRF sont aussi mises en place avec des taux de -2 % à -15% en dessous de 5 000 FRF d'impôt jusqu'à 1 000 FRF.</t>
  </si>
  <si>
    <t>Les taux de majoration de l'année précédente sont divisés par deux et à partir de 7 000 FRF. Les minorations sont maintenues.</t>
  </si>
  <si>
    <t>Majoration d'impôt de 1 % si impôt compris en seuil 1 et seuil 2, de 2 % si impôt compris en seuil 2 et seuil 3,  et de 3 % si impôt supérieur à seuil 3.</t>
  </si>
  <si>
    <r>
      <t xml:space="preserve">Création d'un Fonds National de Solidarité  en 1956 : le «décime» (majoration de 10% de la surtaxe progressive SP) concerne tous les contribuables dont le revenu est supérieur au seuil de revenu de la colonne «seuil revenu». La majoration s'applique aussi à la taxe proportionnelle TP à partir de 440 000 FRF(sauf si revenus de valeurs mobilières pour lesquels il n'y a pas d'exonération).  </t>
    </r>
    <r>
      <rPr>
        <b/>
        <sz val="11"/>
        <color theme="1"/>
        <rFont val="Calibri"/>
        <family val="2"/>
        <scheme val="minor"/>
      </rPr>
      <t xml:space="preserve">Les montants sont en anciens Francs avant 1960. </t>
    </r>
  </si>
  <si>
    <t xml:space="preserve">Le «demi-décime» (majoration de 5% de l'IGR) concerne tous les contribuables dont le revenu est supérieur au seuil de revenu de la colonne «seuil revenu». </t>
  </si>
  <si>
    <t>Suppression des majorations exceptionnelles par la loi n° 85-1404 du 30/12/1985 (LFR pour 1985)</t>
  </si>
  <si>
    <r>
      <t>Ce document présente l'ensemble de la législation permettant le calcul de l'impôt sur le revenu (IR). Il s'agit des barèmes bruts de la législation utilisés dans le micro-simulateur de l'IPP, TAXIPP. Les sources législatives (texte de loi, numéro du décret ou arrêté) ainsi que la date de publication au</t>
    </r>
    <r>
      <rPr>
        <i/>
        <sz val="11"/>
        <color theme="1"/>
        <rFont val="Calibri"/>
        <family val="2"/>
        <scheme val="minor"/>
      </rPr>
      <t xml:space="preserve"> Journal Officiel de la République Française</t>
    </r>
    <r>
      <rPr>
        <sz val="11"/>
        <color theme="1"/>
        <rFont val="Calibri"/>
        <family val="2"/>
        <scheme val="minor"/>
      </rPr>
      <t xml:space="preserve"> (JORF) sont indiquées dans la mesure du possible. La première ligne du fichier (masquée) indique le nom des paramètres dans TAXIPP. Nous présentons d'abord les mécanismes d'assiette (revenus concernés, déductions, etc.) puis les paramètres du barèmes (tranches et taux) avec les effets de parts (quotient familial). Ensuite, nous présentons les diverses réductions sur l'IR puis les crédits d'impôts. Les contributions exceptionnelles sont regroupées à la fin.</t>
    </r>
  </si>
  <si>
    <t>Loi 93-1352 du 30/12/1993 (LF pour 1994)</t>
  </si>
  <si>
    <t>Loi 91-1322 du 30/12/1991 (LF pour 1992) </t>
  </si>
  <si>
    <t>Loi 90-1168 du 29/12/1990 (LF pour 1991)</t>
  </si>
  <si>
    <t>Loi 89-935 du 29/12/1989 (LF pour 1990)</t>
  </si>
  <si>
    <t>Loi 88-1149 du 23/12/1988 (LF pour 1989) </t>
  </si>
  <si>
    <t>Loi 87-1060 du 30/12/1987 (LF pour 1988)</t>
  </si>
  <si>
    <t>Loi 86-1317 du 30/12/1986 (LF pour 1987) </t>
  </si>
  <si>
    <t>Loi 85-1403 du 30/12/1985 (LF pour 1986) </t>
  </si>
  <si>
    <t>Loi 84-1208 du 29/12/1984 (LF pour 1985) </t>
  </si>
  <si>
    <t>Loi 83-1179 du 29/12/1983 (LF pour 1984)</t>
  </si>
  <si>
    <t>Loi 82-1126 du 29/12/1982 (LF pour 1983) </t>
  </si>
  <si>
    <t>Loi 81-1160 du 30/12/1981 (LF pour 1982)</t>
  </si>
  <si>
    <t>Loi 80-1094 du 30/12/1980 (LF pour 1981)</t>
  </si>
  <si>
    <t>Loi 92-1376 du 30/12/1992 (LF pour 1993) </t>
  </si>
  <si>
    <t>Décret 2011-645 du 09/06/2011 - art. 1 - JORF 11/06/2011</t>
  </si>
  <si>
    <t>Décret 2010-421 du 27/04/2010 - art. 1 - JORF 30/04/2010</t>
  </si>
  <si>
    <t>Décret 2009-389 du 07/04/2009 - art. 1 - JORF 09/04/2009</t>
  </si>
  <si>
    <t>Décret 2008-294 du 01/04/2008 - art. 1 - JORF 02/04/2008</t>
  </si>
  <si>
    <t>Loi 2004-1485 du 30/12/2004  - art. 31 et 35 (V) - JORF 31/12/2004</t>
  </si>
  <si>
    <t>Décret 2002-923 du 06/06/2002 - art. 4 - JORF 08/06/2002</t>
  </si>
  <si>
    <t xml:space="preserve"> Loi 1988-1149 du 28/12/1988, art. 8-I, II (LF pour 1989)</t>
  </si>
  <si>
    <t>Loi 84-1208 du 29/12/1984 (LF pour 1985) - art. 2-VII</t>
  </si>
  <si>
    <t>Loi 83-1179 du 29/12/1983 (LF pour 1984) - art. 2-VIII</t>
  </si>
  <si>
    <t>Loi 82-1126 du 29/12/1982 (LF pour 1983) - art. 2</t>
  </si>
  <si>
    <t xml:space="preserve">Loi 81-1160 du 30/12/1981 (LF pour 1982) - art. 14 </t>
  </si>
  <si>
    <t xml:space="preserve">Loi 68-1172 du 27/12/1968 (LF pour 1969) - art. 2-I-2 </t>
  </si>
  <si>
    <t>Loi 71-1061 du 29/12/1971 (LF pour 1972) - art. 3-III</t>
  </si>
  <si>
    <t>Loi 70-1199 du 21/12/1970 (LF pour 1971) - art. 2-IX</t>
  </si>
  <si>
    <t xml:space="preserve">Loi 69-1161 du 24/12/1969 (LF pour 1970) - art.  3-V </t>
  </si>
  <si>
    <t>Loi 68-695 du 31/07/1968 (LFR pour 1968) - art. 15</t>
  </si>
  <si>
    <t>Loi 60-1384 du 23/12/1960 (LF pour 1961) - art. 4 II et III</t>
  </si>
  <si>
    <t>Loi 56-639 du 30/06/1956 - art. 1</t>
  </si>
  <si>
    <t>Loi 81-734 du 03/08/1981 (LFR pour 1981) - art. 1</t>
  </si>
  <si>
    <t>À compter du 1er janvier 2009, le seuil de cession est actualisé chaque année dans la même proportion que la limite supérieure de la première tranche du barème de l’impôt sur le revenu de l’année précédant celle de la cession.</t>
  </si>
  <si>
    <t>(1) Taux de l'abattement sur dividendes : art. 158-3-2° du CGI (ancêtre de tx_abt_rcm)</t>
  </si>
  <si>
    <t>Voir aussi 
 BOI 5 B-5-00 n°11 du 17/01/2000. LFR pour 2000</t>
  </si>
  <si>
    <t>LF pour 2013</t>
  </si>
  <si>
    <t>LF pour 2011</t>
  </si>
  <si>
    <t>LF pour 2010</t>
  </si>
  <si>
    <t>LF pour 2009</t>
  </si>
  <si>
    <t>LF pour 2008</t>
  </si>
  <si>
    <t>LF pour 2007</t>
  </si>
  <si>
    <t>LF pour 2006</t>
  </si>
  <si>
    <t>LF pour 2005</t>
  </si>
  <si>
    <t>LF pour 2004</t>
  </si>
  <si>
    <t>LF pour 2003</t>
  </si>
  <si>
    <t>LF pour 2002</t>
  </si>
  <si>
    <t>LF pour 2001</t>
  </si>
  <si>
    <t>LF pour 2000</t>
  </si>
  <si>
    <t>LF pour 1999</t>
  </si>
  <si>
    <t>LF pour 1998</t>
  </si>
  <si>
    <t>LF pour 1997 - art. 2-III</t>
  </si>
  <si>
    <t>LF pour 1995</t>
  </si>
  <si>
    <t>LF pour 1994</t>
  </si>
  <si>
    <t xml:space="preserve">LF pour 1993 -  art. 2-V </t>
  </si>
  <si>
    <t>LF pour 1992</t>
  </si>
  <si>
    <t>LF pour 1991</t>
  </si>
  <si>
    <t>LF pour 1990</t>
  </si>
  <si>
    <t>LF pour 1989</t>
  </si>
  <si>
    <t>LF pour 1988</t>
  </si>
  <si>
    <t>LF pour 1987</t>
  </si>
  <si>
    <t>LF pour 1986</t>
  </si>
  <si>
    <t>LF pour 1985</t>
  </si>
  <si>
    <t>LF pour 1984</t>
  </si>
  <si>
    <t>LF pour 1983</t>
  </si>
  <si>
    <t>LF pour 1982</t>
  </si>
  <si>
    <t>LF pour 1981</t>
  </si>
  <si>
    <t>LF pour 2012</t>
  </si>
  <si>
    <t>LF pour 1996</t>
  </si>
  <si>
    <t>Voir art. 200 septies du CGI</t>
  </si>
  <si>
    <t>Suppression plafond du crédit d'impôt sur dividendes</t>
  </si>
  <si>
    <t>Abattement forfaitaire sur dividendes  : art. 158-5 du CGI (à doubler pour les couples)</t>
  </si>
  <si>
    <t>(2) Abattement sur assurance-vie : art. 125-1 0-A du CGI</t>
  </si>
  <si>
    <t>Création du régime microfoncier</t>
  </si>
  <si>
    <t>LF pour 2014</t>
  </si>
  <si>
    <t>LF pour 1997</t>
  </si>
  <si>
    <t>LF pour 1993</t>
  </si>
  <si>
    <t>LF pour 1980</t>
  </si>
  <si>
    <t>LF pour 1979</t>
  </si>
  <si>
    <t>LF pour 1978</t>
  </si>
  <si>
    <t>LF pour 1977</t>
  </si>
  <si>
    <t>LF pour 1976</t>
  </si>
  <si>
    <t>LF pour 1975</t>
  </si>
  <si>
    <t xml:space="preserve">LF pour 2014 </t>
  </si>
  <si>
    <t xml:space="preserve">LF pour 2013 </t>
  </si>
  <si>
    <t xml:space="preserve">LF pour 2011  - art. 2 </t>
  </si>
  <si>
    <t>LF pour 2010  - art. 18</t>
  </si>
  <si>
    <t>LF pour 2009   - art. 2</t>
  </si>
  <si>
    <t>LF pour 2008  - art. 2</t>
  </si>
  <si>
    <t>LF pour 2007  - art. 2</t>
  </si>
  <si>
    <t>LF pour 2006  - art. 96</t>
  </si>
  <si>
    <t>LF pour 2005  - art. 2</t>
  </si>
  <si>
    <t>LF pour 2004  - art. 2</t>
  </si>
  <si>
    <t>LF pour 2003 - art. 2</t>
  </si>
  <si>
    <t>LF pour 2002  - art. 2</t>
  </si>
  <si>
    <t>LF pour 2001  - art. 2</t>
  </si>
  <si>
    <t>LF pour 2000  - art. 2</t>
  </si>
  <si>
    <t>LF pour 1999  - art. 2</t>
  </si>
  <si>
    <t>LF pour 1998  - art. 2</t>
  </si>
  <si>
    <t>LF pour 1997  - art. 2</t>
  </si>
  <si>
    <t>LF pour 1996  - art. 2</t>
  </si>
  <si>
    <t>LF pour 1995  - art. 2</t>
  </si>
  <si>
    <t>LF pour 1993  </t>
  </si>
  <si>
    <t>LF pour 1992  </t>
  </si>
  <si>
    <t xml:space="preserve">LF pour 1991 </t>
  </si>
  <si>
    <t xml:space="preserve">LF pour 1990 </t>
  </si>
  <si>
    <t>LF pour 1989  </t>
  </si>
  <si>
    <t>LF pour 1987  </t>
  </si>
  <si>
    <t>LF pour 1986  </t>
  </si>
  <si>
    <t>LF pour 1985  </t>
  </si>
  <si>
    <t xml:space="preserve">LF pour 1984 </t>
  </si>
  <si>
    <t>LF pour 1983  </t>
  </si>
  <si>
    <t>(1) Taux d'imposition des plus-values et des PEA : article 200-A du CGI</t>
  </si>
  <si>
    <t>JORF 13/03/2012</t>
  </si>
  <si>
    <t>Le taux de la réduction d'impôt était fixé, pour les investissements réalisés jusqu'au 31 décembre 2010, à 40 % des sommes versées. Le taux de la réduction d'impôt a été diminué les investissements réalisés à compter du 1er janvier 2011</t>
  </si>
  <si>
    <t>Plafond pour invalides</t>
  </si>
  <si>
    <t>LF pour 2005 - art. 87</t>
  </si>
  <si>
    <t>LFR pour 2006 - art. 70</t>
  </si>
  <si>
    <t>(1) Dépenses de services à la personne à domicile : art. 199 sexdecies du CGI</t>
  </si>
  <si>
    <t>LF pour 2003 - art. 8</t>
  </si>
  <si>
    <t>Loi n° 2000-596 du 30 juin 2000</t>
  </si>
  <si>
    <t>(1) Voir art. 270 et 271 du code civil</t>
  </si>
  <si>
    <t>art. 199 unvicies du CGI à compter du 1er janvier 2007 ; art. 46 quindecies B du CGI jusqu'au 1er janvier 2007</t>
  </si>
  <si>
    <t>Loi 2006-1666 du 21/12/2006 (LF pour 2006) - art. 11</t>
  </si>
  <si>
    <t>Attention plafond réel = la moitié du plafond + incrément</t>
  </si>
  <si>
    <t xml:space="preserve">Dépenses de gros travaux avec même incrément que habitat et majoration comme dans 2 et 3 </t>
  </si>
  <si>
    <t>incrément par personne à charge pour cas 1</t>
  </si>
  <si>
    <t>incrément par personne à charge majoré de 500 Fr pour le 2° enfant  et de 1000 Fr à partir du 3° pour 2 et 3</t>
  </si>
  <si>
    <t>Majoration sur les revenus 2001 : 381 euros pour le 2° enfant et 457 à partir du 3°</t>
  </si>
  <si>
    <t>(1) Les plafonds de 1, 2 et 3 ne se cumulent pas.</t>
  </si>
  <si>
    <t>Réduction d'impôt pour intérêts d'emprunt habitat</t>
  </si>
  <si>
    <t>(2) Le plafond 3 pour les intérêts d'emprunt est à doubler pour couple (mais pas les plafonds 1 et 2)</t>
  </si>
  <si>
    <t>(3) Intérêts d'emprunt et ravalement :</t>
  </si>
  <si>
    <t xml:space="preserve">LF pour 2011 - art. 107 </t>
  </si>
  <si>
    <t xml:space="preserve">Dispositif abrogé de façon anticipée à compter de l'imposition des revenus de 2010. </t>
  </si>
  <si>
    <t>Les comptes existants deviennent de simples comptes épargne.</t>
  </si>
  <si>
    <t>(1) Réduction d'impôt pour sommes versées sur un compte épargne codéveloppement; art. 163 quinvicies CGI et art. L. 221-33 du code monétaire et financier</t>
  </si>
  <si>
    <t>Plafond par personne</t>
  </si>
  <si>
    <t>LF pour 2009 - art. 89</t>
  </si>
  <si>
    <t>(2) Le plafonnement par foyer fiscal (art. 199 sexvicies CGI) s'applique dans la limite des deux plafonds.</t>
  </si>
  <si>
    <t>(4) Modalités de création : décret n° 2007-218 du 19 février 2007 relatif au compte épargne codéveloppement en vigueur 01/03/2007</t>
  </si>
  <si>
    <t>Loi n° 2007-1631 du 20/11/2007 (art. 52 et 53)  relative à la maîtrise de l'immigration, à l'intégration et à l'asile - JORF n°270 du 21/11/2007</t>
  </si>
  <si>
    <t>Loi n° 2006-911 du 24/07/2006 - art. 1 relative à l'immigration et à l'intégration - JORF n°170 du 25 juillet 2006 </t>
  </si>
  <si>
    <t>Avant les revenus 2009, les versements sur le compte étaient déductibles du revenu global.</t>
  </si>
  <si>
    <t>B.O.I. N° 8 du 15/01/2010 [BOI 5B-5-10 ]</t>
  </si>
  <si>
    <t>Depuis l'imposition des revenus de 1992, la réduction d'impôt est réservée aux dépenses nécessitées par la garde des enfants à l'extérieur du domicile du contribuable.</t>
  </si>
  <si>
    <t>(2) Les enfants ouvrant droit à réduction d'impôt sont ceux âgés de moins de 6 ans au 1er janvier de l'année d'imposition.</t>
  </si>
  <si>
    <t>(3) La réduction d'impôt est accordée aux contribuables célibataires, veufs, divorcés ou séparés, domiciliés en France et qui exercent une activité professionnelle.</t>
  </si>
  <si>
    <t>(4) La même possibilité est accordée aux foyers fiscaux dans lesquels chacun des conjoints, soit occupe un emploi au moins à mi-temps, soit ne peut exercer cette activité du fait d'une longue maladie ou d'une infirmité ou poursuit des études dans l'enseignement supérieur.</t>
  </si>
  <si>
    <t>LF pour 1989 - art. 4-I</t>
  </si>
  <si>
    <t xml:space="preserve">Création du dispositif pour l'imposition des revenus de 1988. Avant 1989, la réduction d'impôt était une déduction du revenu. </t>
  </si>
  <si>
    <t>LF pour 2002 et LFR pour 2001</t>
  </si>
  <si>
    <t>Loi n° 2001-458 du 30 mai 2001</t>
  </si>
  <si>
    <t xml:space="preserve">LF pour 2005 </t>
  </si>
  <si>
    <t xml:space="preserve">LF pour 2012 - art. 2 </t>
  </si>
  <si>
    <t>Tranche 1</t>
  </si>
  <si>
    <t>Tranche 2</t>
  </si>
  <si>
    <t>Tranche 3</t>
  </si>
  <si>
    <t>Tranche 4</t>
  </si>
  <si>
    <t>Tranche 5</t>
  </si>
  <si>
    <t>Tranche 6</t>
  </si>
  <si>
    <t>Tranche 7</t>
  </si>
  <si>
    <t>Tranche 8</t>
  </si>
  <si>
    <t>Tranche 9</t>
  </si>
  <si>
    <t>Tranche 10</t>
  </si>
  <si>
    <t>Tranche 11</t>
  </si>
  <si>
    <t>Tranche 12</t>
  </si>
  <si>
    <t>Tranche 13</t>
  </si>
  <si>
    <t>Tranche 14</t>
  </si>
  <si>
    <t>Seuils inférieurs des tranches</t>
  </si>
  <si>
    <t>Taux marginaux des tranches</t>
  </si>
  <si>
    <t>Loi 67-1114 du 21/12/1967 (LF pour 1968) </t>
  </si>
  <si>
    <t>Loi  78-1239 du 29/12/1978 (LF pour 1979)</t>
  </si>
  <si>
    <t>Loi  77-1467 du 30/12/1977 (LF pour 1978)</t>
  </si>
  <si>
    <t>Loi  76-1232 du 29/12/1976 (LF pour 1977)</t>
  </si>
  <si>
    <t>Loi  75-1278 du 30/12/1975 (LF pour 1976)</t>
  </si>
  <si>
    <t>Loi  74-1129 du 30/12/1974 (LF pour 1975)</t>
  </si>
  <si>
    <t>Loi  73-1150 du 27/12/1973 (LF pour 1974)</t>
  </si>
  <si>
    <t>Loi  72-1121 du 20/12/1972 (LF pour 1973)</t>
  </si>
  <si>
    <t>Loi  71-1161 du 29/12/1971 (LF pour 1972)</t>
  </si>
  <si>
    <t>Loi  70-1199 du 21/12/1970 (LF pour 1971)</t>
  </si>
  <si>
    <t>Loi  69-1161 du 24/12/1969 (LF pour 1970)</t>
  </si>
  <si>
    <t>Loi  68-1172 du 27/12/1968 (LF pour 1969)</t>
  </si>
  <si>
    <t>Loi  66-935 du 17/12/1966 (LF pour 1967)</t>
  </si>
  <si>
    <t>Loi  65-997 du 29/11/1965 (LF pour 1966)</t>
  </si>
  <si>
    <t>Loi  64-1279 du 23/12/1964 (LF pour 1965)</t>
  </si>
  <si>
    <t>Loi  63-1241 du 19/12/1963 (LF pour 1964)</t>
  </si>
  <si>
    <t>Loi  61-1396 du 21/12/1961 (LF pour 1962)</t>
  </si>
  <si>
    <t>Loi  60-1384 du 23/12/1960 (LF pour 1961)</t>
  </si>
  <si>
    <t>Loi  59-1454 du 26/12/1959 (LF pour 1960)</t>
  </si>
  <si>
    <t>Loi  62-1529 du 22/12/1962 (LF pour 1963)</t>
  </si>
  <si>
    <t>Loi 80-30 du 18/01/1980 (LF pour 1980)</t>
  </si>
  <si>
    <t>Mathias André, mathias.andre@ipp.eu</t>
  </si>
  <si>
    <t>Cite this source :</t>
  </si>
  <si>
    <t>Authors :</t>
  </si>
  <si>
    <t>Co-development Savings Account (2010)</t>
  </si>
  <si>
    <t>Exceptional tax increases (1947-1981)</t>
  </si>
  <si>
    <t>BOI-IR-DOMIC-40</t>
  </si>
  <si>
    <t>Année Revenus</t>
  </si>
  <si>
    <t>Date d'entrée en vigueur</t>
  </si>
  <si>
    <t>Loi n°2004-439 du 26 mai 2004 - art. 26</t>
  </si>
  <si>
    <t>I. Computation of taxable income</t>
  </si>
  <si>
    <t>II. Computation of the income tax</t>
  </si>
  <si>
    <t xml:space="preserve">III. Tax reductions </t>
  </si>
  <si>
    <t>This file presents all the parameters of French legislation in order to compute the income tax, "impôt sur le revenu" (IR). All legal references such as law and decrees are indicated as much as possible. These tax parameters are used in TAXIPP, the IPP micro-simulation model. The first (hidden) lign of each worksheet of the file indicates the names of the parameters used in TAXIPP. We first provide information on the taxe base (exemptions, etc.) and then parameters about tax reductions and credits. Exceptionnal mechanisms are gathered at the end.</t>
  </si>
  <si>
    <r>
      <rPr>
        <i/>
        <sz val="11"/>
        <color theme="1"/>
        <rFont val="Calibri"/>
        <family val="2"/>
        <scheme val="minor"/>
      </rPr>
      <t>Barèmes IPP: Impôt sur le revenu</t>
    </r>
    <r>
      <rPr>
        <sz val="11"/>
        <color theme="1"/>
        <rFont val="Calibri"/>
        <family val="2"/>
        <scheme val="minor"/>
      </rPr>
      <t>, Institut des politiques publiques, April 2014.</t>
    </r>
  </si>
  <si>
    <t>IPP tax and benefit tables : Income tax</t>
  </si>
  <si>
    <t>Barèmes IPP : Impôt sur le revenu</t>
  </si>
  <si>
    <r>
      <rPr>
        <i/>
        <sz val="11"/>
        <color theme="1"/>
        <rFont val="Calibri"/>
        <family val="2"/>
        <scheme val="minor"/>
      </rPr>
      <t>Barèmes IPP: Impôt sur le revenu</t>
    </r>
    <r>
      <rPr>
        <sz val="11"/>
        <color theme="1"/>
        <rFont val="Calibri"/>
        <family val="2"/>
        <scheme val="minor"/>
      </rPr>
      <t>, Institut des politiques publiques, avril 2014.</t>
    </r>
  </si>
  <si>
    <t>Mathias André, Jonathan Goupille,  Malka Guillot, Thomas Piketty et Marianne Tenand</t>
  </si>
  <si>
    <t>Mathias André, Jonathan Goupille,  Malka Guillot, Thomas Piketty and Marianne Tenand</t>
  </si>
  <si>
    <t>Seuils et taux d'imposition au titre du barème de l'IR (1945 - 2014)</t>
  </si>
  <si>
    <t>Déductions salaires, pensions (1978 - 2014)</t>
  </si>
  <si>
    <t>Revenu des valeurs et capitaux mobiliers (1980 - 2014)</t>
  </si>
  <si>
    <t>Régimes micro-entreprise et microfoncier (1980 - 2014)</t>
  </si>
  <si>
    <t xml:space="preserve">Charges déductibles du revenu brut global (1975 - 2014) </t>
  </si>
  <si>
    <t>Abattement pour revenu net imposable ( 1978 - 2014)</t>
  </si>
  <si>
    <t>Exonération d'IR (1978 - 2014)</t>
  </si>
  <si>
    <t>Plafonnement du quotient familial et décote (1978 - 2014)</t>
  </si>
  <si>
    <t>Imposition des plus-values (1979 - 2014)</t>
  </si>
  <si>
    <t>Dons (1977 - 2014)</t>
  </si>
  <si>
    <t>Cotisations syndicales (1989 - 2014)</t>
  </si>
  <si>
    <t>Souscription au capital de SOFIPECHE (1999 - 2014)</t>
  </si>
  <si>
    <t>Emploi d'un salarié à domicile (1992 - 2014)</t>
  </si>
  <si>
    <t>Prestation compensatoire (2001 - 2014)</t>
  </si>
  <si>
    <t>Souscription de parts de fonds communs de placement dans l'innovation (1998 - 2014)</t>
  </si>
  <si>
    <t>Souscription au capital de SOFICA (1986 - 2014)</t>
  </si>
  <si>
    <t>Souscription au capital des PME (1993 - 2014)</t>
  </si>
  <si>
    <t>Investissement et travaux forestiers (2002 - 2014)</t>
  </si>
  <si>
    <t>Réductions pour enfants scolarisés (1993 - 2014)</t>
  </si>
  <si>
    <t>Dépenses d’accueil dans un établissement pour personnes dépendantes (1990 - 2014)</t>
  </si>
  <si>
    <t>Dépenses de gros travaux et intérêts d'emprunt et ravalement (1980 - 2014)</t>
  </si>
  <si>
    <t>Autres réductions d'impôts (1979 - 2014)</t>
  </si>
  <si>
    <t>Frais de garde d'enfants (1979 - 2014)</t>
  </si>
  <si>
    <t>Prime pour l'emploi (2001 - 2014)</t>
  </si>
  <si>
    <t>Plafonnement global des niches (2009 - 2014)</t>
  </si>
  <si>
    <t>Taxe exceptionnelle sur les hauts revenus (2012-2014)</t>
  </si>
  <si>
    <t>Wages and pensions deductions (1978 - 2014)</t>
  </si>
  <si>
    <t>Investment gains and securities income (1980 - 2014)</t>
  </si>
  <si>
    <t>Micro-firms and micro-landed schemes (1980 - 2014)</t>
  </si>
  <si>
    <t xml:space="preserve">Deductible charges of global gross income (1975 - 2014) </t>
  </si>
  <si>
    <t>Tax allowance for net taxable income ( 1978 - 2014)</t>
  </si>
  <si>
    <t>IR Exemptions (1978 - 2014)</t>
  </si>
  <si>
    <t>Family quotient ceiling and "decote" (1978 - 2014)</t>
  </si>
  <si>
    <t>Taxation of capital gains (1979 - 2014)</t>
  </si>
  <si>
    <t>Gifts (1977 - 2014)</t>
  </si>
  <si>
    <t>Union dues (1989 - 2014)</t>
  </si>
  <si>
    <t>Capital Subscription in SOFIPECHE (fishing firms) (1999 - 2014)</t>
  </si>
  <si>
    <t>Home-worker Employment (1992 - 2014)</t>
  </si>
  <si>
    <t>Compensatory allowance (2001 - 2014)</t>
  </si>
  <si>
    <t>Innovation Mutual Funds Shares Subscription (1998 - 2014)</t>
  </si>
  <si>
    <t>Capital Subscription in SOFICA society (cinema) (1986 - 2014)</t>
  </si>
  <si>
    <t>Small Firms Capital Subscription (PME) (1993 - 2014)</t>
  </si>
  <si>
    <t>Forest works and investment (2002 - 2014)</t>
  </si>
  <si>
    <t>Reduction for educated children (1993 - 2014)</t>
  </si>
  <si>
    <t>Expenditures in a host Establishment for Dependent Persons (1990 - 2014)</t>
  </si>
  <si>
    <t>Expenditures for big works and loan interests (1980 - 2014)</t>
  </si>
  <si>
    <t>Other tax reductions (1979 - 2014)</t>
  </si>
  <si>
    <t>Child care costs (1979 - 2014)</t>
  </si>
  <si>
    <t>Employment Allowance (2001 - 2014)</t>
  </si>
  <si>
    <t>Global ceiling for tax reductions (2009 - 2014)</t>
  </si>
  <si>
    <t>Exceptional tax on high incomes (2012-2014)</t>
  </si>
  <si>
    <t>1%-4%</t>
  </si>
  <si>
    <t>4%-13%</t>
  </si>
  <si>
    <t>13%-18%</t>
  </si>
  <si>
    <t>18%-24%</t>
  </si>
  <si>
    <t>24%-30%</t>
  </si>
  <si>
    <t>30%-36%</t>
  </si>
  <si>
    <t>36%-40%</t>
  </si>
  <si>
    <t>1,5%-16%</t>
  </si>
  <si>
    <t>16%-20%</t>
  </si>
  <si>
    <t>Barème de l'impôt général sur le revenu IGR (1914-1944)</t>
  </si>
  <si>
    <t>Date d'entrée en vigeur</t>
  </si>
  <si>
    <t>Revenus 1915</t>
  </si>
  <si>
    <t>Revenus 1916</t>
  </si>
  <si>
    <t>Revenus 1917-1918</t>
  </si>
  <si>
    <t>Revenus 1919-1935</t>
  </si>
  <si>
    <t>Revenus 1936-1941</t>
  </si>
  <si>
    <t>Revenus 1942-1944</t>
  </si>
  <si>
    <t>Taux marginal</t>
  </si>
  <si>
    <t>Taux marginaux 1919-1922</t>
  </si>
  <si>
    <t>Taux marginaux 1923</t>
  </si>
  <si>
    <t>Taux marginaux 1924</t>
  </si>
  <si>
    <t>Taux marginaux 1925</t>
  </si>
  <si>
    <t>Taux marginaux 1926-1927</t>
  </si>
  <si>
    <t>Taux marginaux 1928-1931</t>
  </si>
  <si>
    <t>Taux marginaux 1932-1933</t>
  </si>
  <si>
    <t>Taux marginaux 1934-1935</t>
  </si>
  <si>
    <t>IV. Calcul des crédits d'impôts</t>
  </si>
  <si>
    <t>V. Contributions exceptionnelles</t>
  </si>
  <si>
    <t xml:space="preserve">IV. Tax credits </t>
  </si>
  <si>
    <t>V. Exceptional contributions</t>
  </si>
  <si>
    <t>&gt; voir notamment tableaux 4-1 à à 4-4</t>
  </si>
  <si>
    <t>Tranche 15</t>
  </si>
  <si>
    <t>Tranche 16</t>
  </si>
  <si>
    <t>Tranche 17</t>
  </si>
  <si>
    <t>Tranche 18</t>
  </si>
  <si>
    <t>Tranche 19</t>
  </si>
  <si>
    <t>Tranche 20</t>
  </si>
  <si>
    <t>Tranche 21</t>
  </si>
  <si>
    <t>Tranche 22</t>
  </si>
  <si>
    <t>Tranche 23</t>
  </si>
  <si>
    <t>Tranche 24</t>
  </si>
  <si>
    <t>Tranche 25</t>
  </si>
  <si>
    <t>Voir note (4)</t>
  </si>
  <si>
    <t>Le taux moyen était de 1% à 4% entre 20000 et 80000 francs, avec une progression de 0,05% par tranche de 1000 francs</t>
  </si>
  <si>
    <t>Le taux moyen applicable était de 1% pour les revenus imposables compris entre 10000 et 20000 francs</t>
  </si>
  <si>
    <t xml:space="preserve">(4) Les revenus des années 1936-1941 étaient soumis à un barème exprimé en taux effectif (ou moyen, c'est-à-dire comme une proportion donnée du revenu imposable net de l'abattement général de 10 000 francs) : </t>
  </si>
  <si>
    <t>Le taux moyen était de 4% à 13% entre 80000 et 180000 francs, avec une progression de 0,09% par tranche de 1000 francs, etc.</t>
  </si>
  <si>
    <t>Coefficient  de progression</t>
  </si>
  <si>
    <t>(1) Les revenus de 1915 et 1916 étaient soumis à des barèmes exprimés en taux marginal:</t>
  </si>
  <si>
    <t>la fraction entre 10000 et 15000 francs à un taux marginal de 0,8%, etc.</t>
  </si>
  <si>
    <t>pour les revenus de 1915, la fraction de revenu imposable comprise entre 5000 et 10000 francs était soumise à un taux marginal de 0,4%</t>
  </si>
  <si>
    <t xml:space="preserve">(2) Les revenus de 1917 et 1918  étaient soumis à un barème exprimé en taux effectif (ou moyen, c'est-à-dire comme une proportion donnée du revenu imposable net de l'abattement général de 3 000 francs) : </t>
  </si>
  <si>
    <t>Le taux moyen applicable était de 1,5% pour les revenus imposables compris entre 3000 et 8000 francs</t>
  </si>
  <si>
    <t>Voir note (2)</t>
  </si>
  <si>
    <t>Le taux moyen était de 1,5% à 16% entre 8000 et 153000 francs, avec une  progression de 0,01% par tranche de 100 francs</t>
  </si>
  <si>
    <t>Le taux moyen était de 16% à 20% entre 153000 et 553000 francs, avec une progression de 0,01% par tranche de 1000 francs, etc.</t>
  </si>
  <si>
    <t>(3) Les revenus des années 1919-1935 étaient soumis à des barèmes exprimés en taux marginal et l'échelle des revenus découpées en 25 tranches :</t>
  </si>
  <si>
    <t>La fraction de revenu imposable comprise entre 6000 et 20000 francs était retenue pour 1/25ème de son montant</t>
  </si>
  <si>
    <t>La fraction comprise entre 20000 et 30000 francs est retenue pour 2/25èmes de son montant, etc.</t>
  </si>
  <si>
    <t>La fraction supérieure à 550000 francs est retenue pour 25/25èmes</t>
  </si>
  <si>
    <t>Le taux appliqué au revenu ainsi obtenu était de 50% pour les revenus des années 1919-1922, 60% pour les revenus de 1923, 72 % pour les revenus de 1924, 60% pour les revenus de1925, etc. (valeur du taux de la dernière tranche)</t>
  </si>
  <si>
    <t>Ces taux incluent les majorations applicables lors de l'imposition des années 1923-1925 et 1932-1933 indiquées sur le tableau 4-6 de Piketty (2001). Les revalorisations de l'abattement général sont indiquées dans le tableau C-1 (Piketty 2001)</t>
  </si>
  <si>
    <t xml:space="preserve">Voir note (3) </t>
  </si>
  <si>
    <t>Voir note (5)</t>
  </si>
  <si>
    <t>(5) Les revenus des années 1941-1944 étaient soumis à des barèmes exprimés en taux marginal. Voir note (2).</t>
  </si>
  <si>
    <t>Barème</t>
  </si>
  <si>
    <t>Taux effectifs</t>
  </si>
  <si>
    <t>Tranches (en FRF)</t>
  </si>
  <si>
    <t>Schedule of the general income tax (1914-1944)</t>
  </si>
  <si>
    <t>Thresholds and marginal tax rates (1945-2014)</t>
  </si>
  <si>
    <t>date_ir</t>
  </si>
  <si>
    <t>date_rev</t>
  </si>
  <si>
    <t>taxe_comp</t>
  </si>
  <si>
    <t>taxe_prop</t>
  </si>
  <si>
    <t>jorf</t>
  </si>
  <si>
    <t>ref_leg</t>
  </si>
  <si>
    <t>dom_tom</t>
  </si>
  <si>
    <t>ref_lef</t>
  </si>
  <si>
    <t>exo_IR_m65</t>
  </si>
  <si>
    <t>exo_IR_p65</t>
  </si>
  <si>
    <t>plafFCP_couple</t>
  </si>
  <si>
    <t>plafFCP_celib</t>
  </si>
  <si>
    <t>plaf_PME1</t>
  </si>
  <si>
    <t>plaf_PME2</t>
  </si>
  <si>
    <t>plaf_int_emp</t>
  </si>
  <si>
    <t>inc_int_emp</t>
  </si>
  <si>
    <t>plaf_deduc</t>
  </si>
  <si>
    <t>inc_deduc</t>
  </si>
  <si>
    <t>taux1_majo</t>
  </si>
  <si>
    <t>taux2_majo</t>
  </si>
  <si>
    <t>taux3_majo</t>
  </si>
  <si>
    <t>seuil_rev_majo</t>
  </si>
  <si>
    <t>seuil1_majo</t>
  </si>
  <si>
    <t>seuil2_majo</t>
  </si>
  <si>
    <t>seuil3_majo</t>
  </si>
  <si>
    <t>Non codé</t>
  </si>
  <si>
    <t>plaf_SOFIPECHE_charge</t>
  </si>
  <si>
    <t>base_SOFIPECHE_charge</t>
  </si>
  <si>
    <t>BOI-IR-LIQ-20-20-10-20130704</t>
  </si>
  <si>
    <t>Majoration</t>
  </si>
  <si>
    <t>Loi n° 2009-594 du 27 mai 2009 - art. 40</t>
  </si>
  <si>
    <t xml:space="preserve"> Le plafond est majoré de 8 000 € pour les réductions d'impôt en faveur des investissements outre-mer et celles accordées au titre des souscriptions au capital de SOFICA</t>
  </si>
  <si>
    <t>majo_nich</t>
  </si>
  <si>
    <t>BOI-IR-LIQ-20-20-10-30-20130704</t>
  </si>
  <si>
    <t xml:space="preserve">(4) Liste des avantages fiscaux : </t>
  </si>
  <si>
    <t>BOI-IR-LIQ-20-20-10-10-20130704</t>
  </si>
  <si>
    <t xml:space="preserve">(3) Exemple de calculs : </t>
  </si>
  <si>
    <t>(13) Dépense de protection du patrimoine naturel : art. 199 octovicies du CGI</t>
  </si>
  <si>
    <t>(11) Travaux de conservation et de restauration d'objets classés monuments historiques : art. 199 duovicies du CGI</t>
  </si>
  <si>
    <t>(12) Travaux de restauration complète d’un immeuble bâti (réduction d'impôt « Malraux ») : art. 199 tervicies du CGI</t>
  </si>
  <si>
    <t>Pour les réductions sur patrimoine : Depuis le 26 avril 2012 Décret n°2012-547 du 23 avril 2012 - art. 1</t>
  </si>
  <si>
    <t>Pour les réductions sur patrimoine : changement au 16 mai 2011 par Décret n°2011-520 du 13 mai 2011 - art. 1</t>
  </si>
  <si>
    <t>Protection du patrimoine naturel (cf. 13)</t>
  </si>
  <si>
    <t>Réstauration du patrimoine bâti (cf. 12)</t>
  </si>
  <si>
    <t>Dépenses de restauration des monuments historiques (cf. 11)</t>
  </si>
  <si>
    <t>Aide aux repreneurs d'entreprise (cf. 10)</t>
  </si>
  <si>
    <t>Intérêts paiements différés agriculteurs (cf. 9)</t>
  </si>
  <si>
    <t>Intérêts d'emprunt pour reprise de société (cf. 8)</t>
  </si>
  <si>
    <t>Prêts à la consommation (cf. 7)</t>
  </si>
  <si>
    <t>Rente survie (cf. 4)</t>
  </si>
  <si>
    <t>Frais de comptabilité (cf. 3)</t>
  </si>
  <si>
    <t>pas de limite</t>
  </si>
  <si>
    <t>(4) Réduction d'impôt accordée au titre de certains investissements réalisés outre-mer (y compris les créances reportées) : art. 199 undecies A, art. 199 undecies B, art. 199 undecies C et art.199 undecies D du CGI</t>
  </si>
  <si>
    <t>(1) Frais de garde des enfants à l'extérieur du domicile. 
Le plafond est exprimé par enfant : art. 200 quater B du CGI</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</si>
</sst>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 _€_-;\-* #,##0.00\ _€_-;_-* &quot;-&quot;??\ _€_-;_-@_-"/>
    <numFmt numFmtId="164" formatCode="#,##0\ &quot;€&quot;"/>
    <numFmt numFmtId="165" formatCode="#,##0\ [$FRF]"/>
    <numFmt numFmtId="166" formatCode="_-* #,##0.00\ _F_-;\-* #,##0.00\ _F_-;_-* &quot;-&quot;??\ _F_-;_-@_-"/>
    <numFmt numFmtId="167" formatCode="0.000000"/>
    <numFmt numFmtId="168" formatCode="0.0%"/>
    <numFmt numFmtId="169" formatCode="#,##0.00\ &quot;€&quot;"/>
    <numFmt numFmtId="170" formatCode="\$#,##0\ ;\(\$#,##0\)"/>
    <numFmt numFmtId="171" formatCode="0.0000"/>
  </numFmts>
  <fonts count="36" x14ac:knownFonts="1">
    <font>
      <sz val="11"/>
      <color theme="1"/>
      <name val="Calibri"/>
      <family val="2"/>
      <scheme val="minor"/>
    </font>
    <font>
      <sz val="11"/>
      <color theme="1"/>
      <name val="Calibri"/>
      <family val="2"/>
      <scheme val="minor"/>
    </font>
    <font>
      <u/>
      <sz val="11"/>
      <color theme="10"/>
      <name val="Calibri"/>
      <family val="2"/>
    </font>
    <font>
      <u/>
      <sz val="11"/>
      <color theme="8" tint="-0.249977111117893"/>
      <name val="Calibri"/>
      <family val="2"/>
      <scheme val="minor"/>
    </font>
    <font>
      <i/>
      <sz val="11"/>
      <color theme="1"/>
      <name val="Calibri"/>
      <family val="2"/>
      <scheme val="minor"/>
    </font>
    <font>
      <sz val="10"/>
      <name val="Arial"/>
      <family val="2"/>
    </font>
    <font>
      <b/>
      <sz val="10"/>
      <name val="Arial"/>
      <family val="2"/>
    </font>
    <font>
      <sz val="9"/>
      <name val="Arial"/>
      <family val="2"/>
    </font>
    <font>
      <sz val="9"/>
      <color theme="1"/>
      <name val="Arial"/>
      <family val="2"/>
    </font>
    <font>
      <b/>
      <sz val="11"/>
      <color theme="1"/>
      <name val="Calibri"/>
      <family val="2"/>
      <scheme val="minor"/>
    </font>
    <font>
      <sz val="11"/>
      <name val="Calibri"/>
      <family val="2"/>
      <scheme val="minor"/>
    </font>
    <font>
      <b/>
      <sz val="10"/>
      <color theme="1"/>
      <name val="Arial"/>
      <family val="2"/>
    </font>
    <font>
      <b/>
      <sz val="11"/>
      <name val="Calibri"/>
      <family val="2"/>
      <scheme val="minor"/>
    </font>
    <font>
      <sz val="11"/>
      <name val="Calibri"/>
      <family val="2"/>
    </font>
    <font>
      <sz val="11"/>
      <color rgb="FFFF0000"/>
      <name val="Calibri"/>
      <family val="2"/>
      <scheme val="minor"/>
    </font>
    <font>
      <i/>
      <u/>
      <sz val="11"/>
      <color theme="1"/>
      <name val="Calibri"/>
      <family val="2"/>
      <scheme val="minor"/>
    </font>
    <font>
      <b/>
      <sz val="11"/>
      <color rgb="FFC00000"/>
      <name val="Calibri"/>
      <family val="2"/>
      <scheme val="minor"/>
    </font>
    <font>
      <u/>
      <sz val="11"/>
      <color theme="1"/>
      <name val="Calibri"/>
      <family val="2"/>
      <scheme val="minor"/>
    </font>
    <font>
      <sz val="10"/>
      <name val="Calibri"/>
      <family val="2"/>
      <scheme val="minor"/>
    </font>
    <font>
      <sz val="12"/>
      <color indexed="24"/>
      <name val="Arial"/>
      <family val="2"/>
    </font>
    <font>
      <b/>
      <sz val="8"/>
      <color indexed="24"/>
      <name val="Times New Roman"/>
      <family val="1"/>
    </font>
    <font>
      <sz val="8"/>
      <color indexed="24"/>
      <name val="Times New Roman"/>
      <family val="1"/>
    </font>
    <font>
      <sz val="11"/>
      <color theme="6"/>
      <name val="Calibri"/>
      <family val="2"/>
      <scheme val="minor"/>
    </font>
    <font>
      <sz val="9"/>
      <color theme="6"/>
      <name val="Arial"/>
      <family val="2"/>
    </font>
    <font>
      <u/>
      <sz val="11"/>
      <name val="Calibri"/>
      <family val="2"/>
      <scheme val="minor"/>
    </font>
    <font>
      <sz val="11"/>
      <color rgb="FF00B0F0"/>
      <name val="Calibri"/>
      <family val="2"/>
      <scheme val="minor"/>
    </font>
    <font>
      <sz val="11"/>
      <color theme="8" tint="0.79998168889431442"/>
      <name val="Calibri"/>
      <family val="2"/>
      <scheme val="minor"/>
    </font>
    <font>
      <b/>
      <sz val="14"/>
      <color theme="8" tint="-0.249977111117893"/>
      <name val="Calibri"/>
      <family val="2"/>
      <scheme val="minor"/>
    </font>
    <font>
      <sz val="11"/>
      <name val="Arial"/>
      <family val="2"/>
    </font>
    <font>
      <i/>
      <sz val="11"/>
      <name val="Calibri"/>
      <family val="2"/>
      <scheme val="minor"/>
    </font>
    <font>
      <b/>
      <u/>
      <sz val="5"/>
      <name val="Arial"/>
      <family val="2"/>
    </font>
    <font>
      <sz val="5"/>
      <name val="Arial"/>
      <family val="2"/>
    </font>
    <font>
      <b/>
      <sz val="10"/>
      <name val="Calibri"/>
      <family val="2"/>
      <scheme val="minor"/>
    </font>
    <font>
      <u/>
      <sz val="10"/>
      <name val="Arial"/>
      <family val="2"/>
    </font>
    <font>
      <b/>
      <u/>
      <sz val="10"/>
      <name val="Arial"/>
      <family val="2"/>
    </font>
    <font>
      <b/>
      <u/>
      <sz val="1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rgb="FF00B0F0"/>
        <bgColor indexed="64"/>
      </patternFill>
    </fill>
    <fill>
      <patternFill patternType="solid">
        <fgColor theme="8" tint="0.59999389629810485"/>
        <bgColor indexed="64"/>
      </patternFill>
    </fill>
  </fills>
  <borders count="27">
    <border>
      <left/>
      <right/>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8" tint="-0.24994659260841701"/>
      </left>
      <right/>
      <top style="thin">
        <color theme="8" tint="-0.24994659260841701"/>
      </top>
      <bottom/>
      <diagonal/>
    </border>
    <border>
      <left/>
      <right/>
      <top style="thin">
        <color theme="8" tint="-0.24994659260841701"/>
      </top>
      <bottom/>
      <diagonal/>
    </border>
    <border>
      <left/>
      <right style="thin">
        <color theme="8" tint="-0.24994659260841701"/>
      </right>
      <top style="thin">
        <color theme="8" tint="-0.24994659260841701"/>
      </top>
      <bottom/>
      <diagonal/>
    </border>
    <border>
      <left style="thin">
        <color theme="8" tint="-0.24994659260841701"/>
      </left>
      <right/>
      <top/>
      <bottom/>
      <diagonal/>
    </border>
    <border>
      <left/>
      <right style="thin">
        <color theme="8" tint="-0.24994659260841701"/>
      </right>
      <top/>
      <bottom/>
      <diagonal/>
    </border>
    <border>
      <left style="thin">
        <color theme="8" tint="-0.24994659260841701"/>
      </left>
      <right/>
      <top/>
      <bottom style="thin">
        <color theme="8" tint="-0.24994659260841701"/>
      </bottom>
      <diagonal/>
    </border>
    <border>
      <left/>
      <right/>
      <top/>
      <bottom style="thin">
        <color theme="8" tint="-0.24994659260841701"/>
      </bottom>
      <diagonal/>
    </border>
    <border>
      <left/>
      <right style="thin">
        <color theme="8" tint="-0.24994659260841701"/>
      </right>
      <top/>
      <bottom style="thin">
        <color theme="8" tint="-0.24994659260841701"/>
      </bottom>
      <diagonal/>
    </border>
    <border>
      <left style="thin">
        <color indexed="64"/>
      </left>
      <right style="thin">
        <color indexed="64"/>
      </right>
      <top style="thin">
        <color indexed="64"/>
      </top>
      <bottom/>
      <diagonal/>
    </border>
  </borders>
  <cellStyleXfs count="12">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5" fillId="0" borderId="0"/>
    <xf numFmtId="9" fontId="1" fillId="0" borderId="0" applyFont="0" applyFill="0" applyBorder="0" applyAlignment="0" applyProtection="0"/>
    <xf numFmtId="0"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3" fontId="19" fillId="0" borderId="0" applyFont="0" applyFill="0" applyBorder="0" applyAlignment="0" applyProtection="0"/>
    <xf numFmtId="170" fontId="19" fillId="0" borderId="0" applyFont="0" applyFill="0" applyBorder="0" applyAlignment="0" applyProtection="0"/>
    <xf numFmtId="0" fontId="19" fillId="0" borderId="1" applyNumberFormat="0" applyFont="0" applyFill="0" applyAlignment="0" applyProtection="0"/>
    <xf numFmtId="2" fontId="19" fillId="0" borderId="0" applyFont="0" applyFill="0" applyBorder="0" applyAlignment="0" applyProtection="0"/>
  </cellStyleXfs>
  <cellXfs count="555">
    <xf numFmtId="0" fontId="0" fillId="0" borderId="0" xfId="0"/>
    <xf numFmtId="0" fontId="2" fillId="0" borderId="0" xfId="2" applyAlignment="1" applyProtection="1"/>
    <xf numFmtId="0" fontId="6" fillId="3" borderId="0" xfId="3" applyFont="1" applyFill="1" applyBorder="1" applyAlignment="1">
      <alignment horizontal="center" vertical="center" wrapText="1"/>
    </xf>
    <xf numFmtId="0" fontId="6" fillId="3" borderId="0" xfId="3" applyFont="1" applyFill="1" applyAlignment="1">
      <alignment horizontal="center" vertical="center" wrapText="1"/>
    </xf>
    <xf numFmtId="165" fontId="7" fillId="0" borderId="0" xfId="3" applyNumberFormat="1" applyFont="1" applyFill="1" applyAlignment="1">
      <alignment horizontal="center"/>
    </xf>
    <xf numFmtId="0" fontId="7" fillId="0" borderId="0" xfId="3" applyFont="1" applyFill="1" applyBorder="1" applyAlignment="1">
      <alignment horizontal="left" wrapText="1"/>
    </xf>
    <xf numFmtId="14" fontId="7" fillId="0" borderId="0" xfId="3" applyNumberFormat="1" applyFont="1" applyFill="1" applyBorder="1" applyAlignment="1">
      <alignment horizontal="center" wrapText="1"/>
    </xf>
    <xf numFmtId="0" fontId="5" fillId="0" borderId="0" xfId="3" applyFont="1" applyAlignment="1">
      <alignment vertical="center"/>
    </xf>
    <xf numFmtId="0" fontId="7" fillId="0" borderId="0" xfId="0" applyFont="1" applyBorder="1" applyAlignment="1">
      <alignment wrapText="1"/>
    </xf>
    <xf numFmtId="14" fontId="7" fillId="0" borderId="0" xfId="0" applyNumberFormat="1" applyFont="1" applyBorder="1" applyAlignment="1">
      <alignment horizontal="center" wrapText="1"/>
    </xf>
    <xf numFmtId="166" fontId="7" fillId="0" borderId="0" xfId="1" applyNumberFormat="1" applyFont="1" applyBorder="1" applyAlignment="1">
      <alignment horizontal="center" wrapText="1"/>
    </xf>
    <xf numFmtId="0" fontId="7" fillId="0" borderId="0" xfId="0" applyFont="1" applyBorder="1" applyAlignment="1">
      <alignment horizontal="left" wrapText="1"/>
    </xf>
    <xf numFmtId="167" fontId="0" fillId="0" borderId="0" xfId="0" applyNumberFormat="1"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165" fontId="0" fillId="0" borderId="0" xfId="0" applyNumberFormat="1" applyAlignment="1">
      <alignment horizontal="center"/>
    </xf>
    <xf numFmtId="165" fontId="7" fillId="0" borderId="0" xfId="3" applyNumberFormat="1" applyFont="1" applyFill="1" applyAlignment="1">
      <alignment horizontal="center" vertical="center"/>
    </xf>
    <xf numFmtId="165" fontId="0" fillId="0" borderId="0" xfId="0" applyNumberFormat="1" applyAlignment="1">
      <alignment horizontal="center" vertical="center"/>
    </xf>
    <xf numFmtId="166" fontId="7" fillId="0" borderId="0" xfId="1" applyNumberFormat="1" applyFont="1" applyBorder="1" applyAlignment="1">
      <alignment horizontal="center" vertical="center" wrapText="1"/>
    </xf>
    <xf numFmtId="168" fontId="7" fillId="0" borderId="0" xfId="3" applyNumberFormat="1" applyFont="1" applyFill="1" applyAlignment="1">
      <alignment horizontal="center" vertical="center"/>
    </xf>
    <xf numFmtId="168" fontId="7" fillId="0" borderId="0" xfId="1" applyNumberFormat="1" applyFont="1" applyBorder="1" applyAlignment="1">
      <alignment horizontal="center" vertical="center" wrapText="1"/>
    </xf>
    <xf numFmtId="168" fontId="0" fillId="0" borderId="0" xfId="0" applyNumberFormat="1"/>
    <xf numFmtId="0" fontId="7" fillId="0" borderId="0" xfId="3" applyFont="1" applyFill="1" applyAlignment="1">
      <alignment vertical="center" wrapText="1"/>
    </xf>
    <xf numFmtId="0" fontId="5" fillId="0" borderId="0" xfId="3" applyFont="1" applyAlignment="1">
      <alignment vertical="center" wrapText="1"/>
    </xf>
    <xf numFmtId="0" fontId="0" fillId="0" borderId="0" xfId="0" applyAlignment="1">
      <alignment wrapText="1"/>
    </xf>
    <xf numFmtId="0" fontId="5" fillId="0" borderId="0" xfId="3"/>
    <xf numFmtId="0" fontId="0" fillId="0" borderId="0" xfId="0" applyAlignment="1">
      <alignment horizontal="center" vertical="center"/>
    </xf>
    <xf numFmtId="0" fontId="0" fillId="0" borderId="0" xfId="0" applyFont="1" applyAlignment="1">
      <alignment horizontal="center" vertical="center"/>
    </xf>
    <xf numFmtId="0" fontId="0" fillId="0" borderId="0" xfId="0" applyFont="1"/>
    <xf numFmtId="164" fontId="0" fillId="0" borderId="0" xfId="0" applyNumberFormat="1" applyFont="1" applyAlignment="1">
      <alignment horizontal="center" vertical="center"/>
    </xf>
    <xf numFmtId="164" fontId="10" fillId="0" borderId="0" xfId="0" applyNumberFormat="1" applyFont="1" applyAlignment="1">
      <alignment horizontal="center" vertical="center"/>
    </xf>
    <xf numFmtId="9" fontId="10" fillId="0" borderId="0" xfId="0" applyNumberFormat="1" applyFont="1" applyAlignment="1">
      <alignment horizontal="center" vertical="center"/>
    </xf>
    <xf numFmtId="164" fontId="10" fillId="0" borderId="0" xfId="3" applyNumberFormat="1" applyFont="1" applyAlignment="1">
      <alignment horizontal="center" vertical="center" wrapText="1"/>
    </xf>
    <xf numFmtId="9" fontId="0" fillId="0" borderId="0" xfId="0" applyNumberFormat="1" applyFont="1" applyAlignment="1">
      <alignment horizontal="center" vertical="center"/>
    </xf>
    <xf numFmtId="165" fontId="0" fillId="0" borderId="0" xfId="0" applyNumberFormat="1" applyFont="1" applyAlignment="1">
      <alignment horizontal="center" vertical="center"/>
    </xf>
    <xf numFmtId="165" fontId="10" fillId="0" borderId="0" xfId="0" applyNumberFormat="1" applyFont="1" applyAlignment="1">
      <alignment horizontal="center" vertical="center"/>
    </xf>
    <xf numFmtId="167" fontId="0" fillId="0" borderId="0" xfId="0" applyNumberFormat="1" applyFont="1" applyAlignment="1">
      <alignment horizontal="center" vertical="center"/>
    </xf>
    <xf numFmtId="168" fontId="0" fillId="0" borderId="0" xfId="0" applyNumberFormat="1" applyFont="1" applyAlignment="1">
      <alignment horizontal="center" vertical="center"/>
    </xf>
    <xf numFmtId="168" fontId="10" fillId="0" borderId="0" xfId="0" applyNumberFormat="1" applyFont="1" applyAlignment="1">
      <alignment horizontal="center" vertical="center"/>
    </xf>
    <xf numFmtId="0" fontId="0" fillId="0" borderId="0" xfId="0" applyFont="1" applyBorder="1" applyAlignment="1">
      <alignment horizontal="center" vertical="center" wrapText="1"/>
    </xf>
    <xf numFmtId="0" fontId="10" fillId="0" borderId="0" xfId="3" applyFont="1" applyFill="1" applyAlignment="1">
      <alignment vertical="center" wrapText="1"/>
    </xf>
    <xf numFmtId="165" fontId="10" fillId="0" borderId="0" xfId="3" applyNumberFormat="1" applyFont="1" applyFill="1" applyAlignment="1">
      <alignment horizontal="center" vertical="center"/>
    </xf>
    <xf numFmtId="10" fontId="10" fillId="0" borderId="0" xfId="3" applyNumberFormat="1" applyFont="1" applyFill="1" applyAlignment="1">
      <alignment horizontal="center" vertical="center"/>
    </xf>
    <xf numFmtId="0" fontId="10" fillId="0" borderId="0" xfId="3" applyFont="1" applyAlignment="1">
      <alignment horizontal="center" vertical="center"/>
    </xf>
    <xf numFmtId="14" fontId="10" fillId="0" borderId="0" xfId="3" applyNumberFormat="1" applyFont="1" applyFill="1" applyBorder="1" applyAlignment="1">
      <alignment horizontal="center" vertical="center" wrapText="1"/>
    </xf>
    <xf numFmtId="0" fontId="0" fillId="0" borderId="0" xfId="0" applyBorder="1" applyAlignment="1">
      <alignment horizontal="center" vertical="center" wrapText="1"/>
    </xf>
    <xf numFmtId="9" fontId="0" fillId="0" borderId="0" xfId="0" applyNumberFormat="1" applyAlignment="1">
      <alignment horizontal="center" vertical="center"/>
    </xf>
    <xf numFmtId="0" fontId="0" fillId="0" borderId="0" xfId="0" applyAlignment="1">
      <alignment horizontal="center" vertical="center" wrapText="1"/>
    </xf>
    <xf numFmtId="0" fontId="10" fillId="0" borderId="0" xfId="3" applyFont="1" applyFill="1" applyAlignment="1">
      <alignment horizontal="center" vertical="center"/>
    </xf>
    <xf numFmtId="0" fontId="10" fillId="0" borderId="0" xfId="3" applyFont="1" applyFill="1" applyBorder="1" applyAlignment="1">
      <alignment horizontal="center" vertical="center" wrapText="1"/>
    </xf>
    <xf numFmtId="0" fontId="8" fillId="0" borderId="0" xfId="0" applyFont="1" applyAlignment="1">
      <alignment horizontal="center" vertical="center"/>
    </xf>
    <xf numFmtId="165" fontId="8" fillId="0" borderId="0" xfId="0" applyNumberFormat="1" applyFont="1" applyAlignment="1">
      <alignment horizontal="center" vertical="center"/>
    </xf>
    <xf numFmtId="0" fontId="0" fillId="0" borderId="0" xfId="0" quotePrefix="1" applyAlignment="1">
      <alignment horizontal="center" vertical="center"/>
    </xf>
    <xf numFmtId="0" fontId="0" fillId="0" borderId="0" xfId="0" applyAlignment="1">
      <alignment horizontal="left" vertical="center"/>
    </xf>
    <xf numFmtId="0" fontId="0" fillId="0" borderId="0" xfId="0" applyAlignment="1">
      <alignment horizontal="left"/>
    </xf>
    <xf numFmtId="0" fontId="10" fillId="0" borderId="0" xfId="3" applyFont="1" applyFill="1" applyAlignment="1">
      <alignment horizontal="center" vertical="center" wrapText="1"/>
    </xf>
    <xf numFmtId="0" fontId="0" fillId="0" borderId="0" xfId="0" applyFont="1" applyAlignment="1">
      <alignment wrapText="1"/>
    </xf>
    <xf numFmtId="0" fontId="10" fillId="0" borderId="0" xfId="0" applyFont="1" applyBorder="1" applyAlignment="1">
      <alignment horizontal="center" vertical="center" wrapText="1"/>
    </xf>
    <xf numFmtId="0" fontId="10" fillId="0" borderId="0" xfId="2" applyFont="1" applyAlignment="1" applyProtection="1">
      <alignment horizontal="center" wrapText="1"/>
    </xf>
    <xf numFmtId="164" fontId="10" fillId="0" borderId="0" xfId="0" applyNumberFormat="1" applyFont="1" applyFill="1" applyAlignment="1">
      <alignment horizontal="center" vertical="center"/>
    </xf>
    <xf numFmtId="164" fontId="0" fillId="0" borderId="0" xfId="0" applyNumberFormat="1" applyFont="1" applyFill="1" applyAlignment="1">
      <alignment horizontal="center" vertical="center"/>
    </xf>
    <xf numFmtId="0" fontId="13" fillId="0" borderId="0" xfId="2" applyFont="1" applyAlignment="1" applyProtection="1">
      <alignment horizontal="center" vertical="center" wrapText="1"/>
    </xf>
    <xf numFmtId="0" fontId="10" fillId="0" borderId="0" xfId="3" applyFont="1" applyAlignment="1">
      <alignment vertical="center" wrapText="1"/>
    </xf>
    <xf numFmtId="0" fontId="0" fillId="0" borderId="0" xfId="0" applyAlignment="1"/>
    <xf numFmtId="0" fontId="15" fillId="0" borderId="0" xfId="0" applyFont="1" applyAlignment="1"/>
    <xf numFmtId="0" fontId="13" fillId="0" borderId="0" xfId="2" applyFont="1" applyAlignment="1" applyProtection="1"/>
    <xf numFmtId="0" fontId="10" fillId="0" borderId="0" xfId="3" applyFont="1" applyAlignment="1">
      <alignment horizontal="left" vertical="center"/>
    </xf>
    <xf numFmtId="9" fontId="0" fillId="0" borderId="0" xfId="0" applyNumberFormat="1" applyFill="1" applyAlignment="1">
      <alignment horizontal="center" vertical="center"/>
    </xf>
    <xf numFmtId="9" fontId="5" fillId="0" borderId="0" xfId="0" applyNumberFormat="1" applyFont="1" applyAlignment="1">
      <alignment horizontal="center" vertical="center"/>
    </xf>
    <xf numFmtId="0" fontId="13" fillId="0" borderId="0" xfId="2" applyFont="1" applyAlignment="1" applyProtection="1">
      <alignment vertical="center"/>
    </xf>
    <xf numFmtId="0" fontId="0" fillId="0" borderId="0" xfId="0" applyFont="1" applyAlignment="1">
      <alignment vertical="center" wrapText="1"/>
    </xf>
    <xf numFmtId="0" fontId="10" fillId="0" borderId="0" xfId="3" applyFont="1" applyFill="1" applyAlignment="1">
      <alignment horizontal="left" vertical="center"/>
    </xf>
    <xf numFmtId="164" fontId="0" fillId="0" borderId="0" xfId="0" applyNumberFormat="1" applyFill="1" applyAlignment="1">
      <alignment horizontal="center" vertical="center"/>
    </xf>
    <xf numFmtId="0" fontId="0" fillId="0" borderId="0" xfId="0" applyFill="1"/>
    <xf numFmtId="9" fontId="0" fillId="0" borderId="0" xfId="0" applyNumberFormat="1" applyFont="1" applyFill="1" applyAlignment="1">
      <alignment horizontal="center" vertical="center"/>
    </xf>
    <xf numFmtId="0" fontId="0" fillId="0" borderId="0" xfId="0" applyFont="1" applyFill="1" applyAlignment="1">
      <alignment horizontal="center" vertical="center"/>
    </xf>
    <xf numFmtId="165" fontId="0" fillId="0" borderId="0" xfId="0" applyNumberFormat="1" applyFont="1" applyFill="1" applyAlignment="1">
      <alignment horizontal="center" vertical="center"/>
    </xf>
    <xf numFmtId="9" fontId="8" fillId="0" borderId="0" xfId="0" applyNumberFormat="1" applyFont="1" applyAlignment="1">
      <alignment horizontal="center" vertical="center"/>
    </xf>
    <xf numFmtId="0" fontId="17" fillId="0" borderId="0" xfId="0" applyFont="1"/>
    <xf numFmtId="0" fontId="10" fillId="0" borderId="0" xfId="3" applyFont="1" applyAlignment="1">
      <alignment vertical="top" wrapText="1"/>
    </xf>
    <xf numFmtId="164" fontId="8" fillId="0" borderId="0" xfId="0" applyNumberFormat="1" applyFont="1" applyAlignment="1">
      <alignment horizontal="center" vertical="center"/>
    </xf>
    <xf numFmtId="164" fontId="10" fillId="2" borderId="0" xfId="0" applyNumberFormat="1" applyFont="1" applyFill="1" applyAlignment="1">
      <alignment horizontal="center" vertical="center"/>
    </xf>
    <xf numFmtId="164" fontId="0" fillId="2" borderId="0" xfId="0" applyNumberFormat="1" applyFont="1" applyFill="1" applyAlignment="1">
      <alignment horizontal="center" vertical="center"/>
    </xf>
    <xf numFmtId="165" fontId="0" fillId="2" borderId="0" xfId="0" applyNumberFormat="1" applyFont="1" applyFill="1" applyAlignment="1">
      <alignment horizontal="center" vertical="center"/>
    </xf>
    <xf numFmtId="0" fontId="0" fillId="2" borderId="0" xfId="0" applyFill="1" applyAlignment="1">
      <alignment horizontal="center" vertical="center"/>
    </xf>
    <xf numFmtId="9" fontId="0" fillId="2" borderId="0" xfId="0" applyNumberFormat="1" applyFill="1" applyAlignment="1">
      <alignment horizontal="center" vertical="center"/>
    </xf>
    <xf numFmtId="164" fontId="0" fillId="2" borderId="0" xfId="0" applyNumberFormat="1" applyFill="1" applyAlignment="1">
      <alignment horizontal="center" vertical="center"/>
    </xf>
    <xf numFmtId="165" fontId="0" fillId="2" borderId="0" xfId="0" applyNumberFormat="1" applyFill="1" applyAlignment="1">
      <alignment horizontal="center" vertical="center"/>
    </xf>
    <xf numFmtId="164" fontId="10" fillId="2" borderId="0" xfId="0" applyNumberFormat="1" applyFont="1" applyFill="1" applyBorder="1" applyAlignment="1">
      <alignment horizontal="center" vertical="center" wrapText="1"/>
    </xf>
    <xf numFmtId="10" fontId="0" fillId="2" borderId="0" xfId="0" applyNumberFormat="1" applyFont="1" applyFill="1" applyAlignment="1">
      <alignment horizontal="center" vertical="center"/>
    </xf>
    <xf numFmtId="10" fontId="10" fillId="0" borderId="0" xfId="0" applyNumberFormat="1" applyFont="1" applyAlignment="1">
      <alignment horizontal="center" vertical="center"/>
    </xf>
    <xf numFmtId="10" fontId="10" fillId="2" borderId="0" xfId="3" applyNumberFormat="1" applyFont="1" applyFill="1" applyAlignment="1">
      <alignment horizontal="center" vertical="center"/>
    </xf>
    <xf numFmtId="165" fontId="10" fillId="2" borderId="0" xfId="3" applyNumberFormat="1" applyFont="1" applyFill="1" applyAlignment="1">
      <alignment horizontal="center" vertical="center"/>
    </xf>
    <xf numFmtId="168" fontId="10" fillId="0" borderId="0" xfId="3" applyNumberFormat="1" applyFont="1" applyFill="1" applyAlignment="1">
      <alignment horizontal="center" vertical="center"/>
    </xf>
    <xf numFmtId="168" fontId="10" fillId="0" borderId="0" xfId="4" applyNumberFormat="1" applyFont="1" applyFill="1" applyAlignment="1">
      <alignment horizontal="center" vertical="center"/>
    </xf>
    <xf numFmtId="168" fontId="10" fillId="2" borderId="0" xfId="4" applyNumberFormat="1" applyFont="1" applyFill="1" applyAlignment="1">
      <alignment horizontal="center" vertical="center"/>
    </xf>
    <xf numFmtId="0" fontId="10" fillId="0" borderId="0" xfId="3" applyFont="1" applyFill="1" applyAlignment="1">
      <alignment vertical="center"/>
    </xf>
    <xf numFmtId="0" fontId="8" fillId="0" borderId="0" xfId="0" quotePrefix="1" applyFont="1" applyAlignment="1">
      <alignment horizontal="center" vertical="center"/>
    </xf>
    <xf numFmtId="9" fontId="0" fillId="2" borderId="0" xfId="0" applyNumberFormat="1" applyFont="1" applyFill="1" applyAlignment="1">
      <alignment horizontal="center" vertical="center"/>
    </xf>
    <xf numFmtId="165" fontId="10" fillId="0" borderId="0" xfId="0" applyNumberFormat="1" applyFont="1" applyFill="1" applyAlignment="1">
      <alignment horizontal="center" vertical="center"/>
    </xf>
    <xf numFmtId="9" fontId="10" fillId="0" borderId="0" xfId="0" applyNumberFormat="1" applyFont="1" applyFill="1" applyAlignment="1">
      <alignment horizontal="center" vertical="center"/>
    </xf>
    <xf numFmtId="164"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9"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64" fontId="22" fillId="2" borderId="0" xfId="0" applyNumberFormat="1" applyFont="1" applyFill="1" applyAlignment="1">
      <alignment horizontal="center" vertical="center"/>
    </xf>
    <xf numFmtId="9" fontId="22" fillId="2" borderId="0" xfId="0" applyNumberFormat="1" applyFont="1" applyFill="1" applyAlignment="1">
      <alignment horizontal="center" vertical="center"/>
    </xf>
    <xf numFmtId="0" fontId="22" fillId="0" borderId="0" xfId="3" applyFont="1" applyAlignment="1">
      <alignment horizontal="center" vertical="center"/>
    </xf>
    <xf numFmtId="0" fontId="23" fillId="0" borderId="0" xfId="0" applyFont="1" applyAlignment="1">
      <alignment horizontal="center" vertical="center"/>
    </xf>
    <xf numFmtId="167" fontId="0" fillId="2" borderId="0" xfId="0" applyNumberFormat="1" applyFill="1" applyAlignment="1">
      <alignment horizontal="center" vertical="center"/>
    </xf>
    <xf numFmtId="0" fontId="0" fillId="0" borderId="0" xfId="0" applyFill="1" applyAlignment="1">
      <alignment horizontal="center" vertical="center"/>
    </xf>
    <xf numFmtId="167" fontId="0" fillId="2" borderId="0" xfId="0" applyNumberFormat="1" applyFill="1" applyAlignment="1">
      <alignment horizontal="center"/>
    </xf>
    <xf numFmtId="0" fontId="0" fillId="2" borderId="0" xfId="0" applyFill="1" applyAlignment="1">
      <alignment horizontal="center"/>
    </xf>
    <xf numFmtId="164" fontId="5" fillId="2" borderId="0" xfId="0" applyNumberFormat="1" applyFont="1" applyFill="1" applyAlignment="1">
      <alignment horizontal="center" vertical="center"/>
    </xf>
    <xf numFmtId="9" fontId="18" fillId="2" borderId="0" xfId="0" applyNumberFormat="1" applyFont="1" applyFill="1" applyAlignment="1">
      <alignment horizontal="center" vertical="center"/>
    </xf>
    <xf numFmtId="164" fontId="18" fillId="2" borderId="0" xfId="0" applyNumberFormat="1" applyFont="1" applyFill="1" applyAlignment="1">
      <alignment horizontal="center" vertical="center"/>
    </xf>
    <xf numFmtId="0" fontId="12" fillId="2" borderId="0" xfId="0" applyFont="1" applyFill="1" applyAlignment="1">
      <alignment horizontal="center" vertical="center"/>
    </xf>
    <xf numFmtId="2" fontId="9" fillId="2" borderId="0" xfId="0" applyNumberFormat="1" applyFont="1" applyFill="1" applyAlignment="1">
      <alignment horizontal="center" vertical="center"/>
    </xf>
    <xf numFmtId="164" fontId="0" fillId="2" borderId="0" xfId="0" applyNumberFormat="1" applyFont="1" applyFill="1" applyAlignment="1">
      <alignment horizontal="center" vertical="center" wrapText="1"/>
    </xf>
    <xf numFmtId="10" fontId="0" fillId="2" borderId="0" xfId="0" applyNumberFormat="1" applyFont="1" applyFill="1" applyAlignment="1">
      <alignment horizontal="center" vertical="center" wrapText="1"/>
    </xf>
    <xf numFmtId="168" fontId="10" fillId="2" borderId="0" xfId="3" applyNumberFormat="1" applyFont="1" applyFill="1" applyAlignment="1">
      <alignment horizontal="center" vertical="center"/>
    </xf>
    <xf numFmtId="164" fontId="10" fillId="0" borderId="0" xfId="3" applyNumberFormat="1" applyFont="1" applyFill="1" applyBorder="1" applyAlignment="1">
      <alignment horizontal="center" vertical="center" wrapText="1"/>
    </xf>
    <xf numFmtId="168" fontId="10" fillId="0" borderId="0" xfId="3" applyNumberFormat="1" applyFont="1" applyFill="1" applyBorder="1" applyAlignment="1">
      <alignment horizontal="center" vertical="center"/>
    </xf>
    <xf numFmtId="0" fontId="12" fillId="0" borderId="0" xfId="3" applyFont="1" applyFill="1" applyBorder="1" applyAlignment="1">
      <alignment horizontal="center" vertical="center" wrapText="1"/>
    </xf>
    <xf numFmtId="10" fontId="10" fillId="0" borderId="0" xfId="3" applyNumberFormat="1" applyFont="1" applyFill="1" applyBorder="1" applyAlignment="1">
      <alignment horizontal="center" vertical="center"/>
    </xf>
    <xf numFmtId="2" fontId="16" fillId="2" borderId="0" xfId="0" applyNumberFormat="1" applyFont="1" applyFill="1" applyAlignment="1">
      <alignment horizontal="center" vertical="center"/>
    </xf>
    <xf numFmtId="169" fontId="10" fillId="2" borderId="0" xfId="0" applyNumberFormat="1" applyFont="1" applyFill="1" applyBorder="1" applyAlignment="1">
      <alignment horizontal="center" vertical="center" wrapText="1"/>
    </xf>
    <xf numFmtId="0" fontId="0" fillId="0" borderId="0" xfId="0" applyBorder="1" applyAlignment="1">
      <alignment horizontal="left" vertical="center" wrapText="1"/>
    </xf>
    <xf numFmtId="0" fontId="9" fillId="0" borderId="0" xfId="0" applyFont="1"/>
    <xf numFmtId="0" fontId="10" fillId="0" borderId="0" xfId="3" applyFont="1" applyAlignment="1">
      <alignment horizontal="left" vertical="center" wrapText="1"/>
    </xf>
    <xf numFmtId="14" fontId="1" fillId="0" borderId="0" xfId="0" applyNumberFormat="1" applyFont="1" applyBorder="1" applyAlignment="1">
      <alignment horizontal="center" vertical="center" wrapText="1"/>
    </xf>
    <xf numFmtId="164" fontId="1" fillId="2" borderId="0" xfId="0" applyNumberFormat="1" applyFont="1" applyFill="1" applyAlignment="1">
      <alignment horizontal="center" vertical="center"/>
    </xf>
    <xf numFmtId="9"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horizontal="center" vertical="center" wrapText="1"/>
    </xf>
    <xf numFmtId="165" fontId="1" fillId="0" borderId="0" xfId="0" applyNumberFormat="1" applyFont="1" applyAlignment="1">
      <alignment horizontal="center" vertical="center"/>
    </xf>
    <xf numFmtId="0" fontId="1" fillId="0" borderId="0" xfId="0" applyFont="1" applyAlignment="1">
      <alignment horizontal="center" vertical="center"/>
    </xf>
    <xf numFmtId="165" fontId="1" fillId="2" borderId="0" xfId="0" applyNumberFormat="1" applyFont="1" applyFill="1" applyAlignment="1">
      <alignment horizontal="center" vertical="center"/>
    </xf>
    <xf numFmtId="14" fontId="1" fillId="0" borderId="0" xfId="0" applyNumberFormat="1" applyFont="1" applyAlignment="1">
      <alignment horizontal="center" vertical="center"/>
    </xf>
    <xf numFmtId="0" fontId="1" fillId="2" borderId="0" xfId="0" applyFont="1" applyFill="1" applyAlignment="1">
      <alignment horizontal="center" vertical="center"/>
    </xf>
    <xf numFmtId="0" fontId="12" fillId="3" borderId="0" xfId="3" applyFont="1" applyFill="1" applyBorder="1" applyAlignment="1">
      <alignment horizontal="center" vertical="center" wrapText="1"/>
    </xf>
    <xf numFmtId="0" fontId="12" fillId="3" borderId="0" xfId="3" applyFont="1" applyFill="1" applyAlignment="1">
      <alignment horizontal="center" vertical="center" wrapText="1"/>
    </xf>
    <xf numFmtId="1" fontId="10" fillId="2" borderId="0" xfId="3" applyNumberFormat="1" applyFont="1" applyFill="1" applyBorder="1" applyAlignment="1">
      <alignment horizontal="center" vertical="center" wrapText="1"/>
    </xf>
    <xf numFmtId="2" fontId="12" fillId="2" borderId="0" xfId="0" applyNumberFormat="1" applyFont="1" applyFill="1" applyAlignment="1">
      <alignment horizontal="center" vertical="center"/>
    </xf>
    <xf numFmtId="0" fontId="1" fillId="0" borderId="0" xfId="0" applyFont="1" applyBorder="1" applyAlignment="1">
      <alignment horizontal="center" vertical="center"/>
    </xf>
    <xf numFmtId="0" fontId="10" fillId="0" borderId="0" xfId="3" applyFont="1" applyFill="1" applyBorder="1" applyAlignment="1">
      <alignment horizontal="center" vertical="center"/>
    </xf>
    <xf numFmtId="9" fontId="1" fillId="2" borderId="0" xfId="0" applyNumberFormat="1" applyFont="1" applyFill="1" applyAlignment="1">
      <alignment horizontal="center" vertical="center"/>
    </xf>
    <xf numFmtId="164" fontId="1" fillId="0" borderId="0" xfId="0" applyNumberFormat="1" applyFont="1" applyFill="1" applyAlignment="1">
      <alignment horizontal="center" vertical="center"/>
    </xf>
    <xf numFmtId="0" fontId="1" fillId="0" borderId="0" xfId="0" applyFont="1"/>
    <xf numFmtId="0" fontId="1" fillId="0" borderId="0" xfId="0" applyFont="1" applyAlignment="1">
      <alignment horizontal="left" vertical="center"/>
    </xf>
    <xf numFmtId="164" fontId="1" fillId="0" borderId="0" xfId="0" applyNumberFormat="1" applyFont="1" applyAlignment="1">
      <alignment horizontal="center" vertical="center" wrapText="1"/>
    </xf>
    <xf numFmtId="10" fontId="1" fillId="0" borderId="0" xfId="0" applyNumberFormat="1" applyFont="1" applyAlignment="1">
      <alignment horizontal="center" vertical="center" wrapText="1"/>
    </xf>
    <xf numFmtId="10" fontId="1" fillId="0" borderId="0" xfId="0" applyNumberFormat="1" applyFont="1" applyAlignment="1">
      <alignment horizontal="center" vertical="center"/>
    </xf>
    <xf numFmtId="10"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171" fontId="1" fillId="2" borderId="0" xfId="0" applyNumberFormat="1" applyFont="1" applyFill="1" applyAlignment="1">
      <alignment horizontal="center" vertical="center"/>
    </xf>
    <xf numFmtId="0" fontId="12" fillId="3" borderId="0" xfId="3" applyFont="1" applyFill="1" applyBorder="1" applyAlignment="1">
      <alignment horizontal="center" vertical="center"/>
    </xf>
    <xf numFmtId="0" fontId="12" fillId="2" borderId="0" xfId="3" applyFont="1" applyFill="1" applyBorder="1" applyAlignment="1">
      <alignment horizontal="center" vertical="center" wrapText="1"/>
    </xf>
    <xf numFmtId="0" fontId="12" fillId="2" borderId="0" xfId="3" applyFont="1" applyFill="1" applyBorder="1" applyAlignment="1">
      <alignment horizontal="center" vertical="center"/>
    </xf>
    <xf numFmtId="0" fontId="10" fillId="0" borderId="0" xfId="3" applyFont="1" applyAlignment="1">
      <alignment vertical="center"/>
    </xf>
    <xf numFmtId="0" fontId="10" fillId="0" borderId="0" xfId="0" applyFont="1" applyBorder="1" applyAlignment="1">
      <alignment wrapText="1"/>
    </xf>
    <xf numFmtId="0" fontId="10" fillId="0" borderId="0" xfId="3" applyFont="1" applyFill="1" applyBorder="1" applyAlignment="1">
      <alignment horizontal="left" vertical="center"/>
    </xf>
    <xf numFmtId="165" fontId="10" fillId="2" borderId="0" xfId="3" applyNumberFormat="1" applyFont="1" applyFill="1" applyAlignment="1">
      <alignment horizontal="center"/>
    </xf>
    <xf numFmtId="0" fontId="1" fillId="0" borderId="0" xfId="0" applyFont="1" applyBorder="1" applyAlignment="1">
      <alignment horizontal="left" vertical="center"/>
    </xf>
    <xf numFmtId="164" fontId="1" fillId="0" borderId="0" xfId="0" applyNumberFormat="1" applyFont="1" applyBorder="1" applyAlignment="1">
      <alignment horizontal="center" vertical="center" wrapText="1"/>
    </xf>
    <xf numFmtId="165" fontId="1" fillId="0" borderId="0" xfId="0" applyNumberFormat="1" applyFont="1" applyBorder="1" applyAlignment="1">
      <alignment horizontal="center" vertical="center" wrapText="1"/>
    </xf>
    <xf numFmtId="165" fontId="1" fillId="0" borderId="0" xfId="0" applyNumberFormat="1" applyFont="1" applyAlignment="1">
      <alignment horizontal="center" vertical="center" wrapText="1"/>
    </xf>
    <xf numFmtId="2" fontId="12" fillId="3" borderId="10" xfId="0" applyNumberFormat="1" applyFont="1" applyFill="1" applyBorder="1" applyAlignment="1">
      <alignment horizontal="center" vertical="center" wrapText="1"/>
    </xf>
    <xf numFmtId="2" fontId="9" fillId="3" borderId="10" xfId="0" applyNumberFormat="1" applyFont="1" applyFill="1" applyBorder="1" applyAlignment="1">
      <alignment horizontal="center" vertical="center" wrapText="1"/>
    </xf>
    <xf numFmtId="0" fontId="0" fillId="3" borderId="0" xfId="0" applyFill="1" applyAlignment="1">
      <alignment horizontal="center" vertical="center"/>
    </xf>
    <xf numFmtId="2" fontId="12" fillId="3" borderId="11" xfId="0" applyNumberFormat="1" applyFont="1" applyFill="1" applyBorder="1" applyAlignment="1">
      <alignment horizontal="center" vertical="center" wrapText="1"/>
    </xf>
    <xf numFmtId="2" fontId="9" fillId="3" borderId="11" xfId="0" applyNumberFormat="1" applyFont="1" applyFill="1" applyBorder="1" applyAlignment="1">
      <alignment horizontal="center" vertical="center" wrapText="1"/>
    </xf>
    <xf numFmtId="0" fontId="12" fillId="3" borderId="14" xfId="3" applyFont="1" applyFill="1" applyBorder="1" applyAlignment="1">
      <alignment horizontal="center" vertical="center" wrapText="1"/>
    </xf>
    <xf numFmtId="165" fontId="0" fillId="0" borderId="0" xfId="0" applyNumberFormat="1" applyFont="1" applyAlignment="1">
      <alignment horizontal="left" vertical="center"/>
    </xf>
    <xf numFmtId="0" fontId="10" fillId="0" borderId="0" xfId="0" applyFont="1" applyAlignment="1">
      <alignment horizontal="center" vertical="center"/>
    </xf>
    <xf numFmtId="0" fontId="12" fillId="3" borderId="10" xfId="3" applyFont="1" applyFill="1" applyBorder="1" applyAlignment="1">
      <alignment horizontal="center" vertical="center" wrapText="1"/>
    </xf>
    <xf numFmtId="0" fontId="0" fillId="0" borderId="0" xfId="0" applyFont="1" applyAlignment="1">
      <alignment horizontal="left" vertical="center"/>
    </xf>
    <xf numFmtId="0" fontId="13" fillId="0" borderId="0" xfId="2" applyFont="1" applyAlignment="1" applyProtection="1">
      <alignment horizontal="left"/>
    </xf>
    <xf numFmtId="165" fontId="25" fillId="2" borderId="0" xfId="0" applyNumberFormat="1" applyFont="1" applyFill="1" applyAlignment="1">
      <alignment horizontal="center" vertical="center"/>
    </xf>
    <xf numFmtId="9" fontId="25" fillId="2" borderId="0" xfId="0" applyNumberFormat="1" applyFont="1" applyFill="1" applyAlignment="1">
      <alignment horizontal="center" vertical="center"/>
    </xf>
    <xf numFmtId="0" fontId="25" fillId="2" borderId="0" xfId="0" applyFont="1" applyFill="1" applyAlignment="1">
      <alignment vertical="center"/>
    </xf>
    <xf numFmtId="0" fontId="25" fillId="2" borderId="0" xfId="0" applyFont="1" applyFill="1" applyAlignment="1">
      <alignment horizontal="center" vertical="center"/>
    </xf>
    <xf numFmtId="10" fontId="0" fillId="0" borderId="0" xfId="0" applyNumberFormat="1" applyFont="1" applyAlignment="1">
      <alignment horizontal="center" vertical="center"/>
    </xf>
    <xf numFmtId="3" fontId="0" fillId="0" borderId="0" xfId="0" applyNumberFormat="1" applyFont="1" applyAlignment="1">
      <alignment horizontal="center" vertical="center"/>
    </xf>
    <xf numFmtId="0" fontId="0" fillId="2" borderId="0" xfId="0" applyFill="1"/>
    <xf numFmtId="9" fontId="0" fillId="0" borderId="0" xfId="0" applyNumberFormat="1" applyAlignment="1">
      <alignment horizontal="center"/>
    </xf>
    <xf numFmtId="0" fontId="0" fillId="2" borderId="0" xfId="0" applyFont="1" applyFill="1" applyAlignment="1">
      <alignment horizontal="center" vertical="center"/>
    </xf>
    <xf numFmtId="0" fontId="0" fillId="0" borderId="0" xfId="0" applyAlignment="1">
      <alignment horizontal="center"/>
    </xf>
    <xf numFmtId="169" fontId="0" fillId="0" borderId="0" xfId="0" applyNumberFormat="1" applyAlignment="1">
      <alignment horizontal="center" vertical="center"/>
    </xf>
    <xf numFmtId="165" fontId="0" fillId="2" borderId="0" xfId="0" applyNumberFormat="1" applyFont="1" applyFill="1" applyAlignment="1">
      <alignment horizontal="center"/>
    </xf>
    <xf numFmtId="9" fontId="1" fillId="0" borderId="0" xfId="0" applyNumberFormat="1" applyFont="1" applyFill="1" applyAlignment="1">
      <alignment horizontal="center" vertical="center"/>
    </xf>
    <xf numFmtId="1" fontId="10" fillId="0" borderId="0" xfId="3" applyNumberFormat="1" applyFont="1" applyFill="1" applyBorder="1" applyAlignment="1">
      <alignment horizontal="center" vertical="center" wrapText="1"/>
    </xf>
    <xf numFmtId="0" fontId="14" fillId="2" borderId="0" xfId="0" applyFont="1" applyFill="1" applyAlignment="1">
      <alignment horizontal="center" vertical="center"/>
    </xf>
    <xf numFmtId="0" fontId="26" fillId="2" borderId="0" xfId="0" applyFont="1" applyFill="1" applyAlignment="1">
      <alignment horizontal="center" vertical="center"/>
    </xf>
    <xf numFmtId="168" fontId="1" fillId="0" borderId="0" xfId="0" applyNumberFormat="1" applyFont="1" applyAlignment="1">
      <alignment horizontal="center" vertical="center"/>
    </xf>
    <xf numFmtId="9" fontId="1" fillId="0" borderId="0" xfId="0" applyNumberFormat="1" applyFont="1" applyAlignment="1">
      <alignment horizontal="center"/>
    </xf>
    <xf numFmtId="167" fontId="1" fillId="0" borderId="0" xfId="0" applyNumberFormat="1" applyFont="1" applyAlignment="1">
      <alignment horizontal="center" vertical="center"/>
    </xf>
    <xf numFmtId="10" fontId="1" fillId="0" borderId="0" xfId="0" applyNumberFormat="1" applyFont="1" applyAlignment="1">
      <alignment horizontal="center"/>
    </xf>
    <xf numFmtId="0" fontId="1" fillId="2" borderId="0" xfId="0" applyFont="1" applyFill="1"/>
    <xf numFmtId="0" fontId="1" fillId="0" borderId="0" xfId="0" applyFont="1" applyAlignment="1">
      <alignment horizontal="center"/>
    </xf>
    <xf numFmtId="3" fontId="1" fillId="0" borderId="0" xfId="0" applyNumberFormat="1" applyFont="1" applyAlignment="1">
      <alignment horizontal="center"/>
    </xf>
    <xf numFmtId="0" fontId="10" fillId="2" borderId="0" xfId="3" applyFont="1" applyFill="1" applyBorder="1" applyAlignment="1">
      <alignment horizontal="center" vertical="center" wrapText="1"/>
    </xf>
    <xf numFmtId="1" fontId="7" fillId="0" borderId="0" xfId="3" applyNumberFormat="1" applyFont="1" applyFill="1" applyBorder="1" applyAlignment="1">
      <alignment horizontal="center" vertical="center" wrapText="1"/>
    </xf>
    <xf numFmtId="9" fontId="10" fillId="0" borderId="0" xfId="0" applyNumberFormat="1" applyFont="1" applyFill="1" applyAlignment="1">
      <alignment horizontal="center" vertical="center" wrapText="1"/>
    </xf>
    <xf numFmtId="0" fontId="0" fillId="0" borderId="0" xfId="0" applyFont="1" applyBorder="1" applyAlignment="1">
      <alignment horizontal="center" vertical="center"/>
    </xf>
    <xf numFmtId="0" fontId="1" fillId="0" borderId="0" xfId="0" applyFont="1" applyAlignment="1"/>
    <xf numFmtId="0" fontId="10" fillId="0" borderId="0" xfId="0" applyFont="1" applyBorder="1" applyAlignment="1">
      <alignment horizontal="center" vertical="center"/>
    </xf>
    <xf numFmtId="2" fontId="9" fillId="3" borderId="10" xfId="0" applyNumberFormat="1" applyFont="1" applyFill="1" applyBorder="1" applyAlignment="1">
      <alignment horizontal="center" vertical="center"/>
    </xf>
    <xf numFmtId="0" fontId="12" fillId="0" borderId="0" xfId="3" applyFont="1" applyFill="1" applyBorder="1" applyAlignment="1">
      <alignment horizontal="center" vertical="center"/>
    </xf>
    <xf numFmtId="14" fontId="10" fillId="0" borderId="0" xfId="3" applyNumberFormat="1" applyFont="1" applyFill="1" applyBorder="1" applyAlignment="1">
      <alignment horizontal="center" vertical="center"/>
    </xf>
    <xf numFmtId="0" fontId="10" fillId="0" borderId="0" xfId="3" applyFont="1" applyFill="1" applyBorder="1" applyAlignment="1">
      <alignment horizontal="left"/>
    </xf>
    <xf numFmtId="0" fontId="10" fillId="0" borderId="0" xfId="0" applyFont="1" applyBorder="1" applyAlignment="1"/>
    <xf numFmtId="0" fontId="0" fillId="0" borderId="0" xfId="0" applyFont="1" applyBorder="1" applyAlignment="1">
      <alignment horizontal="left" vertical="center"/>
    </xf>
    <xf numFmtId="0" fontId="9" fillId="3" borderId="10" xfId="0" applyFont="1" applyFill="1" applyBorder="1" applyAlignment="1">
      <alignment horizontal="center" vertical="center" wrapText="1"/>
    </xf>
    <xf numFmtId="0" fontId="0" fillId="0" borderId="0" xfId="0" applyFont="1" applyAlignment="1"/>
    <xf numFmtId="0" fontId="12" fillId="3" borderId="10" xfId="0" applyFont="1" applyFill="1" applyBorder="1" applyAlignment="1">
      <alignment horizontal="center" vertical="center" wrapText="1"/>
    </xf>
    <xf numFmtId="0" fontId="12" fillId="3" borderId="10" xfId="0" applyFont="1" applyFill="1" applyBorder="1" applyAlignment="1">
      <alignment horizontal="center" vertical="center"/>
    </xf>
    <xf numFmtId="0" fontId="1" fillId="0" borderId="0" xfId="0" applyFont="1" applyAlignment="1">
      <alignment vertical="center"/>
    </xf>
    <xf numFmtId="14" fontId="0" fillId="0" borderId="0" xfId="0" applyNumberFormat="1" applyFont="1" applyBorder="1" applyAlignment="1">
      <alignment horizontal="center" vertical="center"/>
    </xf>
    <xf numFmtId="0" fontId="13" fillId="0" borderId="0" xfId="2" applyFont="1" applyAlignment="1" applyProtection="1">
      <alignment horizontal="center"/>
    </xf>
    <xf numFmtId="0" fontId="13" fillId="0" borderId="0" xfId="2" applyFont="1" applyAlignment="1" applyProtection="1">
      <alignment horizontal="center" vertical="center"/>
    </xf>
    <xf numFmtId="0" fontId="0" fillId="0" borderId="0" xfId="0" applyBorder="1" applyAlignment="1">
      <alignment horizontal="center" vertical="center"/>
    </xf>
    <xf numFmtId="0" fontId="6" fillId="0" borderId="0" xfId="3" applyFont="1" applyFill="1" applyBorder="1" applyAlignment="1">
      <alignment horizontal="center" vertical="center"/>
    </xf>
    <xf numFmtId="0" fontId="6" fillId="3" borderId="0" xfId="3" applyFont="1" applyFill="1" applyBorder="1" applyAlignment="1">
      <alignment horizontal="center" vertical="center"/>
    </xf>
    <xf numFmtId="0" fontId="6" fillId="3" borderId="0" xfId="3" applyFont="1" applyFill="1" applyAlignment="1">
      <alignment horizontal="center" vertical="center"/>
    </xf>
    <xf numFmtId="0" fontId="11" fillId="3" borderId="10" xfId="0" applyFont="1" applyFill="1" applyBorder="1" applyAlignment="1">
      <alignment horizontal="center" vertical="center"/>
    </xf>
    <xf numFmtId="1" fontId="10" fillId="2" borderId="0" xfId="3" applyNumberFormat="1" applyFont="1" applyFill="1" applyBorder="1" applyAlignment="1">
      <alignment horizontal="center" vertical="center"/>
    </xf>
    <xf numFmtId="0" fontId="0" fillId="2" borderId="0" xfId="0" applyFill="1" applyAlignment="1"/>
    <xf numFmtId="0" fontId="0" fillId="0" borderId="0" xfId="0" applyFont="1" applyAlignment="1">
      <alignment vertical="center"/>
    </xf>
    <xf numFmtId="9" fontId="1" fillId="0" borderId="0" xfId="4" applyFont="1" applyFill="1" applyAlignment="1">
      <alignment horizontal="center" vertical="center"/>
    </xf>
    <xf numFmtId="164" fontId="0" fillId="0" borderId="0" xfId="0" applyNumberFormat="1" applyAlignment="1">
      <alignment horizontal="center" vertical="center" wrapText="1"/>
    </xf>
    <xf numFmtId="0" fontId="0" fillId="0" borderId="0" xfId="0" applyAlignment="1">
      <alignment vertical="center" wrapText="1"/>
    </xf>
    <xf numFmtId="165" fontId="0" fillId="0" borderId="0" xfId="0" applyNumberFormat="1" applyAlignment="1">
      <alignment horizontal="center" vertical="center" wrapText="1"/>
    </xf>
    <xf numFmtId="167" fontId="0" fillId="2" borderId="0" xfId="0" applyNumberFormat="1" applyFill="1" applyAlignment="1">
      <alignment horizontal="center" vertical="center" wrapText="1"/>
    </xf>
    <xf numFmtId="0" fontId="8" fillId="0" borderId="0" xfId="0" applyFont="1" applyAlignment="1">
      <alignment horizontal="center" vertical="center" wrapText="1"/>
    </xf>
    <xf numFmtId="0" fontId="8" fillId="0" borderId="0" xfId="0" quotePrefix="1" applyFont="1" applyAlignment="1">
      <alignment horizontal="center" vertical="center" wrapText="1"/>
    </xf>
    <xf numFmtId="0" fontId="0" fillId="0" borderId="0" xfId="0" applyFont="1" applyAlignment="1">
      <alignment horizontal="left"/>
    </xf>
    <xf numFmtId="0" fontId="10" fillId="0" borderId="0" xfId="3" applyFont="1" applyFill="1" applyAlignment="1">
      <alignment vertical="top" wrapText="1"/>
    </xf>
    <xf numFmtId="2" fontId="12" fillId="3" borderId="10" xfId="0" applyNumberFormat="1" applyFont="1" applyFill="1" applyBorder="1" applyAlignment="1">
      <alignment vertical="center"/>
    </xf>
    <xf numFmtId="2" fontId="6" fillId="3" borderId="10" xfId="0" applyNumberFormat="1" applyFont="1" applyFill="1" applyBorder="1" applyAlignment="1">
      <alignment horizontal="center" vertical="center" wrapText="1"/>
    </xf>
    <xf numFmtId="0" fontId="6" fillId="3" borderId="10" xfId="3" applyFont="1" applyFill="1" applyBorder="1" applyAlignment="1">
      <alignment horizontal="center" vertical="center" wrapText="1"/>
    </xf>
    <xf numFmtId="0" fontId="12" fillId="0" borderId="0" xfId="3" applyFont="1" applyFill="1" applyAlignment="1">
      <alignment horizontal="center" vertical="center" wrapText="1"/>
    </xf>
    <xf numFmtId="1" fontId="10" fillId="0" borderId="0" xfId="3" applyNumberFormat="1" applyFont="1" applyFill="1" applyBorder="1" applyAlignment="1">
      <alignment horizontal="center" vertical="center"/>
    </xf>
    <xf numFmtId="1" fontId="10" fillId="0" borderId="0" xfId="0" applyNumberFormat="1" applyFont="1" applyFill="1" applyBorder="1" applyAlignment="1">
      <alignment horizontal="center" vertical="center" wrapText="1"/>
    </xf>
    <xf numFmtId="1" fontId="1" fillId="0" borderId="0" xfId="0" applyNumberFormat="1" applyFont="1" applyFill="1" applyAlignment="1">
      <alignment horizontal="center" vertical="center"/>
    </xf>
    <xf numFmtId="1" fontId="10" fillId="0" borderId="0" xfId="3" applyNumberFormat="1" applyFont="1" applyFill="1" applyAlignment="1">
      <alignment horizontal="center" vertical="center"/>
    </xf>
    <xf numFmtId="1" fontId="10" fillId="0" borderId="0" xfId="4" applyNumberFormat="1" applyFont="1" applyFill="1" applyAlignment="1">
      <alignment horizontal="center" vertical="center"/>
    </xf>
    <xf numFmtId="1" fontId="10" fillId="0" borderId="0" xfId="3" applyNumberFormat="1" applyFont="1" applyFill="1" applyAlignment="1">
      <alignment horizontal="center"/>
    </xf>
    <xf numFmtId="0" fontId="10" fillId="0" borderId="0" xfId="3" applyFont="1" applyAlignment="1">
      <alignment horizontal="left" vertical="center"/>
    </xf>
    <xf numFmtId="0" fontId="3" fillId="2" borderId="18" xfId="0" applyFont="1" applyFill="1" applyBorder="1"/>
    <xf numFmtId="0" fontId="0" fillId="2" borderId="19" xfId="0" applyFill="1" applyBorder="1"/>
    <xf numFmtId="0" fontId="0" fillId="2" borderId="20" xfId="0" applyFill="1" applyBorder="1"/>
    <xf numFmtId="0" fontId="0" fillId="2" borderId="21" xfId="0" applyFill="1" applyBorder="1"/>
    <xf numFmtId="0" fontId="0" fillId="2" borderId="0" xfId="0" applyFill="1" applyBorder="1"/>
    <xf numFmtId="0" fontId="0" fillId="2" borderId="22" xfId="0" applyFill="1" applyBorder="1"/>
    <xf numFmtId="0" fontId="3" fillId="2" borderId="21" xfId="0" applyFont="1" applyFill="1" applyBorder="1"/>
    <xf numFmtId="0" fontId="0" fillId="2" borderId="23" xfId="0" applyFill="1" applyBorder="1"/>
    <xf numFmtId="0" fontId="0" fillId="2" borderId="24" xfId="0" applyFill="1" applyBorder="1"/>
    <xf numFmtId="0" fontId="0" fillId="2" borderId="25" xfId="0" applyFill="1" applyBorder="1"/>
    <xf numFmtId="0" fontId="0" fillId="2" borderId="5" xfId="0" applyFill="1" applyBorder="1"/>
    <xf numFmtId="168" fontId="1" fillId="0" borderId="0" xfId="0" applyNumberFormat="1" applyFont="1" applyFill="1" applyAlignment="1">
      <alignment horizontal="center" vertical="center"/>
    </xf>
    <xf numFmtId="0" fontId="2" fillId="0" borderId="0" xfId="2" applyFill="1" applyAlignment="1" applyProtection="1"/>
    <xf numFmtId="2" fontId="12" fillId="4" borderId="0" xfId="0" applyNumberFormat="1" applyFont="1" applyFill="1" applyAlignment="1">
      <alignment horizontal="center" vertical="center"/>
    </xf>
    <xf numFmtId="2" fontId="9" fillId="4" borderId="0" xfId="0" applyNumberFormat="1" applyFont="1" applyFill="1" applyAlignment="1">
      <alignment horizontal="center" vertical="center"/>
    </xf>
    <xf numFmtId="0" fontId="12" fillId="4" borderId="0" xfId="0" applyFont="1" applyFill="1" applyAlignment="1">
      <alignment horizontal="center" vertical="center"/>
    </xf>
    <xf numFmtId="0" fontId="9" fillId="4" borderId="0" xfId="0" applyFont="1" applyFill="1" applyAlignment="1">
      <alignment horizontal="center" vertical="center"/>
    </xf>
    <xf numFmtId="2" fontId="12" fillId="4" borderId="12" xfId="0" applyNumberFormat="1" applyFont="1" applyFill="1" applyBorder="1" applyAlignment="1">
      <alignment horizontal="center" vertical="center"/>
    </xf>
    <xf numFmtId="2" fontId="9" fillId="4" borderId="13" xfId="0" applyNumberFormat="1" applyFont="1" applyFill="1" applyBorder="1" applyAlignment="1">
      <alignment horizontal="center" vertical="center"/>
    </xf>
    <xf numFmtId="2" fontId="12" fillId="4" borderId="13" xfId="0" applyNumberFormat="1" applyFont="1" applyFill="1" applyBorder="1" applyAlignment="1">
      <alignment horizontal="center" vertical="center"/>
    </xf>
    <xf numFmtId="0" fontId="12" fillId="4" borderId="0" xfId="3" applyFont="1" applyFill="1" applyBorder="1" applyAlignment="1">
      <alignment horizontal="center" vertical="center" wrapText="1"/>
    </xf>
    <xf numFmtId="0" fontId="12" fillId="4" borderId="0" xfId="3" applyFont="1" applyFill="1" applyAlignment="1">
      <alignment horizontal="center" vertical="center" wrapText="1"/>
    </xf>
    <xf numFmtId="0" fontId="10" fillId="0" borderId="0" xfId="3" applyFont="1" applyFill="1" applyAlignment="1">
      <alignment horizontal="left" vertical="center" wrapText="1"/>
    </xf>
    <xf numFmtId="164" fontId="10" fillId="0" borderId="0" xfId="3" applyNumberFormat="1" applyFont="1" applyFill="1" applyAlignment="1">
      <alignment horizontal="center" vertical="center" wrapText="1"/>
    </xf>
    <xf numFmtId="0" fontId="10" fillId="0" borderId="0" xfId="3" applyFont="1" applyFill="1" applyAlignment="1">
      <alignment horizontal="left" vertical="center" wrapText="1"/>
    </xf>
    <xf numFmtId="0" fontId="12" fillId="3" borderId="10" xfId="0" applyFont="1" applyFill="1" applyBorder="1" applyAlignment="1">
      <alignment horizontal="center" vertical="center" wrapText="1"/>
    </xf>
    <xf numFmtId="0" fontId="10" fillId="0" borderId="0" xfId="3" applyFont="1" applyAlignment="1">
      <alignment horizontal="left" vertical="center" wrapText="1"/>
    </xf>
    <xf numFmtId="0" fontId="10" fillId="0" borderId="0" xfId="3" applyFont="1" applyAlignment="1">
      <alignment horizontal="left" vertical="top" wrapText="1"/>
    </xf>
    <xf numFmtId="0" fontId="0" fillId="0" borderId="0" xfId="0" applyAlignment="1">
      <alignment vertical="top" wrapText="1"/>
    </xf>
    <xf numFmtId="0" fontId="10" fillId="0" borderId="0" xfId="3" applyFont="1" applyAlignment="1">
      <alignment horizontal="left" vertical="center"/>
    </xf>
    <xf numFmtId="0" fontId="0" fillId="0" borderId="0" xfId="0" applyAlignment="1">
      <alignment horizontal="left" vertical="center"/>
    </xf>
    <xf numFmtId="0" fontId="10" fillId="0" borderId="0" xfId="3" applyFont="1" applyAlignment="1">
      <alignment horizontal="left" vertical="top"/>
    </xf>
    <xf numFmtId="2" fontId="9" fillId="3" borderId="10" xfId="0" applyNumberFormat="1" applyFont="1" applyFill="1" applyBorder="1" applyAlignment="1">
      <alignment horizontal="center" vertical="center"/>
    </xf>
    <xf numFmtId="0" fontId="0" fillId="0" borderId="0" xfId="0" applyFont="1" applyAlignment="1">
      <alignment horizontal="left" vertical="center"/>
    </xf>
    <xf numFmtId="0" fontId="0" fillId="0" borderId="0" xfId="0" applyAlignment="1">
      <alignment horizontal="left"/>
    </xf>
    <xf numFmtId="0" fontId="10" fillId="0" borderId="0" xfId="3"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17" fillId="0" borderId="0" xfId="0" applyFont="1" applyAlignment="1">
      <alignment horizontal="center" vertical="center"/>
    </xf>
    <xf numFmtId="0" fontId="17" fillId="0" borderId="0" xfId="0" applyFont="1" applyAlignment="1">
      <alignment horizontal="left" vertical="center"/>
    </xf>
    <xf numFmtId="0" fontId="0" fillId="0" borderId="0" xfId="0" applyAlignment="1">
      <alignment horizontal="left" vertical="top"/>
    </xf>
    <xf numFmtId="0" fontId="0" fillId="0" borderId="0" xfId="0" applyFont="1" applyAlignment="1">
      <alignment vertical="top" wrapText="1"/>
    </xf>
    <xf numFmtId="0" fontId="1" fillId="0" borderId="0" xfId="0" applyFont="1" applyAlignment="1">
      <alignment vertical="top"/>
    </xf>
    <xf numFmtId="0" fontId="10" fillId="0" borderId="0" xfId="0" applyFont="1" applyAlignment="1"/>
    <xf numFmtId="0" fontId="0" fillId="0" borderId="0" xfId="0" applyBorder="1" applyAlignment="1">
      <alignment horizontal="left" vertical="center"/>
    </xf>
    <xf numFmtId="2" fontId="11" fillId="3" borderId="10" xfId="0" applyNumberFormat="1" applyFont="1" applyFill="1" applyBorder="1" applyAlignment="1">
      <alignment horizontal="center" vertical="center" wrapText="1"/>
    </xf>
    <xf numFmtId="0" fontId="11" fillId="3" borderId="10" xfId="0" applyFont="1" applyFill="1" applyBorder="1" applyAlignment="1">
      <alignment horizontal="center" vertical="center" wrapText="1"/>
    </xf>
    <xf numFmtId="0" fontId="0" fillId="0" borderId="0" xfId="0" applyAlignment="1">
      <alignment horizontal="left" vertical="center" indent="6"/>
    </xf>
    <xf numFmtId="0" fontId="17" fillId="0" borderId="0" xfId="0" applyFont="1" applyAlignment="1"/>
    <xf numFmtId="0" fontId="24" fillId="0" borderId="0" xfId="3" applyFont="1" applyAlignment="1">
      <alignment horizontal="left" vertical="center"/>
    </xf>
    <xf numFmtId="0" fontId="9" fillId="3" borderId="0" xfId="0" applyFont="1" applyFill="1" applyAlignment="1">
      <alignment horizontal="center" vertical="center"/>
    </xf>
    <xf numFmtId="0" fontId="27" fillId="0" borderId="0" xfId="0" applyFont="1"/>
    <xf numFmtId="0" fontId="0" fillId="0" borderId="0" xfId="0" applyNumberFormat="1" applyFont="1" applyBorder="1" applyAlignment="1">
      <alignment horizontal="left" vertical="center"/>
    </xf>
    <xf numFmtId="0" fontId="0" fillId="0" borderId="0" xfId="0" applyNumberFormat="1" applyFont="1" applyBorder="1" applyAlignment="1">
      <alignment horizontal="left" vertical="center" wrapText="1"/>
    </xf>
    <xf numFmtId="0" fontId="0" fillId="0" borderId="0" xfId="0" applyNumberFormat="1" applyFont="1" applyAlignment="1">
      <alignment horizontal="left" vertical="center" wrapText="1"/>
    </xf>
    <xf numFmtId="0" fontId="0" fillId="0" borderId="0" xfId="0" applyFill="1" applyAlignment="1">
      <alignment horizontal="left" vertical="center"/>
    </xf>
    <xf numFmtId="0" fontId="10" fillId="0" borderId="0" xfId="3" applyFont="1" applyAlignment="1">
      <alignment horizontal="left" vertical="center" wrapText="1"/>
    </xf>
    <xf numFmtId="2" fontId="12" fillId="3" borderId="10" xfId="0" applyNumberFormat="1" applyFont="1" applyFill="1" applyBorder="1" applyAlignment="1">
      <alignment horizontal="center" vertical="center" wrapText="1"/>
    </xf>
    <xf numFmtId="2" fontId="9" fillId="3" borderId="10" xfId="0" applyNumberFormat="1" applyFont="1" applyFill="1" applyBorder="1" applyAlignment="1">
      <alignment horizontal="center" vertical="center" wrapText="1"/>
    </xf>
    <xf numFmtId="0" fontId="10" fillId="0" borderId="0" xfId="3" applyFont="1" applyFill="1" applyAlignment="1">
      <alignment horizontal="left" vertical="center" wrapText="1"/>
    </xf>
    <xf numFmtId="0" fontId="10" fillId="0" borderId="0" xfId="3" applyFont="1" applyAlignment="1">
      <alignment horizontal="left" vertical="center"/>
    </xf>
    <xf numFmtId="0" fontId="12" fillId="3" borderId="10" xfId="0" applyFont="1" applyFill="1" applyBorder="1" applyAlignment="1">
      <alignment horizontal="center" vertical="center" wrapText="1"/>
    </xf>
    <xf numFmtId="0" fontId="0" fillId="0" borderId="0" xfId="0" applyAlignment="1">
      <alignment horizontal="left" vertical="center"/>
    </xf>
    <xf numFmtId="0" fontId="12" fillId="3" borderId="10" xfId="0" applyFont="1" applyFill="1" applyBorder="1" applyAlignment="1">
      <alignment horizontal="center" vertical="center"/>
    </xf>
    <xf numFmtId="2" fontId="6" fillId="3" borderId="10" xfId="0" applyNumberFormat="1" applyFont="1" applyFill="1" applyBorder="1" applyAlignment="1">
      <alignment horizontal="center" vertical="center"/>
    </xf>
    <xf numFmtId="0" fontId="6" fillId="3" borderId="10" xfId="3" applyFont="1" applyFill="1" applyBorder="1" applyAlignment="1">
      <alignment horizontal="center" vertical="center" wrapText="1"/>
    </xf>
    <xf numFmtId="0" fontId="0" fillId="0" borderId="0" xfId="0" applyFont="1" applyBorder="1" applyAlignment="1">
      <alignment vertical="center" wrapText="1"/>
    </xf>
    <xf numFmtId="0" fontId="12" fillId="3" borderId="26" xfId="0" applyFont="1" applyFill="1" applyBorder="1" applyAlignment="1">
      <alignment horizontal="center" vertical="center" wrapText="1"/>
    </xf>
    <xf numFmtId="0" fontId="9" fillId="3" borderId="26" xfId="0" applyFont="1" applyFill="1" applyBorder="1" applyAlignment="1">
      <alignment horizontal="center" vertical="center" wrapText="1"/>
    </xf>
    <xf numFmtId="168" fontId="12" fillId="3" borderId="10" xfId="3" applyNumberFormat="1" applyFont="1" applyFill="1" applyBorder="1" applyAlignment="1">
      <alignment horizontal="center" vertical="center" wrapText="1"/>
    </xf>
    <xf numFmtId="0" fontId="12" fillId="0" borderId="0" xfId="3" applyFont="1" applyFill="1" applyBorder="1" applyAlignment="1">
      <alignment horizontal="left" vertical="center"/>
    </xf>
    <xf numFmtId="0" fontId="10" fillId="0" borderId="0" xfId="0" applyFont="1" applyBorder="1" applyAlignment="1">
      <alignment horizontal="left" vertical="center"/>
    </xf>
    <xf numFmtId="0" fontId="10" fillId="0" borderId="0" xfId="3" applyFont="1" applyAlignment="1">
      <alignment horizontal="left"/>
    </xf>
    <xf numFmtId="0" fontId="10" fillId="0" borderId="0" xfId="2" applyFont="1" applyAlignment="1" applyProtection="1">
      <alignment horizontal="left" vertical="center"/>
    </xf>
    <xf numFmtId="0" fontId="10" fillId="0" borderId="0" xfId="2" applyFont="1" applyAlignment="1" applyProtection="1">
      <alignment horizontal="left"/>
    </xf>
    <xf numFmtId="0" fontId="22" fillId="0" borderId="0" xfId="3" applyFont="1" applyAlignment="1">
      <alignment horizontal="left" vertical="center"/>
    </xf>
    <xf numFmtId="0" fontId="10" fillId="0" borderId="0" xfId="0" applyFont="1" applyAlignment="1">
      <alignment horizontal="left" vertical="center"/>
    </xf>
    <xf numFmtId="0" fontId="13" fillId="0" borderId="0" xfId="2" applyFont="1" applyAlignment="1" applyProtection="1">
      <alignment horizontal="left" vertical="center"/>
    </xf>
    <xf numFmtId="0" fontId="24" fillId="0" borderId="0" xfId="3" applyFont="1"/>
    <xf numFmtId="0" fontId="10" fillId="0" borderId="0" xfId="3" applyFont="1"/>
    <xf numFmtId="0" fontId="28" fillId="0" borderId="0" xfId="3" applyFont="1"/>
    <xf numFmtId="165" fontId="24" fillId="0" borderId="0" xfId="3" applyNumberFormat="1" applyFont="1" applyFill="1" applyAlignment="1">
      <alignment horizontal="left" vertical="center"/>
    </xf>
    <xf numFmtId="166" fontId="10" fillId="0" borderId="0" xfId="1" applyNumberFormat="1" applyFont="1" applyBorder="1" applyAlignment="1">
      <alignment horizontal="center" vertical="center" wrapText="1"/>
    </xf>
    <xf numFmtId="166" fontId="10" fillId="0" borderId="0" xfId="1" applyNumberFormat="1" applyFont="1" applyBorder="1" applyAlignment="1">
      <alignment horizontal="left" vertical="center"/>
    </xf>
    <xf numFmtId="0" fontId="10" fillId="0" borderId="0" xfId="3" applyFont="1" applyAlignment="1">
      <alignment horizontal="left" vertical="center" wrapText="1"/>
    </xf>
    <xf numFmtId="0" fontId="10" fillId="0" borderId="0" xfId="3" applyFont="1" applyFill="1" applyAlignment="1">
      <alignment horizontal="left" vertical="center" wrapText="1"/>
    </xf>
    <xf numFmtId="165" fontId="1" fillId="0" borderId="0" xfId="0" applyNumberFormat="1" applyFont="1" applyAlignment="1">
      <alignment horizontal="center" vertical="center"/>
    </xf>
    <xf numFmtId="9" fontId="1" fillId="0" borderId="0" xfId="0" applyNumberFormat="1" applyFont="1" applyAlignment="1">
      <alignment horizontal="center" vertical="center"/>
    </xf>
    <xf numFmtId="0" fontId="0" fillId="0" borderId="0" xfId="0" applyFont="1" applyBorder="1" applyAlignment="1">
      <alignment horizontal="left" vertical="center" wrapText="1"/>
    </xf>
    <xf numFmtId="0" fontId="10" fillId="0" borderId="0" xfId="3" applyFont="1" applyFill="1" applyAlignment="1">
      <alignment horizontal="left" vertical="center" wrapText="1"/>
    </xf>
    <xf numFmtId="165" fontId="1" fillId="0" borderId="0" xfId="0" applyNumberFormat="1" applyFont="1" applyAlignment="1">
      <alignment horizontal="center" vertical="center"/>
    </xf>
    <xf numFmtId="0" fontId="12" fillId="3" borderId="10" xfId="0" applyFont="1" applyFill="1" applyBorder="1" applyAlignment="1">
      <alignment horizontal="center" vertical="center" wrapText="1"/>
    </xf>
    <xf numFmtId="0" fontId="10" fillId="0" borderId="0" xfId="3" applyFont="1" applyAlignment="1">
      <alignment horizontal="left" vertical="center"/>
    </xf>
    <xf numFmtId="0" fontId="0" fillId="0" borderId="0" xfId="0" applyNumberFormat="1" applyFont="1" applyAlignment="1">
      <alignment horizontal="left" vertical="center"/>
    </xf>
    <xf numFmtId="0" fontId="0" fillId="0" borderId="0" xfId="0" applyFont="1" applyAlignment="1">
      <alignment horizontal="left" vertical="center"/>
    </xf>
    <xf numFmtId="0" fontId="1" fillId="0" borderId="0" xfId="0" applyFont="1" applyAlignment="1">
      <alignment horizontal="left" vertical="center"/>
    </xf>
    <xf numFmtId="165" fontId="10" fillId="0" borderId="0" xfId="3" applyNumberFormat="1" applyFont="1" applyFill="1" applyBorder="1" applyAlignment="1">
      <alignment horizontal="center" vertical="center" wrapText="1"/>
    </xf>
    <xf numFmtId="0" fontId="12" fillId="3" borderId="10" xfId="3" applyFont="1" applyFill="1" applyBorder="1" applyAlignment="1">
      <alignment horizontal="center" vertical="center" wrapText="1"/>
    </xf>
    <xf numFmtId="0" fontId="12" fillId="3" borderId="12" xfId="3" applyFont="1" applyFill="1" applyBorder="1" applyAlignment="1">
      <alignment horizontal="center" vertical="center" wrapText="1"/>
    </xf>
    <xf numFmtId="9" fontId="10" fillId="0" borderId="0" xfId="3" applyNumberFormat="1" applyFont="1" applyFill="1" applyAlignment="1">
      <alignment horizontal="center"/>
    </xf>
    <xf numFmtId="0" fontId="1" fillId="0" borderId="0" xfId="0" applyFont="1" applyBorder="1" applyAlignment="1">
      <alignment horizontal="left" vertical="center" wrapText="1"/>
    </xf>
    <xf numFmtId="14" fontId="0" fillId="0" borderId="0" xfId="0" applyNumberFormat="1" applyFont="1" applyBorder="1" applyAlignment="1">
      <alignment horizontal="left" vertical="center"/>
    </xf>
    <xf numFmtId="0" fontId="13" fillId="0" borderId="0" xfId="2" applyFont="1" applyAlignment="1" applyProtection="1">
      <alignment horizontal="left" wrapText="1"/>
    </xf>
    <xf numFmtId="0" fontId="10" fillId="0" borderId="0" xfId="0" applyFont="1" applyBorder="1" applyAlignment="1">
      <alignment horizontal="left" vertical="center" wrapText="1"/>
    </xf>
    <xf numFmtId="0" fontId="13" fillId="0" borderId="0" xfId="2" applyFont="1" applyAlignment="1" applyProtection="1">
      <alignment horizontal="left" vertical="center" wrapText="1"/>
    </xf>
    <xf numFmtId="0" fontId="0" fillId="0" borderId="0" xfId="0" applyAlignment="1">
      <alignment wrapText="1"/>
    </xf>
    <xf numFmtId="0" fontId="0" fillId="0" borderId="0" xfId="0" applyFont="1" applyAlignment="1">
      <alignment horizontal="left" vertical="center"/>
    </xf>
    <xf numFmtId="1" fontId="10" fillId="2" borderId="5" xfId="3" applyNumberFormat="1" applyFont="1" applyFill="1" applyBorder="1" applyAlignment="1">
      <alignment horizontal="center" vertical="center" wrapText="1"/>
    </xf>
    <xf numFmtId="1" fontId="10" fillId="2" borderId="6" xfId="3" applyNumberFormat="1" applyFont="1" applyFill="1" applyBorder="1" applyAlignment="1">
      <alignment horizontal="center" vertical="center" wrapText="1"/>
    </xf>
    <xf numFmtId="14" fontId="0" fillId="0" borderId="0" xfId="0" applyNumberFormat="1"/>
    <xf numFmtId="168" fontId="0" fillId="0" borderId="0" xfId="0" applyNumberFormat="1" applyAlignment="1">
      <alignment horizontal="center"/>
    </xf>
    <xf numFmtId="14" fontId="0" fillId="0" borderId="0" xfId="0" applyNumberFormat="1" applyAlignment="1">
      <alignment vertical="center"/>
    </xf>
    <xf numFmtId="14" fontId="0" fillId="0" borderId="0" xfId="0" applyNumberFormat="1" applyAlignment="1">
      <alignment horizontal="left"/>
    </xf>
    <xf numFmtId="0" fontId="10" fillId="2" borderId="0" xfId="3" applyFont="1" applyFill="1" applyBorder="1" applyAlignment="1">
      <alignment horizontal="center" vertical="center"/>
    </xf>
    <xf numFmtId="0" fontId="0" fillId="0" borderId="0" xfId="0" applyBorder="1" applyAlignment="1">
      <alignment horizontal="left" vertical="center" wrapText="1"/>
    </xf>
    <xf numFmtId="0" fontId="0" fillId="0" borderId="0" xfId="0" applyFont="1" applyAlignment="1">
      <alignment horizontal="left" vertical="center"/>
    </xf>
    <xf numFmtId="0" fontId="1" fillId="0" borderId="0" xfId="0" applyFont="1" applyAlignment="1">
      <alignment horizontal="left" vertical="center"/>
    </xf>
    <xf numFmtId="0" fontId="10" fillId="0" borderId="0" xfId="3" applyFont="1" applyFill="1" applyAlignment="1">
      <alignment horizontal="left" vertical="center" wrapText="1"/>
    </xf>
    <xf numFmtId="0" fontId="10" fillId="0" borderId="0" xfId="3" applyFont="1" applyFill="1" applyAlignment="1">
      <alignment horizontal="left" vertical="center"/>
    </xf>
    <xf numFmtId="0" fontId="0" fillId="0" borderId="0" xfId="0" applyAlignment="1">
      <alignment horizontal="left" vertical="center" wrapText="1"/>
    </xf>
    <xf numFmtId="0" fontId="10" fillId="0" borderId="0" xfId="3" applyFont="1" applyAlignment="1">
      <alignment horizontal="left" vertical="center"/>
    </xf>
    <xf numFmtId="0" fontId="0" fillId="0" borderId="0" xfId="0" applyAlignment="1">
      <alignment horizontal="left"/>
    </xf>
    <xf numFmtId="164" fontId="0" fillId="0" borderId="0" xfId="0" applyNumberFormat="1" applyFont="1" applyAlignment="1">
      <alignment horizontal="left" vertical="center"/>
    </xf>
    <xf numFmtId="0" fontId="0" fillId="0" borderId="0" xfId="0" applyAlignment="1">
      <alignment horizontal="left" indent="3"/>
    </xf>
    <xf numFmtId="0" fontId="0" fillId="0" borderId="0" xfId="0" applyAlignment="1">
      <alignment horizontal="left" vertical="center" indent="3"/>
    </xf>
    <xf numFmtId="9" fontId="10" fillId="0" borderId="0" xfId="0" applyNumberFormat="1" applyFont="1" applyFill="1" applyAlignment="1">
      <alignment horizontal="left" vertical="center"/>
    </xf>
    <xf numFmtId="0" fontId="10" fillId="0" borderId="0" xfId="3" applyFont="1" applyAlignment="1">
      <alignment horizontal="left" vertical="center" indent="4"/>
    </xf>
    <xf numFmtId="0" fontId="17" fillId="0" borderId="0" xfId="0" applyFont="1" applyFill="1"/>
    <xf numFmtId="0" fontId="0" fillId="0" borderId="0" xfId="0" applyBorder="1"/>
    <xf numFmtId="14" fontId="0" fillId="0" borderId="0" xfId="0" applyNumberFormat="1" applyAlignment="1">
      <alignment horizontal="center"/>
    </xf>
    <xf numFmtId="14" fontId="10" fillId="0" borderId="0" xfId="3" applyNumberFormat="1" applyFont="1" applyFill="1" applyBorder="1" applyAlignment="1">
      <alignment horizontal="center"/>
    </xf>
    <xf numFmtId="0" fontId="0" fillId="0" borderId="0" xfId="0" applyBorder="1" applyAlignment="1">
      <alignment horizontal="left" vertical="center" wrapText="1"/>
    </xf>
    <xf numFmtId="0" fontId="10" fillId="0" borderId="0" xfId="3" applyFont="1" applyFill="1" applyAlignment="1">
      <alignment horizontal="left" vertical="center"/>
    </xf>
    <xf numFmtId="0" fontId="6" fillId="3" borderId="11" xfId="3" applyFont="1" applyFill="1" applyBorder="1" applyAlignment="1">
      <alignment horizontal="center" vertical="center" wrapText="1"/>
    </xf>
    <xf numFmtId="0" fontId="0" fillId="0" borderId="0" xfId="0" applyFont="1" applyAlignment="1">
      <alignment horizontal="left" vertical="center"/>
    </xf>
    <xf numFmtId="0" fontId="0" fillId="0" borderId="0" xfId="0" applyFill="1" applyAlignment="1">
      <alignment horizontal="center" vertical="center"/>
    </xf>
    <xf numFmtId="0" fontId="0" fillId="0" borderId="0" xfId="0" applyBorder="1" applyAlignment="1">
      <alignment horizontal="left" vertical="center" wrapText="1"/>
    </xf>
    <xf numFmtId="0" fontId="12" fillId="3" borderId="0" xfId="3" applyFont="1" applyFill="1" applyBorder="1" applyAlignment="1">
      <alignment horizontal="center" vertical="center" wrapText="1"/>
    </xf>
    <xf numFmtId="0" fontId="12" fillId="3" borderId="0" xfId="3" applyFont="1" applyFill="1" applyAlignment="1">
      <alignment horizontal="center" vertical="center" wrapText="1"/>
    </xf>
    <xf numFmtId="0" fontId="0" fillId="0" borderId="0" xfId="0" applyBorder="1" applyAlignment="1">
      <alignment horizontal="left" vertical="center" wrapText="1"/>
    </xf>
    <xf numFmtId="0" fontId="1" fillId="0" borderId="14" xfId="0" applyFont="1" applyBorder="1"/>
    <xf numFmtId="0" fontId="1" fillId="0" borderId="10" xfId="0" applyFont="1" applyBorder="1"/>
    <xf numFmtId="0" fontId="1" fillId="0" borderId="0" xfId="0" applyFont="1" applyBorder="1"/>
    <xf numFmtId="0" fontId="32" fillId="3" borderId="11" xfId="3" applyFont="1" applyFill="1" applyBorder="1" applyAlignment="1">
      <alignment horizontal="center" vertical="center" wrapText="1"/>
    </xf>
    <xf numFmtId="0" fontId="5" fillId="0" borderId="0" xfId="3"/>
    <xf numFmtId="0" fontId="5" fillId="0" borderId="0" xfId="3"/>
    <xf numFmtId="0" fontId="6" fillId="0" borderId="0" xfId="3" applyFont="1" applyAlignment="1"/>
    <xf numFmtId="0" fontId="5" fillId="0" borderId="0" xfId="3"/>
    <xf numFmtId="0" fontId="5" fillId="0" borderId="0" xfId="3" applyAlignment="1">
      <alignment horizontal="center"/>
    </xf>
    <xf numFmtId="0" fontId="5" fillId="0" borderId="0" xfId="3" applyFont="1"/>
    <xf numFmtId="0" fontId="34" fillId="0" borderId="0" xfId="3" applyFont="1"/>
    <xf numFmtId="49" fontId="5" fillId="0" borderId="0" xfId="3" applyNumberFormat="1" applyAlignment="1">
      <alignment horizontal="center"/>
    </xf>
    <xf numFmtId="9" fontId="5" fillId="0" borderId="0" xfId="3" applyNumberFormat="1" applyAlignment="1">
      <alignment horizontal="center"/>
    </xf>
    <xf numFmtId="10" fontId="5" fillId="0" borderId="0" xfId="3" applyNumberFormat="1" applyAlignment="1">
      <alignment horizontal="center"/>
    </xf>
    <xf numFmtId="0" fontId="5" fillId="0" borderId="0" xfId="3" applyAlignment="1"/>
    <xf numFmtId="0" fontId="33" fillId="0" borderId="0" xfId="3" applyFont="1" applyAlignment="1"/>
    <xf numFmtId="0" fontId="5" fillId="0" borderId="0" xfId="3" applyBorder="1"/>
    <xf numFmtId="0" fontId="6" fillId="0" borderId="0" xfId="3" applyFont="1" applyBorder="1" applyAlignment="1"/>
    <xf numFmtId="0" fontId="10" fillId="0" borderId="0" xfId="3" applyFont="1" applyAlignment="1">
      <alignment horizontal="center"/>
    </xf>
    <xf numFmtId="168" fontId="10" fillId="0" borderId="0" xfId="3" applyNumberFormat="1" applyFont="1" applyAlignment="1">
      <alignment horizontal="center"/>
    </xf>
    <xf numFmtId="9" fontId="10" fillId="0" borderId="0" xfId="3" applyNumberFormat="1" applyFont="1" applyAlignment="1">
      <alignment horizontal="center"/>
    </xf>
    <xf numFmtId="10" fontId="10" fillId="0" borderId="0" xfId="3" applyNumberFormat="1" applyFont="1" applyAlignment="1">
      <alignment horizontal="center"/>
    </xf>
    <xf numFmtId="17" fontId="10" fillId="0" borderId="0" xfId="3" applyNumberFormat="1" applyFont="1" applyAlignment="1">
      <alignment horizontal="center"/>
    </xf>
    <xf numFmtId="0" fontId="12" fillId="5" borderId="11" xfId="3" applyFont="1" applyFill="1" applyBorder="1" applyAlignment="1">
      <alignment horizontal="center" vertical="center" wrapText="1"/>
    </xf>
    <xf numFmtId="168" fontId="10" fillId="0" borderId="0" xfId="3" applyNumberFormat="1" applyFont="1" applyBorder="1" applyAlignment="1">
      <alignment horizontal="center"/>
    </xf>
    <xf numFmtId="0" fontId="12" fillId="5" borderId="7" xfId="3" applyFont="1" applyFill="1" applyBorder="1" applyAlignment="1">
      <alignment horizontal="center" vertical="center" wrapText="1"/>
    </xf>
    <xf numFmtId="9" fontId="10" fillId="0" borderId="6" xfId="3" applyNumberFormat="1" applyFont="1" applyBorder="1" applyAlignment="1">
      <alignment horizontal="center"/>
    </xf>
    <xf numFmtId="168" fontId="1" fillId="0" borderId="0" xfId="0" applyNumberFormat="1" applyFont="1" applyBorder="1" applyAlignment="1">
      <alignment horizontal="center"/>
    </xf>
    <xf numFmtId="168" fontId="1" fillId="0" borderId="6" xfId="0" applyNumberFormat="1" applyFont="1" applyBorder="1" applyAlignment="1">
      <alignment horizontal="center"/>
    </xf>
    <xf numFmtId="168" fontId="10" fillId="0" borderId="6" xfId="3" applyNumberFormat="1" applyFont="1" applyBorder="1" applyAlignment="1">
      <alignment horizontal="center"/>
    </xf>
    <xf numFmtId="0" fontId="9" fillId="3" borderId="0" xfId="0" applyFont="1" applyFill="1" applyBorder="1" applyAlignment="1">
      <alignment horizontal="center" vertical="center" wrapText="1"/>
    </xf>
    <xf numFmtId="0" fontId="35" fillId="0" borderId="0" xfId="3" applyFont="1"/>
    <xf numFmtId="0" fontId="12" fillId="0" borderId="0" xfId="3" applyFont="1" applyAlignment="1"/>
    <xf numFmtId="0" fontId="10" fillId="0" borderId="0" xfId="3" applyFont="1" applyAlignment="1"/>
    <xf numFmtId="0" fontId="9" fillId="3" borderId="6" xfId="0" applyFont="1" applyFill="1" applyBorder="1" applyAlignment="1">
      <alignment horizontal="center" vertical="center" wrapText="1"/>
    </xf>
    <xf numFmtId="0" fontId="12" fillId="3" borderId="0" xfId="3" applyFont="1" applyFill="1" applyBorder="1" applyAlignment="1">
      <alignment horizontal="center" vertical="center" wrapText="1"/>
    </xf>
    <xf numFmtId="0" fontId="12" fillId="4" borderId="0" xfId="3" applyFont="1" applyFill="1" applyBorder="1" applyAlignment="1">
      <alignment horizontal="center" vertical="center"/>
    </xf>
    <xf numFmtId="2" fontId="9" fillId="4" borderId="10" xfId="0" applyNumberFormat="1" applyFont="1" applyFill="1" applyBorder="1" applyAlignment="1">
      <alignment horizontal="center" vertical="center"/>
    </xf>
    <xf numFmtId="0" fontId="6" fillId="4" borderId="0" xfId="3" applyFont="1" applyFill="1" applyBorder="1" applyAlignment="1">
      <alignment horizontal="center" vertical="center" wrapText="1"/>
    </xf>
    <xf numFmtId="0" fontId="11" fillId="4" borderId="0" xfId="0" applyFont="1" applyFill="1" applyAlignment="1">
      <alignment horizontal="center" vertical="center"/>
    </xf>
    <xf numFmtId="0" fontId="6" fillId="4" borderId="0" xfId="3" applyFont="1" applyFill="1" applyBorder="1" applyAlignment="1">
      <alignment horizontal="center" vertical="center"/>
    </xf>
    <xf numFmtId="0" fontId="9" fillId="4" borderId="0" xfId="0" applyFont="1" applyFill="1" applyAlignment="1">
      <alignment horizontal="center" wrapText="1"/>
    </xf>
    <xf numFmtId="2" fontId="6" fillId="4" borderId="0" xfId="0" applyNumberFormat="1" applyFont="1" applyFill="1" applyAlignment="1">
      <alignment horizontal="center" vertical="center"/>
    </xf>
    <xf numFmtId="2" fontId="11" fillId="4" borderId="0" xfId="0" applyNumberFormat="1" applyFont="1" applyFill="1" applyAlignment="1">
      <alignment horizontal="center" vertical="center"/>
    </xf>
    <xf numFmtId="168" fontId="6" fillId="4" borderId="0" xfId="3" applyNumberFormat="1" applyFont="1" applyFill="1" applyBorder="1" applyAlignment="1">
      <alignment horizontal="center" vertical="center"/>
    </xf>
    <xf numFmtId="0" fontId="9" fillId="4" borderId="0" xfId="0" applyFont="1" applyFill="1" applyAlignment="1">
      <alignment horizontal="center"/>
    </xf>
    <xf numFmtId="0" fontId="0" fillId="3" borderId="0" xfId="0" applyFill="1"/>
    <xf numFmtId="165" fontId="1" fillId="0" borderId="0" xfId="0" applyNumberFormat="1" applyFont="1" applyAlignment="1">
      <alignment horizontal="center" vertical="center"/>
    </xf>
    <xf numFmtId="9" fontId="1" fillId="0" borderId="0" xfId="0" applyNumberFormat="1" applyFont="1" applyAlignment="1">
      <alignment horizontal="center" vertical="center"/>
    </xf>
    <xf numFmtId="165" fontId="10" fillId="0" borderId="5" xfId="3" applyNumberFormat="1" applyFont="1" applyBorder="1" applyAlignment="1">
      <alignment horizontal="center"/>
    </xf>
    <xf numFmtId="0" fontId="10" fillId="0" borderId="0" xfId="3" applyFont="1" applyFill="1" applyAlignment="1">
      <alignment horizontal="left" vertical="center"/>
    </xf>
    <xf numFmtId="2" fontId="6" fillId="3" borderId="10" xfId="0" applyNumberFormat="1" applyFont="1" applyFill="1" applyBorder="1" applyAlignment="1">
      <alignment horizontal="center" vertical="center"/>
    </xf>
    <xf numFmtId="0" fontId="10" fillId="0" borderId="0" xfId="3" applyFont="1" applyFill="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0" fillId="0" borderId="0" xfId="3" applyFont="1" applyAlignment="1">
      <alignment horizontal="left" vertical="center" wrapText="1"/>
    </xf>
    <xf numFmtId="0" fontId="10" fillId="0" borderId="0" xfId="3" applyFont="1" applyFill="1" applyAlignment="1">
      <alignment horizontal="left" vertical="center"/>
    </xf>
    <xf numFmtId="0" fontId="12" fillId="3" borderId="10" xfId="3" applyFont="1" applyFill="1" applyBorder="1" applyAlignment="1">
      <alignment horizontal="center" vertical="center" wrapText="1"/>
    </xf>
    <xf numFmtId="168" fontId="12" fillId="3" borderId="10" xfId="3" applyNumberFormat="1"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168" fontId="12" fillId="3" borderId="12" xfId="3" applyNumberFormat="1" applyFont="1" applyFill="1" applyBorder="1" applyAlignment="1">
      <alignment horizontal="center" vertical="center" wrapText="1"/>
    </xf>
    <xf numFmtId="168" fontId="12" fillId="3" borderId="13" xfId="3" applyNumberFormat="1" applyFont="1" applyFill="1" applyBorder="1" applyAlignment="1">
      <alignment horizontal="center" vertical="center" wrapText="1"/>
    </xf>
    <xf numFmtId="168" fontId="12" fillId="3" borderId="14" xfId="3" applyNumberFormat="1" applyFont="1" applyFill="1" applyBorder="1" applyAlignment="1">
      <alignment horizontal="center" vertical="center" wrapText="1"/>
    </xf>
    <xf numFmtId="0" fontId="32" fillId="3" borderId="12" xfId="3" applyFont="1" applyFill="1" applyBorder="1" applyAlignment="1">
      <alignment horizontal="center" vertical="center" wrapText="1"/>
    </xf>
    <xf numFmtId="0" fontId="32" fillId="3" borderId="14" xfId="3" applyFont="1" applyFill="1" applyBorder="1" applyAlignment="1">
      <alignment horizontal="center" vertical="center" wrapText="1"/>
    </xf>
    <xf numFmtId="166" fontId="10" fillId="0" borderId="0" xfId="1" applyNumberFormat="1" applyFont="1" applyBorder="1" applyAlignment="1">
      <alignment horizontal="left" vertical="center" wrapText="1"/>
    </xf>
    <xf numFmtId="0" fontId="12" fillId="3" borderId="12" xfId="3" applyFont="1" applyFill="1" applyBorder="1" applyAlignment="1">
      <alignment horizontal="center" vertical="center" wrapText="1"/>
    </xf>
    <xf numFmtId="0" fontId="12" fillId="3" borderId="14" xfId="3" applyFont="1" applyFill="1" applyBorder="1" applyAlignment="1">
      <alignment horizontal="center" vertical="center" wrapText="1"/>
    </xf>
    <xf numFmtId="0" fontId="12" fillId="3" borderId="12" xfId="3" applyFont="1" applyFill="1" applyBorder="1" applyAlignment="1">
      <alignment horizontal="center" vertical="center"/>
    </xf>
    <xf numFmtId="0" fontId="12" fillId="3" borderId="13" xfId="3" applyFont="1" applyFill="1" applyBorder="1" applyAlignment="1">
      <alignment horizontal="center" vertical="center"/>
    </xf>
    <xf numFmtId="0" fontId="12" fillId="3" borderId="14" xfId="3" applyFont="1" applyFill="1" applyBorder="1" applyAlignment="1">
      <alignment horizontal="center" vertical="center"/>
    </xf>
    <xf numFmtId="0" fontId="9" fillId="3" borderId="0" xfId="0" applyFont="1" applyFill="1" applyBorder="1" applyAlignment="1">
      <alignment horizontal="center" vertical="center" wrapText="1"/>
    </xf>
    <xf numFmtId="0" fontId="9" fillId="3" borderId="6" xfId="0" applyFont="1" applyFill="1" applyBorder="1" applyAlignment="1">
      <alignment horizontal="center" vertical="center" wrapText="1"/>
    </xf>
    <xf numFmtId="1" fontId="10" fillId="2" borderId="12" xfId="3" applyNumberFormat="1" applyFont="1" applyFill="1" applyBorder="1" applyAlignment="1">
      <alignment horizontal="center" vertical="center" wrapText="1"/>
    </xf>
    <xf numFmtId="1" fontId="10" fillId="2" borderId="13" xfId="3" applyNumberFormat="1" applyFont="1" applyFill="1" applyBorder="1" applyAlignment="1">
      <alignment horizontal="center" vertical="center" wrapText="1"/>
    </xf>
    <xf numFmtId="1" fontId="10" fillId="2" borderId="14" xfId="3" applyNumberFormat="1" applyFont="1" applyFill="1" applyBorder="1" applyAlignment="1">
      <alignment horizontal="center" vertical="center" wrapText="1"/>
    </xf>
    <xf numFmtId="0" fontId="12" fillId="5" borderId="12" xfId="3" applyFont="1" applyFill="1" applyBorder="1" applyAlignment="1">
      <alignment horizontal="center" wrapText="1"/>
    </xf>
    <xf numFmtId="0" fontId="12" fillId="5" borderId="13" xfId="3" applyFont="1" applyFill="1" applyBorder="1" applyAlignment="1">
      <alignment horizontal="center" wrapText="1"/>
    </xf>
    <xf numFmtId="0" fontId="12" fillId="5" borderId="14" xfId="3" applyFont="1" applyFill="1" applyBorder="1" applyAlignment="1">
      <alignment horizontal="center" wrapText="1"/>
    </xf>
    <xf numFmtId="0" fontId="9" fillId="5" borderId="12" xfId="0"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12" fillId="4" borderId="8" xfId="3" applyFont="1" applyFill="1" applyBorder="1" applyAlignment="1">
      <alignment horizontal="center" vertical="center" wrapText="1"/>
    </xf>
    <xf numFmtId="0" fontId="9" fillId="3" borderId="5" xfId="0" applyFont="1" applyFill="1" applyBorder="1" applyAlignment="1">
      <alignment horizontal="center" vertical="center"/>
    </xf>
    <xf numFmtId="0" fontId="10" fillId="2" borderId="12" xfId="3" applyFont="1" applyFill="1" applyBorder="1" applyAlignment="1">
      <alignment horizontal="center"/>
    </xf>
    <xf numFmtId="0" fontId="10" fillId="2" borderId="13" xfId="3" applyFont="1" applyFill="1" applyBorder="1" applyAlignment="1">
      <alignment horizontal="center"/>
    </xf>
    <xf numFmtId="0" fontId="10" fillId="2" borderId="14" xfId="3" applyFont="1" applyFill="1" applyBorder="1" applyAlignment="1">
      <alignment horizontal="center"/>
    </xf>
    <xf numFmtId="0" fontId="6" fillId="3" borderId="12" xfId="3" applyFont="1" applyFill="1" applyBorder="1" applyAlignment="1">
      <alignment horizontal="center" vertical="center" wrapText="1"/>
    </xf>
    <xf numFmtId="0" fontId="6" fillId="3" borderId="14" xfId="3" applyFont="1" applyFill="1" applyBorder="1" applyAlignment="1">
      <alignment horizontal="center" vertical="center" wrapText="1"/>
    </xf>
    <xf numFmtId="0" fontId="0" fillId="0" borderId="0" xfId="0" applyFont="1" applyAlignment="1">
      <alignment horizontal="left" vertical="center"/>
    </xf>
    <xf numFmtId="0" fontId="1" fillId="0" borderId="0" xfId="0" applyFont="1" applyAlignment="1">
      <alignment horizontal="left" vertical="center"/>
    </xf>
    <xf numFmtId="0" fontId="30" fillId="0" borderId="0" xfId="0" applyFont="1" applyAlignment="1">
      <alignment vertical="justify"/>
    </xf>
    <xf numFmtId="0" fontId="31" fillId="0" borderId="0" xfId="0" applyFont="1" applyAlignment="1">
      <alignment vertical="justify"/>
    </xf>
    <xf numFmtId="2" fontId="12" fillId="3" borderId="10" xfId="0" applyNumberFormat="1" applyFont="1" applyFill="1" applyBorder="1" applyAlignment="1">
      <alignment horizontal="center" vertical="center" wrapText="1"/>
    </xf>
    <xf numFmtId="2" fontId="9" fillId="3" borderId="10" xfId="0" applyNumberFormat="1" applyFont="1" applyFill="1" applyBorder="1" applyAlignment="1">
      <alignment horizontal="center" vertical="center" wrapText="1"/>
    </xf>
    <xf numFmtId="0" fontId="12" fillId="3" borderId="10" xfId="3" applyFont="1" applyFill="1" applyBorder="1" applyAlignment="1">
      <alignment horizontal="left" vertical="center" wrapText="1"/>
    </xf>
    <xf numFmtId="0" fontId="12" fillId="3" borderId="5" xfId="3" applyFont="1" applyFill="1" applyBorder="1" applyAlignment="1">
      <alignment horizontal="center" vertical="center" wrapText="1"/>
    </xf>
    <xf numFmtId="0" fontId="0" fillId="0" borderId="0" xfId="0" applyFont="1" applyAlignment="1">
      <alignment horizontal="left" vertical="center" wrapText="1"/>
    </xf>
    <xf numFmtId="0" fontId="12" fillId="3" borderId="2" xfId="3" applyFont="1" applyFill="1" applyBorder="1" applyAlignment="1">
      <alignment horizontal="center" vertical="center" wrapText="1"/>
    </xf>
    <xf numFmtId="0" fontId="12" fillId="3" borderId="26" xfId="3" applyFont="1" applyFill="1" applyBorder="1" applyAlignment="1">
      <alignment horizontal="center" vertical="center" wrapText="1"/>
    </xf>
    <xf numFmtId="0" fontId="12" fillId="3" borderId="11" xfId="3"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9" fillId="3" borderId="10" xfId="0" applyFont="1" applyFill="1" applyBorder="1" applyAlignment="1">
      <alignment horizontal="center" vertical="center"/>
    </xf>
    <xf numFmtId="0" fontId="12" fillId="3" borderId="26" xfId="3" applyFont="1" applyFill="1" applyBorder="1" applyAlignment="1">
      <alignment horizontal="center" vertical="center"/>
    </xf>
    <xf numFmtId="0" fontId="12" fillId="3" borderId="11" xfId="3" applyFont="1" applyFill="1" applyBorder="1" applyAlignment="1">
      <alignment horizontal="center" vertical="center"/>
    </xf>
    <xf numFmtId="0" fontId="12" fillId="3" borderId="10" xfId="0" applyFont="1" applyFill="1" applyBorder="1" applyAlignment="1">
      <alignment horizontal="center" vertical="center" wrapText="1"/>
    </xf>
    <xf numFmtId="2" fontId="12" fillId="3" borderId="10" xfId="0" applyNumberFormat="1" applyFont="1" applyFill="1" applyBorder="1" applyAlignment="1">
      <alignment horizontal="center" vertical="center"/>
    </xf>
    <xf numFmtId="2" fontId="9" fillId="3" borderId="12" xfId="0" applyNumberFormat="1" applyFont="1" applyFill="1" applyBorder="1" applyAlignment="1">
      <alignment horizontal="center" vertical="center" wrapText="1"/>
    </xf>
    <xf numFmtId="2" fontId="9" fillId="3" borderId="13" xfId="0" applyNumberFormat="1" applyFont="1" applyFill="1" applyBorder="1" applyAlignment="1">
      <alignment horizontal="center" vertical="center" wrapText="1"/>
    </xf>
    <xf numFmtId="2" fontId="9" fillId="3" borderId="14" xfId="0" applyNumberFormat="1" applyFont="1" applyFill="1" applyBorder="1" applyAlignment="1">
      <alignment horizontal="center" vertical="center" wrapText="1"/>
    </xf>
    <xf numFmtId="0" fontId="12" fillId="3" borderId="10" xfId="3" applyFont="1" applyFill="1" applyBorder="1" applyAlignment="1">
      <alignment horizontal="center" vertical="center"/>
    </xf>
    <xf numFmtId="0" fontId="0" fillId="0" borderId="0" xfId="0" applyAlignment="1">
      <alignment horizontal="left" vertical="center" wrapText="1"/>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0" fillId="0" borderId="0" xfId="3" applyFont="1" applyAlignment="1">
      <alignment horizontal="left" vertical="center"/>
    </xf>
    <xf numFmtId="0" fontId="12" fillId="3" borderId="0" xfId="3" applyFont="1" applyFill="1" applyBorder="1" applyAlignment="1">
      <alignment horizontal="center" vertical="center" wrapText="1"/>
    </xf>
    <xf numFmtId="0" fontId="12" fillId="3" borderId="8" xfId="3" applyFont="1" applyFill="1" applyBorder="1" applyAlignment="1">
      <alignment horizontal="center" vertical="center" wrapText="1"/>
    </xf>
    <xf numFmtId="0" fontId="12" fillId="3" borderId="0" xfId="3" applyFont="1" applyFill="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12" fillId="3" borderId="10" xfId="0" applyFont="1" applyFill="1" applyBorder="1" applyAlignment="1">
      <alignment horizontal="center" vertical="center"/>
    </xf>
    <xf numFmtId="0" fontId="0" fillId="0" borderId="10" xfId="0" applyBorder="1" applyAlignment="1">
      <alignment horizontal="center" vertical="center"/>
    </xf>
    <xf numFmtId="0" fontId="10" fillId="0" borderId="15" xfId="3" applyFont="1" applyBorder="1" applyAlignment="1">
      <alignment horizontal="left" vertical="center" wrapText="1"/>
    </xf>
    <xf numFmtId="0" fontId="10" fillId="0" borderId="16" xfId="3" applyFont="1" applyBorder="1" applyAlignment="1">
      <alignment horizontal="left" vertical="center"/>
    </xf>
    <xf numFmtId="0" fontId="10" fillId="0" borderId="17" xfId="3" applyFont="1" applyBorder="1" applyAlignment="1">
      <alignment horizontal="left" vertical="center"/>
    </xf>
    <xf numFmtId="2" fontId="9" fillId="3" borderId="10" xfId="0" applyNumberFormat="1" applyFont="1" applyFill="1" applyBorder="1" applyAlignment="1">
      <alignment horizontal="center" vertical="center"/>
    </xf>
    <xf numFmtId="0" fontId="6" fillId="3" borderId="26" xfId="3" applyFont="1" applyFill="1" applyBorder="1" applyAlignment="1">
      <alignment horizontal="center" vertical="center" wrapText="1"/>
    </xf>
    <xf numFmtId="0" fontId="6" fillId="3" borderId="11" xfId="3" applyFont="1" applyFill="1" applyBorder="1" applyAlignment="1">
      <alignment horizontal="center" vertical="center" wrapText="1"/>
    </xf>
    <xf numFmtId="0" fontId="6" fillId="3" borderId="0" xfId="3" applyFont="1" applyFill="1" applyAlignment="1">
      <alignment horizontal="center" vertical="center" wrapText="1"/>
    </xf>
    <xf numFmtId="0" fontId="6" fillId="3" borderId="10" xfId="3" applyFont="1" applyFill="1" applyBorder="1" applyAlignment="1">
      <alignment horizontal="center" vertical="center" wrapText="1"/>
    </xf>
    <xf numFmtId="0" fontId="0" fillId="0" borderId="0" xfId="0" applyAlignment="1">
      <alignment horizontal="left" wrapText="1"/>
    </xf>
    <xf numFmtId="0" fontId="11" fillId="3" borderId="10" xfId="0" applyFont="1" applyFill="1" applyBorder="1" applyAlignment="1">
      <alignment horizontal="center" vertical="center"/>
    </xf>
    <xf numFmtId="0" fontId="6" fillId="3" borderId="10" xfId="3" applyFont="1" applyFill="1" applyBorder="1" applyAlignment="1">
      <alignment horizontal="center" vertical="center"/>
    </xf>
    <xf numFmtId="0" fontId="0" fillId="0" borderId="0" xfId="0" applyBorder="1" applyAlignment="1">
      <alignment horizontal="left" vertical="center"/>
    </xf>
    <xf numFmtId="0" fontId="0" fillId="0" borderId="0" xfId="0" applyFill="1" applyAlignment="1">
      <alignment horizontal="center" vertical="center"/>
    </xf>
    <xf numFmtId="0" fontId="10" fillId="0" borderId="0" xfId="3" applyFont="1" applyFill="1" applyAlignment="1">
      <alignment horizontal="left" vertical="center" wrapText="1"/>
    </xf>
    <xf numFmtId="0" fontId="6" fillId="3" borderId="26" xfId="3" applyFont="1" applyFill="1" applyBorder="1" applyAlignment="1">
      <alignment horizontal="center" vertical="center"/>
    </xf>
    <xf numFmtId="0" fontId="6" fillId="3" borderId="11" xfId="3" applyFont="1" applyFill="1" applyBorder="1" applyAlignment="1">
      <alignment horizontal="center" vertical="center"/>
    </xf>
    <xf numFmtId="0" fontId="11" fillId="3" borderId="10" xfId="0" applyFont="1" applyFill="1" applyBorder="1" applyAlignment="1">
      <alignment horizontal="center" vertical="center" wrapText="1"/>
    </xf>
    <xf numFmtId="2" fontId="12" fillId="3" borderId="12" xfId="0" applyNumberFormat="1" applyFont="1" applyFill="1" applyBorder="1" applyAlignment="1">
      <alignment horizontal="center" vertical="center"/>
    </xf>
    <xf numFmtId="2" fontId="12" fillId="3" borderId="13" xfId="0" applyNumberFormat="1" applyFont="1" applyFill="1" applyBorder="1" applyAlignment="1">
      <alignment horizontal="center" vertical="center"/>
    </xf>
    <xf numFmtId="2" fontId="12" fillId="3" borderId="14" xfId="0" applyNumberFormat="1" applyFont="1" applyFill="1" applyBorder="1" applyAlignment="1">
      <alignment horizontal="center" vertical="center"/>
    </xf>
    <xf numFmtId="0" fontId="6" fillId="3" borderId="5" xfId="3" applyFont="1" applyFill="1" applyBorder="1" applyAlignment="1">
      <alignment horizontal="center" vertical="center" wrapText="1"/>
    </xf>
    <xf numFmtId="2" fontId="6" fillId="3" borderId="10" xfId="0" applyNumberFormat="1" applyFont="1" applyFill="1" applyBorder="1" applyAlignment="1">
      <alignment horizontal="center" vertical="center"/>
    </xf>
    <xf numFmtId="2" fontId="11" fillId="3" borderId="10" xfId="0" applyNumberFormat="1" applyFont="1" applyFill="1" applyBorder="1" applyAlignment="1">
      <alignment horizontal="center" vertical="center" wrapText="1"/>
    </xf>
    <xf numFmtId="2" fontId="11" fillId="3" borderId="10" xfId="0" applyNumberFormat="1" applyFont="1" applyFill="1" applyBorder="1" applyAlignment="1">
      <alignment horizontal="center" vertical="center"/>
    </xf>
    <xf numFmtId="2" fontId="11" fillId="3" borderId="12" xfId="0" applyNumberFormat="1" applyFont="1" applyFill="1" applyBorder="1" applyAlignment="1">
      <alignment horizontal="center" vertical="center" wrapText="1"/>
    </xf>
    <xf numFmtId="2" fontId="11" fillId="3" borderId="14" xfId="0" applyNumberFormat="1"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14" xfId="0" applyFont="1" applyFill="1" applyBorder="1" applyAlignment="1">
      <alignment horizontal="center" vertical="center" wrapText="1"/>
    </xf>
    <xf numFmtId="2" fontId="6" fillId="3" borderId="12" xfId="0" applyNumberFormat="1" applyFont="1" applyFill="1" applyBorder="1" applyAlignment="1">
      <alignment horizontal="center" vertical="center"/>
    </xf>
    <xf numFmtId="2" fontId="6" fillId="3" borderId="13" xfId="0" applyNumberFormat="1" applyFont="1" applyFill="1" applyBorder="1" applyAlignment="1">
      <alignment horizontal="center" vertical="center"/>
    </xf>
    <xf numFmtId="2" fontId="6" fillId="3" borderId="14" xfId="0" applyNumberFormat="1" applyFont="1" applyFill="1" applyBorder="1" applyAlignment="1">
      <alignment horizontal="center" vertical="center"/>
    </xf>
    <xf numFmtId="0" fontId="12" fillId="3" borderId="13" xfId="3" applyFont="1" applyFill="1" applyBorder="1" applyAlignment="1">
      <alignment horizontal="center" vertical="center" wrapText="1"/>
    </xf>
  </cellXfs>
  <cellStyles count="12">
    <cellStyle name="Date" xfId="5"/>
    <cellStyle name="En-tête 1" xfId="6"/>
    <cellStyle name="En-tête 2" xfId="7"/>
    <cellStyle name="Financier0" xfId="8"/>
    <cellStyle name="Lien hypertexte" xfId="2" builtinId="8"/>
    <cellStyle name="Milliers" xfId="1" builtinId="3"/>
    <cellStyle name="Monétaire0" xfId="9"/>
    <cellStyle name="Normal" xfId="0" builtinId="0"/>
    <cellStyle name="Normal 2" xfId="3"/>
    <cellStyle name="Pourcentage" xfId="4" builtinId="5"/>
    <cellStyle name="Total 2" xfId="10"/>
    <cellStyle name="Virgule fixe"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278050</xdr:colOff>
      <xdr:row>2</xdr:row>
      <xdr:rowOff>66675</xdr:rowOff>
    </xdr:from>
    <xdr:to>
      <xdr:col>17</xdr:col>
      <xdr:colOff>10293</xdr:colOff>
      <xdr:row>7</xdr:row>
      <xdr:rowOff>238124</xdr:rowOff>
    </xdr:to>
    <xdr:pic>
      <xdr:nvPicPr>
        <xdr:cNvPr id="4" name="Imag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22000" y="685800"/>
          <a:ext cx="2780243" cy="1057274"/>
        </a:xfrm>
        <a:prstGeom prst="rect">
          <a:avLst/>
        </a:prstGeom>
      </xdr:spPr>
    </xdr:pic>
    <xdr:clientData/>
  </xdr:twoCellAnchor>
  <xdr:twoCellAnchor editAs="oneCell">
    <xdr:from>
      <xdr:col>16</xdr:col>
      <xdr:colOff>152400</xdr:colOff>
      <xdr:row>12</xdr:row>
      <xdr:rowOff>161925</xdr:rowOff>
    </xdr:from>
    <xdr:to>
      <xdr:col>18</xdr:col>
      <xdr:colOff>657224</xdr:colOff>
      <xdr:row>17</xdr:row>
      <xdr:rowOff>147208</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39475" y="2657475"/>
          <a:ext cx="2028824" cy="9377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278050</xdr:colOff>
      <xdr:row>2</xdr:row>
      <xdr:rowOff>66675</xdr:rowOff>
    </xdr:from>
    <xdr:to>
      <xdr:col>17</xdr:col>
      <xdr:colOff>10293</xdr:colOff>
      <xdr:row>8</xdr:row>
      <xdr:rowOff>38099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79125" y="495300"/>
          <a:ext cx="2780243" cy="1057274"/>
        </a:xfrm>
        <a:prstGeom prst="rect">
          <a:avLst/>
        </a:prstGeom>
      </xdr:spPr>
    </xdr:pic>
    <xdr:clientData/>
  </xdr:twoCellAnchor>
  <xdr:twoCellAnchor editAs="oneCell">
    <xdr:from>
      <xdr:col>16</xdr:col>
      <xdr:colOff>190500</xdr:colOff>
      <xdr:row>12</xdr:row>
      <xdr:rowOff>168212</xdr:rowOff>
    </xdr:from>
    <xdr:to>
      <xdr:col>18</xdr:col>
      <xdr:colOff>695324</xdr:colOff>
      <xdr:row>17</xdr:row>
      <xdr:rowOff>153495</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77575" y="2511362"/>
          <a:ext cx="2028824" cy="93778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legifrance.gouv.fr/affichTexteArticle.do;jsessionid=A03575D90595BEEB58D0BA21CE300CE0.tpdjo08v_2?cidTexte=JORFTEXT000018557013&amp;idArticle=LEGIARTI000018559051&amp;dateTexte=20090409&amp;categorieLien=id" TargetMode="External"/><Relationship Id="rId2" Type="http://schemas.openxmlformats.org/officeDocument/2006/relationships/hyperlink" Target="http://www.legifrance.gouv.fr/affichTexteArticle.do;jsessionid=A03575D90595BEEB58D0BA21CE300CE0.tpdjo08v_2?cidTexte=JORFTEXT000020496091&amp;idArticle=LEGIARTI000020499734&amp;dateTexte=20100430&amp;categorieLien=id" TargetMode="External"/><Relationship Id="rId1" Type="http://schemas.openxmlformats.org/officeDocument/2006/relationships/hyperlink" Target="http://www.legifrance.gouv.fr/affichTexteArticle.do;jsessionid=A03575D90595BEEB58D0BA21CE300CE0.tpdjo08v_2?cidTexte=JORFTEXT000022166146&amp;idArticle=LEGIARTI000022169561&amp;dateTexte=20110611&amp;categorieLien=id"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legifrance.gouv.fr/affichTexteArticle.do;jsessionid=74B6FCBBE75E37F0115D9428F2169E51.tpdjo12v_1?cidTexte=JORFTEXT000022166146&amp;idArticle=LEGIARTI000022169561&amp;dateTexte=20110611&amp;categorieLien=id" TargetMode="External"/><Relationship Id="rId7" Type="http://schemas.openxmlformats.org/officeDocument/2006/relationships/printerSettings" Target="../printerSettings/printerSettings13.bin"/><Relationship Id="rId2" Type="http://schemas.openxmlformats.org/officeDocument/2006/relationships/hyperlink" Target="http://legifrance.gouv.fr/affichTexteArticle.do;jsessionid=74B6FCBBE75E37F0115D9428F2169E51.tpdjo12v_1?cidTexte=JORFTEXT000024152033&amp;idArticle=LEGIARTI000024154164&amp;dateTexte=20111118&amp;categorieLien=id" TargetMode="External"/><Relationship Id="rId1" Type="http://schemas.openxmlformats.org/officeDocument/2006/relationships/hyperlink" Target="http://legifrance.gouv.fr/affichTexteArticle.do;jsessionid=74B6FCBBE75E37F0115D9428F2169E51.tpdjo12v_1?cidTexte=JORFTEXT000000240757&amp;idArticle=LEGIARTI000006322286&amp;dateTexte=20071227&amp;categorieLien=id" TargetMode="External"/><Relationship Id="rId6" Type="http://schemas.openxmlformats.org/officeDocument/2006/relationships/hyperlink" Target="http://www.legifrance.gouv.fr/affichTexteArticle.do;jsessionid=59D7B79F52D4792291A607E304939D25.tpdjo09v_3?cidTexte=JORFTEXT000000791289&amp;idArticle=LEGIARTI000006221812&amp;dateTexte=20031230&amp;categorieLien=id" TargetMode="External"/><Relationship Id="rId5" Type="http://schemas.openxmlformats.org/officeDocument/2006/relationships/hyperlink" Target="http://legifrance.gouv.fr/affichTexteArticle.do;jsessionid=74B6FCBBE75E37F0115D9428F2169E51.tpdjo12v_1?cidTexte=JORFTEXT000018557013&amp;idArticle=LEGIARTI000018559051&amp;dateTexte=20080805&amp;categorieLien=id" TargetMode="External"/><Relationship Id="rId4" Type="http://schemas.openxmlformats.org/officeDocument/2006/relationships/hyperlink" Target="http://legifrance.gouv.fr/affichTexteArticle.do;jsessionid=74B6FCBBE75E37F0115D9428F2169E51.tpdjo12v_1?cidTexte=JORFTEXT000020496091&amp;idArticle=LEGIARTI000020499734&amp;dateTexte=20091231&amp;categorieLien=i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legifrance.gouv.fr/affichTexteArticle.do;jsessionid=74B6FCBBE75E37F0115D9428F2169E51.tpdjo12v_1?cidTexte=JORFTEXT000000596281&amp;idArticle=LEGIARTI000006212781&amp;dateTexte=20040531&amp;categorieLien=id" TargetMode="External"/><Relationship Id="rId2" Type="http://schemas.openxmlformats.org/officeDocument/2006/relationships/hyperlink" Target="http://legifrance.gouv.fr/affichTexteArticle.do;jsessionid=74B6FCBBE75E37F0115D9428F2169E51.tpdjo12v_1?cidTexte=JORFTEXT000000240757&amp;idArticle=LEGIARTI000006322286&amp;dateTexte=20071227&amp;categorieLien=id" TargetMode="External"/><Relationship Id="rId1" Type="http://schemas.openxmlformats.org/officeDocument/2006/relationships/hyperlink" Target="http://www.legifrance.gouv.fr/affichTexteArticle.do;jsessionid=304501568C86C5032D74B02778A01E23.tpdjo08v_2?cidTexte=JORFTEXT000018557013&amp;idArticle=LEGIARTI000018559051&amp;dateTexte=20090409&amp;categorieLien=id" TargetMode="External"/><Relationship Id="rId4"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legifrance.gouv.fr/affichTexteArticle.do;jsessionid=74B6FCBBE75E37F0115D9428F2169E51.tpdjo12v_1?cidTexte=JORFTEXT000000596281&amp;idArticle=LEGIARTI000006212781&amp;dateTexte=20040531&amp;categorieLien=id" TargetMode="External"/><Relationship Id="rId1" Type="http://schemas.openxmlformats.org/officeDocument/2006/relationships/hyperlink" Target="http://legifrance.gouv.fr/affichTexteArticle.do;jsessionid=74B6FCBBE75E37F0115D9428F2169E51.tpdjo12v_1?cidTexte=JORFTEXT000000596281&amp;idArticle=LEGIARTI000006212781&amp;dateTexte=20040531&amp;categorieLien=i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3" Type="http://schemas.openxmlformats.org/officeDocument/2006/relationships/hyperlink" Target="http://bofip.impots.gouv.fr/bofip/6526-PGP.html?identifiant=BOI-IR-LIQ-20-20-10-10-20130704" TargetMode="External"/><Relationship Id="rId2" Type="http://schemas.openxmlformats.org/officeDocument/2006/relationships/hyperlink" Target="http://bofip.impots.gouv.fr/bofip/7322-PGP.html?identifiant=BOI-IR-LIQ-20-20-10-30-20130704" TargetMode="External"/><Relationship Id="rId1" Type="http://schemas.openxmlformats.org/officeDocument/2006/relationships/hyperlink" Target="http://bofip.impots.gouv.fr/bofip/7249-PGP.html?identifiant=BOI-IR-LIQ-20-20-10-20130704" TargetMode="External"/><Relationship Id="rId4"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legifrance.gouv.fr/affichTexteArticle.do;jsessionid=74B6FCBBE75E37F0115D9428F2169E51.tpdjo12v_1?cidTexte=JORFTEXT000000596281&amp;idArticle=LEGIARTI000006212781&amp;dateTexte=20040531&amp;categorieLien=id"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legifrance.gouv.fr/affichTexteArticle.do;jsessionid=304501568C86C5032D74B02778A01E23.tpdjo08v_2?cidTexte=JORFTEXT000018557013&amp;idArticle=LEGIARTI000018559051&amp;dateTexte=20090409&amp;categorieLien=id" TargetMode="External"/><Relationship Id="rId1" Type="http://schemas.openxmlformats.org/officeDocument/2006/relationships/hyperlink" Target="http://www.legifrance.gouv.fr/affichTexteArticle.do;jsessionid=304501568C86C5032D74B02778A01E23.tpdjo08v_2?cidTexte=JORFTEXT000022166146&amp;idArticle=LEGIARTI000022169561&amp;dateTexte=20110611&amp;categorieLien=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showGridLines="0" workbookViewId="0">
      <selection activeCell="D27" sqref="D27"/>
    </sheetView>
  </sheetViews>
  <sheetFormatPr baseColWidth="10" defaultColWidth="11.42578125" defaultRowHeight="15" x14ac:dyDescent="0.25"/>
  <cols>
    <col min="1" max="1" width="5.28515625" customWidth="1"/>
    <col min="2" max="3" width="3.5703125" customWidth="1"/>
    <col min="9" max="9" width="13.7109375" customWidth="1"/>
  </cols>
  <sheetData>
    <row r="2" spans="2:16" ht="18.75" x14ac:dyDescent="0.3">
      <c r="B2" s="301" t="s">
        <v>1005</v>
      </c>
    </row>
    <row r="3" spans="2:16" ht="9.75" customHeight="1" x14ac:dyDescent="0.25"/>
    <row r="4" spans="2:16" ht="15" customHeight="1" x14ac:dyDescent="0.25">
      <c r="B4" s="443" t="s">
        <v>797</v>
      </c>
      <c r="C4" s="444"/>
      <c r="D4" s="444"/>
      <c r="E4" s="444"/>
      <c r="F4" s="444"/>
      <c r="G4" s="444"/>
      <c r="H4" s="444"/>
      <c r="I4" s="444"/>
      <c r="J4" s="444"/>
      <c r="K4" s="444"/>
      <c r="L4" s="444"/>
      <c r="M4" s="445"/>
    </row>
    <row r="5" spans="2:16" x14ac:dyDescent="0.25">
      <c r="B5" s="446"/>
      <c r="C5" s="447"/>
      <c r="D5" s="447"/>
      <c r="E5" s="447"/>
      <c r="F5" s="447"/>
      <c r="G5" s="447"/>
      <c r="H5" s="447"/>
      <c r="I5" s="447"/>
      <c r="J5" s="447"/>
      <c r="K5" s="447"/>
      <c r="L5" s="447"/>
      <c r="M5" s="448"/>
    </row>
    <row r="6" spans="2:16" x14ac:dyDescent="0.25">
      <c r="B6" s="446"/>
      <c r="C6" s="447"/>
      <c r="D6" s="447"/>
      <c r="E6" s="447"/>
      <c r="F6" s="447"/>
      <c r="G6" s="447"/>
      <c r="H6" s="447"/>
      <c r="I6" s="447"/>
      <c r="J6" s="447"/>
      <c r="K6" s="447"/>
      <c r="L6" s="447"/>
      <c r="M6" s="448"/>
    </row>
    <row r="7" spans="2:16" x14ac:dyDescent="0.25">
      <c r="B7" s="446"/>
      <c r="C7" s="447"/>
      <c r="D7" s="447"/>
      <c r="E7" s="447"/>
      <c r="F7" s="447"/>
      <c r="G7" s="447"/>
      <c r="H7" s="447"/>
      <c r="I7" s="447"/>
      <c r="J7" s="447"/>
      <c r="K7" s="447"/>
      <c r="L7" s="447"/>
      <c r="M7" s="448"/>
    </row>
    <row r="8" spans="2:16" ht="33" customHeight="1" x14ac:dyDescent="0.25">
      <c r="B8" s="449"/>
      <c r="C8" s="450"/>
      <c r="D8" s="450"/>
      <c r="E8" s="450"/>
      <c r="F8" s="450"/>
      <c r="G8" s="450"/>
      <c r="H8" s="450"/>
      <c r="I8" s="450"/>
      <c r="J8" s="450"/>
      <c r="K8" s="450"/>
      <c r="L8" s="450"/>
      <c r="M8" s="451"/>
    </row>
    <row r="9" spans="2:16" x14ac:dyDescent="0.25">
      <c r="C9" s="127"/>
      <c r="D9" s="127"/>
      <c r="E9" s="127"/>
      <c r="F9" s="127"/>
      <c r="G9" s="127"/>
      <c r="H9" s="127"/>
      <c r="I9" s="127"/>
      <c r="J9" s="127"/>
      <c r="K9" s="127"/>
      <c r="L9" s="127"/>
      <c r="M9" s="127"/>
    </row>
    <row r="10" spans="2:16" x14ac:dyDescent="0.25">
      <c r="C10">
        <v>1</v>
      </c>
      <c r="D10" s="1" t="s">
        <v>1009</v>
      </c>
      <c r="E10" s="364"/>
      <c r="F10" s="364"/>
      <c r="G10" s="364"/>
      <c r="J10" s="249" t="s">
        <v>592</v>
      </c>
      <c r="K10" s="250"/>
      <c r="L10" s="250"/>
      <c r="M10" s="250"/>
      <c r="N10" s="250"/>
      <c r="O10" s="250"/>
      <c r="P10" s="251"/>
    </row>
    <row r="11" spans="2:16" x14ac:dyDescent="0.25">
      <c r="C11">
        <f>C10+1</f>
        <v>2</v>
      </c>
      <c r="D11" s="1" t="s">
        <v>1069</v>
      </c>
      <c r="E11" s="386"/>
      <c r="F11" s="386"/>
      <c r="G11" s="386"/>
      <c r="J11" s="259" t="s">
        <v>1006</v>
      </c>
      <c r="K11" s="253"/>
      <c r="L11" s="253"/>
      <c r="M11" s="253"/>
      <c r="N11" s="253"/>
      <c r="O11" s="253"/>
      <c r="P11" s="254"/>
    </row>
    <row r="12" spans="2:16" x14ac:dyDescent="0.25">
      <c r="C12" s="364"/>
      <c r="D12" s="364"/>
      <c r="E12" s="364"/>
      <c r="F12" s="364"/>
      <c r="G12" s="364"/>
      <c r="J12" s="252"/>
      <c r="K12" s="253"/>
      <c r="L12" s="253"/>
      <c r="M12" s="253"/>
      <c r="N12" s="253"/>
      <c r="O12" s="253"/>
      <c r="P12" s="254"/>
    </row>
    <row r="13" spans="2:16" x14ac:dyDescent="0.25">
      <c r="B13" s="128" t="s">
        <v>211</v>
      </c>
      <c r="J13" s="255" t="s">
        <v>515</v>
      </c>
      <c r="K13" s="253"/>
      <c r="L13" s="253"/>
      <c r="M13" s="253"/>
      <c r="N13" s="253"/>
      <c r="O13" s="253"/>
      <c r="P13" s="254"/>
    </row>
    <row r="14" spans="2:16" x14ac:dyDescent="0.25">
      <c r="C14">
        <f>C11+1</f>
        <v>3</v>
      </c>
      <c r="D14" s="1" t="s">
        <v>1010</v>
      </c>
      <c r="J14" s="252" t="s">
        <v>1007</v>
      </c>
      <c r="K14" s="253"/>
      <c r="L14" s="253"/>
      <c r="M14" s="253"/>
      <c r="N14" s="253"/>
      <c r="O14" s="253"/>
      <c r="P14" s="254"/>
    </row>
    <row r="15" spans="2:16" x14ac:dyDescent="0.25">
      <c r="C15">
        <f t="shared" ref="C15:C17" si="0">C14+1</f>
        <v>4</v>
      </c>
      <c r="D15" s="1" t="s">
        <v>1011</v>
      </c>
      <c r="J15" s="252"/>
      <c r="K15" s="253"/>
      <c r="L15" s="253"/>
      <c r="M15" s="253"/>
      <c r="N15" s="253"/>
      <c r="O15" s="253"/>
      <c r="P15" s="254"/>
    </row>
    <row r="16" spans="2:16" x14ac:dyDescent="0.25">
      <c r="C16">
        <v>4</v>
      </c>
      <c r="D16" s="1" t="s">
        <v>1012</v>
      </c>
      <c r="J16" s="255" t="s">
        <v>593</v>
      </c>
      <c r="K16" s="253"/>
      <c r="L16" s="253"/>
      <c r="M16" s="253"/>
      <c r="N16" s="253"/>
      <c r="O16" s="253"/>
      <c r="P16" s="254"/>
    </row>
    <row r="17" spans="2:16" x14ac:dyDescent="0.25">
      <c r="C17">
        <f t="shared" si="0"/>
        <v>5</v>
      </c>
      <c r="D17" s="1" t="s">
        <v>1013</v>
      </c>
      <c r="J17" s="252" t="s">
        <v>213</v>
      </c>
      <c r="K17" s="253"/>
      <c r="L17" s="253"/>
      <c r="M17" s="253"/>
      <c r="N17" s="253"/>
      <c r="O17" s="253"/>
      <c r="P17" s="254"/>
    </row>
    <row r="18" spans="2:16" x14ac:dyDescent="0.25">
      <c r="C18">
        <f>C17+1</f>
        <v>6</v>
      </c>
      <c r="D18" s="1" t="s">
        <v>1014</v>
      </c>
      <c r="J18" s="256" t="s">
        <v>990</v>
      </c>
      <c r="K18" s="257"/>
      <c r="L18" s="257"/>
      <c r="M18" s="257"/>
      <c r="N18" s="257"/>
      <c r="O18" s="257"/>
      <c r="P18" s="258"/>
    </row>
    <row r="19" spans="2:16" x14ac:dyDescent="0.25">
      <c r="C19">
        <f t="shared" ref="C19" si="1">C18+1</f>
        <v>7</v>
      </c>
      <c r="D19" s="1" t="s">
        <v>1015</v>
      </c>
    </row>
    <row r="20" spans="2:16" x14ac:dyDescent="0.25">
      <c r="B20" s="128" t="s">
        <v>210</v>
      </c>
      <c r="C20" s="1"/>
      <c r="G20" s="63"/>
    </row>
    <row r="21" spans="2:16" x14ac:dyDescent="0.25">
      <c r="B21" s="128"/>
      <c r="C21">
        <f>C19+1</f>
        <v>8</v>
      </c>
      <c r="D21" s="1" t="s">
        <v>1016</v>
      </c>
      <c r="G21" s="63"/>
    </row>
    <row r="22" spans="2:16" x14ac:dyDescent="0.25">
      <c r="B22" s="128"/>
      <c r="C22">
        <f>C21+1</f>
        <v>9</v>
      </c>
      <c r="D22" s="1" t="s">
        <v>1017</v>
      </c>
      <c r="G22" s="63"/>
    </row>
    <row r="23" spans="2:16" x14ac:dyDescent="0.25">
      <c r="B23" s="128" t="s">
        <v>212</v>
      </c>
      <c r="D23" s="64"/>
      <c r="E23" s="63"/>
      <c r="F23" s="63"/>
    </row>
    <row r="24" spans="2:16" x14ac:dyDescent="0.25">
      <c r="C24">
        <f>C22+1</f>
        <v>10</v>
      </c>
      <c r="D24" s="1" t="s">
        <v>1018</v>
      </c>
    </row>
    <row r="25" spans="2:16" x14ac:dyDescent="0.25">
      <c r="C25">
        <f>C24+1</f>
        <v>11</v>
      </c>
      <c r="D25" s="1" t="s">
        <v>1019</v>
      </c>
    </row>
    <row r="26" spans="2:16" x14ac:dyDescent="0.25">
      <c r="C26">
        <f t="shared" ref="C26:C40" si="2">C25+1</f>
        <v>12</v>
      </c>
      <c r="D26" s="1" t="s">
        <v>1020</v>
      </c>
    </row>
    <row r="27" spans="2:16" x14ac:dyDescent="0.25">
      <c r="C27">
        <f t="shared" si="2"/>
        <v>13</v>
      </c>
      <c r="D27" s="1" t="s">
        <v>1021</v>
      </c>
    </row>
    <row r="28" spans="2:16" x14ac:dyDescent="0.25">
      <c r="C28">
        <f t="shared" si="2"/>
        <v>14</v>
      </c>
      <c r="D28" s="1" t="s">
        <v>1022</v>
      </c>
    </row>
    <row r="29" spans="2:16" x14ac:dyDescent="0.25">
      <c r="C29">
        <f t="shared" si="2"/>
        <v>15</v>
      </c>
      <c r="D29" s="1" t="s">
        <v>1023</v>
      </c>
    </row>
    <row r="30" spans="2:16" x14ac:dyDescent="0.25">
      <c r="C30">
        <f t="shared" si="2"/>
        <v>16</v>
      </c>
      <c r="D30" s="1" t="s">
        <v>1024</v>
      </c>
    </row>
    <row r="31" spans="2:16" x14ac:dyDescent="0.25">
      <c r="C31">
        <f t="shared" si="2"/>
        <v>17</v>
      </c>
      <c r="D31" s="1" t="s">
        <v>1025</v>
      </c>
    </row>
    <row r="32" spans="2:16" x14ac:dyDescent="0.25">
      <c r="C32">
        <f t="shared" si="2"/>
        <v>18</v>
      </c>
      <c r="D32" s="1" t="s">
        <v>1026</v>
      </c>
    </row>
    <row r="33" spans="2:11" x14ac:dyDescent="0.25">
      <c r="C33">
        <f>C32+1</f>
        <v>19</v>
      </c>
      <c r="D33" s="1" t="s">
        <v>1027</v>
      </c>
      <c r="K33" s="1"/>
    </row>
    <row r="34" spans="2:11" x14ac:dyDescent="0.25">
      <c r="C34">
        <f t="shared" si="2"/>
        <v>20</v>
      </c>
      <c r="D34" s="1" t="s">
        <v>1028</v>
      </c>
      <c r="K34" s="1"/>
    </row>
    <row r="35" spans="2:11" x14ac:dyDescent="0.25">
      <c r="C35">
        <f t="shared" si="2"/>
        <v>21</v>
      </c>
      <c r="D35" s="1" t="s">
        <v>1029</v>
      </c>
      <c r="K35" s="1"/>
    </row>
    <row r="36" spans="2:11" x14ac:dyDescent="0.25">
      <c r="C36">
        <f t="shared" si="2"/>
        <v>22</v>
      </c>
      <c r="D36" s="1" t="s">
        <v>594</v>
      </c>
      <c r="K36" s="1"/>
    </row>
    <row r="37" spans="2:11" x14ac:dyDescent="0.25">
      <c r="C37">
        <f t="shared" si="2"/>
        <v>23</v>
      </c>
      <c r="D37" s="1" t="s">
        <v>1030</v>
      </c>
      <c r="K37" s="1"/>
    </row>
    <row r="38" spans="2:11" x14ac:dyDescent="0.25">
      <c r="B38" s="128" t="s">
        <v>1086</v>
      </c>
      <c r="K38" s="1"/>
    </row>
    <row r="39" spans="2:11" x14ac:dyDescent="0.25">
      <c r="C39">
        <f>C37+1</f>
        <v>24</v>
      </c>
      <c r="D39" s="1" t="s">
        <v>1031</v>
      </c>
    </row>
    <row r="40" spans="2:11" x14ac:dyDescent="0.25">
      <c r="C40">
        <f t="shared" si="2"/>
        <v>25</v>
      </c>
      <c r="D40" s="1" t="s">
        <v>1032</v>
      </c>
    </row>
    <row r="41" spans="2:11" x14ac:dyDescent="0.25">
      <c r="C41">
        <f>C40+1</f>
        <v>26</v>
      </c>
      <c r="D41" s="1" t="s">
        <v>1033</v>
      </c>
    </row>
    <row r="42" spans="2:11" x14ac:dyDescent="0.25">
      <c r="B42" s="128" t="s">
        <v>1087</v>
      </c>
    </row>
    <row r="43" spans="2:11" x14ac:dyDescent="0.25">
      <c r="C43">
        <f>C41+1</f>
        <v>27</v>
      </c>
      <c r="D43" s="1" t="s">
        <v>1034</v>
      </c>
    </row>
    <row r="44" spans="2:11" x14ac:dyDescent="0.25">
      <c r="C44">
        <v>28</v>
      </c>
      <c r="D44" s="1" t="s">
        <v>776</v>
      </c>
    </row>
  </sheetData>
  <mergeCells count="1">
    <mergeCell ref="B4:M8"/>
  </mergeCells>
  <hyperlinks>
    <hyperlink ref="D14" location="Déductions!A1" display="Déductions salaires, pensions (1978 - 2013)"/>
    <hyperlink ref="D15" location="RCM!A1" display="Revenu des valeurs et capitaux mobiliers (1980 - 2013)"/>
    <hyperlink ref="D16" location="micro!A1" display="Régimes micro-entreprise et foncier (1980 - 2013)"/>
    <hyperlink ref="D17" location="charg_deduc!A1" display="Charges déductibles du revenu brut global (1975 - 2013) "/>
    <hyperlink ref="D18" location="abat_RNI!A1" display="Abattement pour revenu net imposable ( 1978 - 2013)"/>
    <hyperlink ref="D19" location="exo_IR!A1" display="Exonération d'IR (1978 - 2013)"/>
    <hyperlink ref="D10" location="'Barème IR'!A1" display="Seuils et taux d'imposition au titre du barème de l'IR (1945 - 2013)"/>
    <hyperlink ref="D21" location="plaf_qf!A1" display="Plafonnement du quotient familial et décote (1978 - 2013)"/>
    <hyperlink ref="D22" location="pv!A1" display="Imposition des plus-values (1979 - 2013)"/>
    <hyperlink ref="D24" location="dons!A1" display="Dons (dons)"/>
    <hyperlink ref="D25" location="deduc_sal!A1" display="Cotisations syndicales (1989 - 2013)"/>
    <hyperlink ref="D26" location="SOFIPECHE!A1" display="Souscription au capital de SOFIPECHE (1999 - 2013)"/>
    <hyperlink ref="D27" location="sal_dom!A1" display="Emploi d'un salarié à domicile (1992 - 2013)"/>
    <hyperlink ref="D28" location="prest_compen!A1" display="Prestation compensatoire (2001 - 2013)"/>
    <hyperlink ref="D29" location="FCP!A1" display="Souscription de parts de fonds communs de placement dans l'innovation (1998 - 2013)"/>
    <hyperlink ref="D30" location="SOFICA!A1" display="Souscription au capital de SOFICA (1986 - 2013)"/>
    <hyperlink ref="D31" location="PME!A1" display="Souscription au capital des PME (1993 - 2013)"/>
    <hyperlink ref="D32" location="forêt!A1" display="Investissement et travaux forestiers (2002 - 2013)"/>
    <hyperlink ref="D33" location="enfscol!A1" display="Réductions pour enfants scolarisés (1993 - 2013)"/>
    <hyperlink ref="D34" location="heberg_santé!A1" display="Dépenses d’accueil dans un établissement pour personnes dépendantes (1990 - 2013)"/>
    <hyperlink ref="D35" location="habitat_princ!A1" display="Dépenses de gros travaux et Intérêts d'emprunt et ravalement (1980 - 2013)"/>
    <hyperlink ref="D36" location="codev!A1" display="Sommes versées sur un compte épargne codéveloppement (2010)"/>
    <hyperlink ref="D37" location="divers!A1" display="Autres réductions d'impôts (1979 - 2013)"/>
    <hyperlink ref="D39" location="gardenf!A1" display="Frais de garde d'enfants (1979 - 2013)"/>
    <hyperlink ref="D40" location="PPE!A1" display="Prime pour l'emploi (2001 - 2013)"/>
    <hyperlink ref="D41" location="plaf_nich!A1" display="Plafonnement global des niches (2009 - 2013)"/>
    <hyperlink ref="D43" location="taxe_HR!A1" display="Taxe exceptionnelle sur les hauts revenus (2012-2013)"/>
    <hyperlink ref="D44" location="majo_excep!A1" display="Majorations exceptionnelles (1947-1981)"/>
    <hyperlink ref="D11" location="'Barème IGR'!A1" display="Barème de l'impôt général sur le revenu IGR (1914-1944)"/>
  </hyperlinks>
  <pageMargins left="0.7" right="0.7" top="0.75" bottom="0.75" header="0.3" footer="0.3"/>
  <pageSetup paperSize="9"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F30" sqref="F30"/>
    </sheetView>
  </sheetViews>
  <sheetFormatPr baseColWidth="10" defaultColWidth="15.7109375" defaultRowHeight="15" x14ac:dyDescent="0.25"/>
  <cols>
    <col min="1" max="1" width="12" style="26" customWidth="1"/>
    <col min="2" max="2" width="12.7109375" style="26" bestFit="1" customWidth="1"/>
    <col min="3" max="3" width="22.5703125" style="26" customWidth="1"/>
    <col min="4" max="5" width="15.7109375" style="26"/>
    <col min="6" max="6" width="49.5703125" style="26" bestFit="1" customWidth="1"/>
    <col min="7" max="7" width="30.7109375" style="26" bestFit="1" customWidth="1"/>
    <col min="8" max="8" width="94.5703125" style="26" customWidth="1"/>
    <col min="9" max="16384" width="15.7109375" style="26"/>
  </cols>
  <sheetData>
    <row r="1" spans="1:8" hidden="1" x14ac:dyDescent="0.25">
      <c r="A1" s="269" t="s">
        <v>1130</v>
      </c>
      <c r="B1" s="269" t="s">
        <v>1131</v>
      </c>
      <c r="C1" s="262" t="s">
        <v>1138</v>
      </c>
      <c r="D1" s="262" t="s">
        <v>1139</v>
      </c>
      <c r="E1" s="262" t="s">
        <v>102</v>
      </c>
      <c r="F1" s="426" t="s">
        <v>1137</v>
      </c>
      <c r="G1" s="156"/>
      <c r="H1" s="141"/>
    </row>
    <row r="2" spans="1:8" x14ac:dyDescent="0.25">
      <c r="A2" s="486" t="s">
        <v>997</v>
      </c>
      <c r="B2" s="487"/>
      <c r="C2" s="492" t="s">
        <v>471</v>
      </c>
      <c r="D2" s="492"/>
      <c r="E2" s="492"/>
      <c r="F2" s="511" t="s">
        <v>588</v>
      </c>
      <c r="G2" s="511" t="s">
        <v>747</v>
      </c>
      <c r="H2" s="454" t="s">
        <v>1</v>
      </c>
    </row>
    <row r="3" spans="1:8" ht="25.5" x14ac:dyDescent="0.25">
      <c r="A3" s="383" t="s">
        <v>214</v>
      </c>
      <c r="B3" s="383" t="s">
        <v>996</v>
      </c>
      <c r="C3" s="167" t="s">
        <v>414</v>
      </c>
      <c r="D3" s="167" t="s">
        <v>415</v>
      </c>
      <c r="E3" s="167" t="s">
        <v>416</v>
      </c>
      <c r="F3" s="511"/>
      <c r="G3" s="511"/>
      <c r="H3" s="454"/>
    </row>
    <row r="4" spans="1:8" s="110" customFormat="1" x14ac:dyDescent="0.25">
      <c r="A4" s="142">
        <v>2014</v>
      </c>
      <c r="B4" s="142">
        <v>2013</v>
      </c>
      <c r="C4" s="59">
        <v>8680</v>
      </c>
      <c r="D4" s="59">
        <v>9490</v>
      </c>
      <c r="E4" s="59">
        <v>17163</v>
      </c>
      <c r="F4" s="208"/>
      <c r="G4" s="208"/>
      <c r="H4" s="241"/>
    </row>
    <row r="5" spans="1:8" s="110" customFormat="1" x14ac:dyDescent="0.25">
      <c r="A5" s="142">
        <v>2013</v>
      </c>
      <c r="B5" s="142">
        <v>2012</v>
      </c>
      <c r="C5" s="59">
        <v>8610</v>
      </c>
      <c r="D5" s="59">
        <v>9410</v>
      </c>
      <c r="E5" s="59">
        <v>16944</v>
      </c>
      <c r="F5" s="208"/>
      <c r="G5" s="208"/>
      <c r="H5" s="241"/>
    </row>
    <row r="6" spans="1:8" s="110" customFormat="1" ht="15" customHeight="1" x14ac:dyDescent="0.25">
      <c r="A6" s="142">
        <v>2012</v>
      </c>
      <c r="B6" s="142">
        <v>2011</v>
      </c>
      <c r="C6" s="59">
        <v>8440</v>
      </c>
      <c r="D6" s="59">
        <v>9220</v>
      </c>
      <c r="E6" s="59">
        <v>16416</v>
      </c>
      <c r="F6" s="320"/>
      <c r="G6" s="212" t="s">
        <v>484</v>
      </c>
      <c r="H6" s="79"/>
    </row>
    <row r="7" spans="1:8" s="50" customFormat="1" x14ac:dyDescent="0.25">
      <c r="A7" s="142">
        <v>2011</v>
      </c>
      <c r="B7" s="142">
        <v>2010</v>
      </c>
      <c r="C7" s="59">
        <v>8440</v>
      </c>
      <c r="D7" s="59">
        <v>9220</v>
      </c>
      <c r="E7" s="133">
        <v>16380</v>
      </c>
      <c r="F7" s="326" t="s">
        <v>101</v>
      </c>
      <c r="G7" s="163" t="s">
        <v>14</v>
      </c>
      <c r="H7" s="79"/>
    </row>
    <row r="8" spans="1:8" s="50" customFormat="1" x14ac:dyDescent="0.25">
      <c r="A8" s="142">
        <v>2010</v>
      </c>
      <c r="B8" s="142">
        <v>2009</v>
      </c>
      <c r="C8" s="59">
        <v>8310</v>
      </c>
      <c r="D8" s="59">
        <v>9080</v>
      </c>
      <c r="E8" s="133">
        <v>16125.199999999999</v>
      </c>
      <c r="F8" s="323" t="s">
        <v>100</v>
      </c>
      <c r="G8" s="163" t="s">
        <v>15</v>
      </c>
      <c r="H8" s="79"/>
    </row>
    <row r="9" spans="1:8" s="50" customFormat="1" x14ac:dyDescent="0.25">
      <c r="A9" s="142">
        <v>2009</v>
      </c>
      <c r="B9" s="142">
        <v>2008</v>
      </c>
      <c r="C9" s="59">
        <v>8270</v>
      </c>
      <c r="D9" s="59">
        <v>9040</v>
      </c>
      <c r="E9" s="133">
        <v>16052.4</v>
      </c>
      <c r="F9" s="323" t="s">
        <v>482</v>
      </c>
      <c r="G9" s="163" t="s">
        <v>16</v>
      </c>
      <c r="H9" s="277"/>
    </row>
    <row r="10" spans="1:8" s="50" customFormat="1" x14ac:dyDescent="0.25">
      <c r="A10" s="142">
        <v>2008</v>
      </c>
      <c r="B10" s="142">
        <v>2007</v>
      </c>
      <c r="C10" s="147">
        <v>8030</v>
      </c>
      <c r="D10" s="147">
        <v>8780</v>
      </c>
      <c r="E10" s="133">
        <v>15852.2</v>
      </c>
      <c r="F10" s="323" t="s">
        <v>483</v>
      </c>
      <c r="G10" s="149" t="s">
        <v>17</v>
      </c>
      <c r="H10" s="306" t="s">
        <v>748</v>
      </c>
    </row>
    <row r="11" spans="1:8" s="50" customFormat="1" ht="30" x14ac:dyDescent="0.25">
      <c r="A11" s="142">
        <v>2007</v>
      </c>
      <c r="B11" s="142">
        <v>2006</v>
      </c>
      <c r="C11" s="147">
        <v>7920</v>
      </c>
      <c r="D11" s="147">
        <v>8660</v>
      </c>
      <c r="E11" s="133">
        <v>15360.8</v>
      </c>
      <c r="F11" s="321"/>
      <c r="G11" s="163" t="s">
        <v>18</v>
      </c>
      <c r="H11" s="306" t="s">
        <v>522</v>
      </c>
    </row>
    <row r="12" spans="1:8" s="50" customFormat="1" x14ac:dyDescent="0.25">
      <c r="A12" s="142">
        <v>2006</v>
      </c>
      <c r="B12" s="142">
        <v>2005</v>
      </c>
      <c r="C12" s="147">
        <v>7780</v>
      </c>
      <c r="D12" s="147">
        <v>8507</v>
      </c>
      <c r="E12" s="133">
        <v>15051.4</v>
      </c>
      <c r="F12" s="321"/>
      <c r="G12" s="163" t="s">
        <v>19</v>
      </c>
      <c r="H12" s="43"/>
    </row>
    <row r="13" spans="1:8" s="50" customFormat="1" x14ac:dyDescent="0.25">
      <c r="A13" s="142">
        <v>2005</v>
      </c>
      <c r="B13" s="142">
        <v>2004</v>
      </c>
      <c r="C13" s="133">
        <v>7640</v>
      </c>
      <c r="D13" s="133">
        <v>8340</v>
      </c>
      <c r="E13" s="133">
        <f>C13</f>
        <v>7640</v>
      </c>
      <c r="F13" s="321"/>
      <c r="G13" s="163" t="s">
        <v>20</v>
      </c>
      <c r="H13" s="43"/>
    </row>
    <row r="14" spans="1:8" s="50" customFormat="1" x14ac:dyDescent="0.25">
      <c r="A14" s="142">
        <v>2004</v>
      </c>
      <c r="B14" s="142">
        <v>2003</v>
      </c>
      <c r="C14" s="133">
        <v>7510</v>
      </c>
      <c r="D14" s="133">
        <v>8200</v>
      </c>
      <c r="E14" s="133">
        <f>C14</f>
        <v>7510</v>
      </c>
      <c r="F14" s="321"/>
      <c r="G14" s="163" t="s">
        <v>21</v>
      </c>
      <c r="H14" s="43"/>
    </row>
    <row r="15" spans="1:8" s="50" customFormat="1" x14ac:dyDescent="0.25">
      <c r="A15" s="142">
        <v>2003</v>
      </c>
      <c r="B15" s="142">
        <v>2002</v>
      </c>
      <c r="C15" s="133">
        <v>7380</v>
      </c>
      <c r="D15" s="133">
        <v>8060</v>
      </c>
      <c r="E15" s="133">
        <f t="shared" ref="E15:E23" si="0">C15</f>
        <v>7380</v>
      </c>
      <c r="F15" s="321"/>
      <c r="G15" s="163" t="s">
        <v>22</v>
      </c>
      <c r="H15" s="43"/>
    </row>
    <row r="16" spans="1:8" s="50" customFormat="1" x14ac:dyDescent="0.25">
      <c r="A16" s="142">
        <v>2002</v>
      </c>
      <c r="B16" s="142">
        <v>2001</v>
      </c>
      <c r="C16" s="133">
        <v>7250</v>
      </c>
      <c r="D16" s="133">
        <v>7920</v>
      </c>
      <c r="E16" s="133">
        <f t="shared" si="0"/>
        <v>7250</v>
      </c>
      <c r="F16" s="321" t="s">
        <v>749</v>
      </c>
      <c r="G16" s="163" t="s">
        <v>23</v>
      </c>
      <c r="H16" s="43"/>
    </row>
    <row r="17" spans="1:8" s="51" customFormat="1" x14ac:dyDescent="0.25">
      <c r="A17" s="142">
        <v>2001</v>
      </c>
      <c r="B17" s="142">
        <v>2000</v>
      </c>
      <c r="C17" s="135">
        <v>46800</v>
      </c>
      <c r="D17" s="135">
        <v>51100</v>
      </c>
      <c r="E17" s="135">
        <f t="shared" si="0"/>
        <v>46800</v>
      </c>
      <c r="F17" s="144"/>
      <c r="G17" s="163" t="s">
        <v>24</v>
      </c>
      <c r="H17" s="136"/>
    </row>
    <row r="18" spans="1:8" s="51" customFormat="1" x14ac:dyDescent="0.25">
      <c r="A18" s="142">
        <v>2000</v>
      </c>
      <c r="B18" s="142">
        <v>1999</v>
      </c>
      <c r="C18" s="135">
        <v>46100</v>
      </c>
      <c r="D18" s="135">
        <v>50300</v>
      </c>
      <c r="E18" s="135">
        <f t="shared" si="0"/>
        <v>46100</v>
      </c>
      <c r="F18" s="144"/>
      <c r="G18" s="212" t="s">
        <v>417</v>
      </c>
      <c r="H18" s="48"/>
    </row>
    <row r="19" spans="1:8" s="51" customFormat="1" x14ac:dyDescent="0.25">
      <c r="A19" s="142">
        <v>1999</v>
      </c>
      <c r="B19" s="142">
        <v>1998</v>
      </c>
      <c r="C19" s="135">
        <v>45800</v>
      </c>
      <c r="D19" s="135">
        <v>50000</v>
      </c>
      <c r="E19" s="135">
        <f t="shared" si="0"/>
        <v>45800</v>
      </c>
      <c r="F19" s="144"/>
      <c r="G19" s="163" t="s">
        <v>24</v>
      </c>
      <c r="H19" s="48"/>
    </row>
    <row r="20" spans="1:8" s="51" customFormat="1" x14ac:dyDescent="0.25">
      <c r="A20" s="142">
        <v>1998</v>
      </c>
      <c r="B20" s="142">
        <v>1997</v>
      </c>
      <c r="C20" s="135">
        <v>45400</v>
      </c>
      <c r="D20" s="135">
        <v>49500</v>
      </c>
      <c r="E20" s="135">
        <f t="shared" si="0"/>
        <v>45400</v>
      </c>
      <c r="F20" s="144"/>
      <c r="G20" s="144"/>
      <c r="H20" s="55"/>
    </row>
    <row r="21" spans="1:8" s="51" customFormat="1" x14ac:dyDescent="0.25">
      <c r="A21" s="142">
        <v>1997</v>
      </c>
      <c r="B21" s="142">
        <v>1996</v>
      </c>
      <c r="C21" s="135">
        <v>44900</v>
      </c>
      <c r="D21" s="135">
        <v>48900</v>
      </c>
      <c r="E21" s="135">
        <f t="shared" si="0"/>
        <v>44900</v>
      </c>
      <c r="F21" s="136"/>
      <c r="G21" s="144"/>
      <c r="H21" s="48"/>
    </row>
    <row r="22" spans="1:8" s="51" customFormat="1" x14ac:dyDescent="0.25">
      <c r="A22" s="142">
        <v>1996</v>
      </c>
      <c r="B22" s="142">
        <v>1995</v>
      </c>
      <c r="C22" s="135">
        <v>44000</v>
      </c>
      <c r="D22" s="135">
        <v>47900</v>
      </c>
      <c r="E22" s="135">
        <f t="shared" si="0"/>
        <v>44000</v>
      </c>
      <c r="F22" s="136"/>
      <c r="G22" s="136"/>
      <c r="H22" s="48"/>
    </row>
    <row r="23" spans="1:8" s="51" customFormat="1" x14ac:dyDescent="0.25">
      <c r="A23" s="142">
        <v>1995</v>
      </c>
      <c r="B23" s="142">
        <v>1994</v>
      </c>
      <c r="C23" s="135">
        <v>43200</v>
      </c>
      <c r="D23" s="135">
        <v>47000</v>
      </c>
      <c r="E23" s="135">
        <f t="shared" si="0"/>
        <v>43200</v>
      </c>
      <c r="F23" s="136"/>
      <c r="G23" s="145"/>
      <c r="H23" s="48"/>
    </row>
    <row r="24" spans="1:8" x14ac:dyDescent="0.25">
      <c r="A24" s="142">
        <v>1994</v>
      </c>
      <c r="B24" s="142">
        <v>1993</v>
      </c>
      <c r="C24" s="34" t="s">
        <v>334</v>
      </c>
      <c r="D24" s="34" t="s">
        <v>333</v>
      </c>
      <c r="E24" s="183" t="s">
        <v>343</v>
      </c>
      <c r="F24" s="145"/>
      <c r="G24" s="145"/>
      <c r="H24" s="48"/>
    </row>
    <row r="25" spans="1:8" x14ac:dyDescent="0.25">
      <c r="A25" s="142">
        <v>1993</v>
      </c>
      <c r="B25" s="142">
        <v>1992</v>
      </c>
      <c r="C25" s="135">
        <v>41700</v>
      </c>
      <c r="D25" s="135">
        <v>45400</v>
      </c>
      <c r="E25" s="27" t="s">
        <v>344</v>
      </c>
      <c r="F25" s="145"/>
      <c r="G25" s="145"/>
      <c r="H25" s="48"/>
    </row>
    <row r="26" spans="1:8" x14ac:dyDescent="0.25">
      <c r="A26" s="142">
        <v>1992</v>
      </c>
      <c r="B26" s="142">
        <v>1991</v>
      </c>
      <c r="C26" s="135">
        <v>40500</v>
      </c>
      <c r="D26" s="135">
        <v>44100</v>
      </c>
      <c r="E26" s="27" t="s">
        <v>345</v>
      </c>
      <c r="F26" s="136"/>
      <c r="G26" s="136"/>
      <c r="H26" s="136"/>
    </row>
    <row r="27" spans="1:8" x14ac:dyDescent="0.25">
      <c r="A27" s="142">
        <v>1991</v>
      </c>
      <c r="B27" s="142">
        <v>1990</v>
      </c>
      <c r="C27" s="34" t="s">
        <v>330</v>
      </c>
      <c r="D27" s="34" t="s">
        <v>331</v>
      </c>
      <c r="E27" s="27" t="s">
        <v>330</v>
      </c>
      <c r="F27" s="136"/>
      <c r="G27" s="136"/>
      <c r="H27" s="136"/>
    </row>
    <row r="28" spans="1:8" x14ac:dyDescent="0.25">
      <c r="A28" s="142">
        <v>1990</v>
      </c>
      <c r="B28" s="142">
        <v>1989</v>
      </c>
      <c r="C28" s="135"/>
      <c r="D28" s="135"/>
      <c r="E28" s="136"/>
      <c r="F28" s="136"/>
      <c r="G28" s="136"/>
      <c r="H28" s="136"/>
    </row>
    <row r="29" spans="1:8" x14ac:dyDescent="0.25">
      <c r="A29" s="142">
        <v>1989</v>
      </c>
      <c r="B29" s="142">
        <v>1988</v>
      </c>
      <c r="C29" s="135">
        <v>36700</v>
      </c>
      <c r="D29" s="135">
        <v>40000</v>
      </c>
      <c r="E29" s="27" t="s">
        <v>346</v>
      </c>
      <c r="F29" s="136"/>
      <c r="G29" s="136"/>
      <c r="H29" s="136"/>
    </row>
    <row r="30" spans="1:8" x14ac:dyDescent="0.25">
      <c r="A30" s="142">
        <v>1988</v>
      </c>
      <c r="B30" s="142">
        <v>1987</v>
      </c>
      <c r="C30" s="34" t="s">
        <v>366</v>
      </c>
      <c r="D30" s="34" t="s">
        <v>367</v>
      </c>
      <c r="E30" s="27" t="s">
        <v>366</v>
      </c>
      <c r="F30" s="136"/>
      <c r="G30" s="136"/>
      <c r="H30" s="136"/>
    </row>
    <row r="31" spans="1:8" x14ac:dyDescent="0.25">
      <c r="A31" s="142">
        <v>1987</v>
      </c>
      <c r="B31" s="142">
        <v>1986</v>
      </c>
      <c r="C31" s="135">
        <v>34500</v>
      </c>
      <c r="D31" s="135">
        <v>37600</v>
      </c>
      <c r="E31" s="27" t="s">
        <v>347</v>
      </c>
      <c r="F31" s="136"/>
      <c r="G31" s="136"/>
      <c r="H31" s="136"/>
    </row>
    <row r="32" spans="1:8" x14ac:dyDescent="0.25">
      <c r="A32" s="142">
        <v>1986</v>
      </c>
      <c r="B32" s="142">
        <v>1985</v>
      </c>
      <c r="C32" s="135">
        <v>33600</v>
      </c>
      <c r="D32" s="135">
        <v>36700</v>
      </c>
      <c r="E32" s="27" t="s">
        <v>348</v>
      </c>
      <c r="F32" s="136"/>
      <c r="G32" s="136"/>
      <c r="H32" s="136"/>
    </row>
    <row r="33" spans="1:8" x14ac:dyDescent="0.25">
      <c r="A33" s="142">
        <v>1985</v>
      </c>
      <c r="B33" s="142">
        <v>1984</v>
      </c>
      <c r="C33" s="34" t="s">
        <v>373</v>
      </c>
      <c r="D33" s="34" t="s">
        <v>374</v>
      </c>
      <c r="E33" s="27" t="s">
        <v>373</v>
      </c>
      <c r="F33" s="136"/>
      <c r="G33" s="136"/>
      <c r="H33" s="136"/>
    </row>
    <row r="34" spans="1:8" x14ac:dyDescent="0.25">
      <c r="A34" s="142">
        <v>1984</v>
      </c>
      <c r="B34" s="142">
        <v>1983</v>
      </c>
      <c r="C34" s="135"/>
      <c r="D34" s="135"/>
      <c r="E34" s="136"/>
      <c r="F34" s="136"/>
      <c r="G34" s="136"/>
      <c r="H34" s="136"/>
    </row>
    <row r="35" spans="1:8" x14ac:dyDescent="0.25">
      <c r="A35" s="142">
        <v>1983</v>
      </c>
      <c r="B35" s="142">
        <v>1982</v>
      </c>
      <c r="C35" s="135"/>
      <c r="D35" s="135"/>
      <c r="E35" s="136"/>
      <c r="F35" s="136"/>
      <c r="G35" s="136"/>
      <c r="H35" s="136"/>
    </row>
    <row r="36" spans="1:8" x14ac:dyDescent="0.25">
      <c r="A36" s="142">
        <v>1982</v>
      </c>
      <c r="B36" s="142">
        <v>1981</v>
      </c>
      <c r="C36" s="34" t="s">
        <v>266</v>
      </c>
      <c r="D36" s="34" t="s">
        <v>267</v>
      </c>
      <c r="E36" s="27" t="s">
        <v>266</v>
      </c>
      <c r="F36" s="136"/>
      <c r="G36" s="136"/>
      <c r="H36" s="136"/>
    </row>
    <row r="37" spans="1:8" x14ac:dyDescent="0.25">
      <c r="A37" s="142">
        <v>1981</v>
      </c>
      <c r="B37" s="142">
        <v>1980</v>
      </c>
      <c r="C37" s="34" t="s">
        <v>264</v>
      </c>
      <c r="D37" s="34" t="s">
        <v>265</v>
      </c>
      <c r="E37" s="27" t="s">
        <v>264</v>
      </c>
      <c r="F37" s="136"/>
      <c r="G37" s="136"/>
      <c r="H37" s="136"/>
    </row>
    <row r="38" spans="1:8" x14ac:dyDescent="0.25">
      <c r="A38" s="142">
        <v>1980</v>
      </c>
      <c r="B38" s="142">
        <v>1979</v>
      </c>
      <c r="C38" s="34" t="s">
        <v>262</v>
      </c>
      <c r="D38" s="34" t="s">
        <v>263</v>
      </c>
      <c r="E38" s="27" t="s">
        <v>262</v>
      </c>
      <c r="F38" s="136"/>
      <c r="G38" s="136"/>
      <c r="H38" s="136"/>
    </row>
    <row r="39" spans="1:8" x14ac:dyDescent="0.25">
      <c r="A39" s="142">
        <v>1979</v>
      </c>
      <c r="B39" s="142">
        <v>1978</v>
      </c>
      <c r="C39" s="135">
        <v>16800</v>
      </c>
      <c r="D39" s="135">
        <v>18300</v>
      </c>
      <c r="E39" s="27" t="s">
        <v>349</v>
      </c>
      <c r="F39" s="136"/>
      <c r="G39" s="136"/>
      <c r="H39" s="136"/>
    </row>
    <row r="40" spans="1:8" x14ac:dyDescent="0.25">
      <c r="A40" s="142">
        <v>1978</v>
      </c>
      <c r="B40" s="142">
        <v>1977</v>
      </c>
      <c r="C40" s="135">
        <v>15200</v>
      </c>
      <c r="D40" s="135">
        <v>16600</v>
      </c>
      <c r="E40" s="27" t="s">
        <v>350</v>
      </c>
      <c r="F40" s="136"/>
      <c r="G40" s="136"/>
      <c r="H40" s="136"/>
    </row>
    <row r="42" spans="1:8" x14ac:dyDescent="0.25">
      <c r="C42" s="289" t="s">
        <v>511</v>
      </c>
    </row>
    <row r="43" spans="1:8" x14ac:dyDescent="0.25">
      <c r="C43" s="159" t="s">
        <v>521</v>
      </c>
    </row>
    <row r="44" spans="1:8" x14ac:dyDescent="0.25">
      <c r="C44" s="279" t="s">
        <v>523</v>
      </c>
    </row>
    <row r="45" spans="1:8" x14ac:dyDescent="0.25">
      <c r="C45" s="279" t="s">
        <v>524</v>
      </c>
    </row>
    <row r="91" spans="1:2" x14ac:dyDescent="0.25">
      <c r="A91" s="52"/>
      <c r="B91" s="52"/>
    </row>
    <row r="92" spans="1:2" x14ac:dyDescent="0.25">
      <c r="A92" s="52"/>
      <c r="B92" s="52"/>
    </row>
    <row r="93" spans="1:2" x14ac:dyDescent="0.25">
      <c r="A93" s="52"/>
      <c r="B93" s="52"/>
    </row>
    <row r="94" spans="1:2" x14ac:dyDescent="0.25">
      <c r="A94" s="52"/>
      <c r="B94" s="52"/>
    </row>
    <row r="95" spans="1:2" x14ac:dyDescent="0.25">
      <c r="A95" s="52"/>
      <c r="B95" s="52"/>
    </row>
  </sheetData>
  <mergeCells count="5">
    <mergeCell ref="C2:E2"/>
    <mergeCell ref="G2:G3"/>
    <mergeCell ref="F2:F3"/>
    <mergeCell ref="H2:H3"/>
    <mergeCell ref="A2:B2"/>
  </mergeCells>
  <hyperlinks>
    <hyperlink ref="F8" r:id="rId1" location="LEGIARTI000022169561" display="http://www.legifrance.gouv.fr/affichTexteArticle.do;jsessionid=A03575D90595BEEB58D0BA21CE300CE0.tpdjo08v_2?cidTexte=JORFTEXT000022166146&amp;idArticle=LEGIARTI000022169561&amp;dateTexte=20110611&amp;categorieLien=id - LEGIARTI000022169561"/>
    <hyperlink ref="F9" r:id="rId2" location="LEGIARTI000020499734" display="http://www.legifrance.gouv.fr/affichTexteArticle.do;jsessionid=A03575D90595BEEB58D0BA21CE300CE0.tpdjo08v_2?cidTexte=JORFTEXT000020496091&amp;idArticle=LEGIARTI000020499734&amp;dateTexte=20100430&amp;categorieLien=id - LEGIARTI000020499734"/>
    <hyperlink ref="F10" r:id="rId3" location="LEGIARTI000018559051" display="http://www.legifrance.gouv.fr/affichTexteArticle.do;jsessionid=A03575D90595BEEB58D0BA21CE300CE0.tpdjo08v_2?cidTexte=JORFTEXT000018557013&amp;idArticle=LEGIARTI000018559051&amp;dateTexte=20090409&amp;categorieLien=id - LEGIARTI000018559051"/>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zoomScale="85" zoomScaleNormal="85" workbookViewId="0">
      <pane xSplit="2" ySplit="3" topLeftCell="C41" activePane="bottomRight" state="frozen"/>
      <selection activeCell="C3" sqref="C3:E3"/>
      <selection pane="topRight" activeCell="C3" sqref="C3:E3"/>
      <selection pane="bottomLeft" activeCell="C3" sqref="C3:E3"/>
      <selection pane="bottomRight" activeCell="C62" sqref="C62"/>
    </sheetView>
  </sheetViews>
  <sheetFormatPr baseColWidth="10" defaultColWidth="15.7109375" defaultRowHeight="15" x14ac:dyDescent="0.25"/>
  <cols>
    <col min="1" max="1" width="9.85546875" style="50" customWidth="1"/>
    <col min="2" max="2" width="14.85546875" style="50" customWidth="1"/>
    <col min="3" max="3" width="15.7109375" style="50" customWidth="1"/>
    <col min="4" max="4" width="16.85546875" style="26" customWidth="1"/>
    <col min="5" max="5" width="19.42578125" style="26" customWidth="1"/>
    <col min="6" max="6" width="22.140625" style="26" customWidth="1"/>
    <col min="7" max="7" width="17.140625" style="26" customWidth="1"/>
    <col min="8" max="8" width="20.42578125" style="26" customWidth="1"/>
    <col min="9" max="9" width="19.140625" style="26" customWidth="1"/>
    <col min="10" max="10" width="19.140625" style="286" customWidth="1"/>
    <col min="11" max="11" width="33.85546875" style="26" customWidth="1"/>
    <col min="12" max="12" width="30.140625" style="26" bestFit="1" customWidth="1"/>
    <col min="13" max="13" width="255.7109375" style="26" bestFit="1" customWidth="1"/>
    <col min="14" max="16384" width="15.7109375" style="26"/>
  </cols>
  <sheetData>
    <row r="1" spans="1:13" hidden="1" x14ac:dyDescent="0.25">
      <c r="A1" s="269" t="s">
        <v>1130</v>
      </c>
      <c r="B1" s="269" t="s">
        <v>1131</v>
      </c>
      <c r="C1" s="269" t="s">
        <v>353</v>
      </c>
      <c r="D1" s="269" t="s">
        <v>41</v>
      </c>
      <c r="E1" s="270" t="s">
        <v>42</v>
      </c>
      <c r="F1" s="265" t="s">
        <v>43</v>
      </c>
      <c r="G1" s="265" t="s">
        <v>44</v>
      </c>
      <c r="H1" s="265" t="s">
        <v>473</v>
      </c>
      <c r="I1" s="265" t="s">
        <v>58</v>
      </c>
      <c r="J1" s="265"/>
      <c r="K1" s="269" t="s">
        <v>1135</v>
      </c>
      <c r="L1" s="140"/>
      <c r="M1" s="141"/>
    </row>
    <row r="2" spans="1:13" x14ac:dyDescent="0.25">
      <c r="A2" s="486" t="s">
        <v>997</v>
      </c>
      <c r="B2" s="487"/>
      <c r="C2" s="454" t="s">
        <v>699</v>
      </c>
      <c r="D2" s="454"/>
      <c r="E2" s="454"/>
      <c r="F2" s="454"/>
      <c r="G2" s="465"/>
      <c r="H2" s="172"/>
      <c r="I2" s="513" t="s">
        <v>421</v>
      </c>
      <c r="J2" s="514"/>
      <c r="K2" s="498" t="s">
        <v>588</v>
      </c>
      <c r="L2" s="516" t="s">
        <v>667</v>
      </c>
      <c r="M2" s="498" t="s">
        <v>1</v>
      </c>
    </row>
    <row r="3" spans="1:13" ht="45" x14ac:dyDescent="0.25">
      <c r="A3" s="383" t="s">
        <v>214</v>
      </c>
      <c r="B3" s="383" t="s">
        <v>996</v>
      </c>
      <c r="C3" s="175" t="s">
        <v>693</v>
      </c>
      <c r="D3" s="175" t="s">
        <v>418</v>
      </c>
      <c r="E3" s="175" t="s">
        <v>419</v>
      </c>
      <c r="F3" s="213" t="s">
        <v>420</v>
      </c>
      <c r="G3" s="213" t="s">
        <v>485</v>
      </c>
      <c r="H3" s="213" t="s">
        <v>472</v>
      </c>
      <c r="I3" s="456" t="s">
        <v>705</v>
      </c>
      <c r="J3" s="457"/>
      <c r="K3" s="499"/>
      <c r="L3" s="517"/>
      <c r="M3" s="499"/>
    </row>
    <row r="4" spans="1:13" s="110" customFormat="1" x14ac:dyDescent="0.25">
      <c r="A4" s="142">
        <v>2014</v>
      </c>
      <c r="B4" s="142">
        <v>2013</v>
      </c>
      <c r="C4" s="142"/>
      <c r="D4" s="272">
        <v>1500</v>
      </c>
      <c r="E4" s="272">
        <v>3540</v>
      </c>
      <c r="F4" s="147">
        <v>897</v>
      </c>
      <c r="G4" s="133">
        <v>1497</v>
      </c>
      <c r="H4" s="133">
        <v>1672</v>
      </c>
      <c r="I4" s="59">
        <v>508</v>
      </c>
      <c r="J4" s="139"/>
      <c r="K4" s="305" t="s">
        <v>872</v>
      </c>
      <c r="L4" s="163" t="s">
        <v>506</v>
      </c>
      <c r="M4" s="452" t="s">
        <v>510</v>
      </c>
    </row>
    <row r="5" spans="1:13" s="110" customFormat="1" x14ac:dyDescent="0.25">
      <c r="A5" s="142">
        <v>2013</v>
      </c>
      <c r="B5" s="142">
        <v>2012</v>
      </c>
      <c r="C5" s="142"/>
      <c r="D5" s="32">
        <v>2000</v>
      </c>
      <c r="E5" s="32">
        <v>4040</v>
      </c>
      <c r="F5" s="133">
        <v>897</v>
      </c>
      <c r="G5" s="133">
        <v>997</v>
      </c>
      <c r="H5" s="133">
        <v>2336</v>
      </c>
      <c r="I5" s="133">
        <v>480</v>
      </c>
      <c r="J5" s="139"/>
      <c r="K5" s="305" t="s">
        <v>834</v>
      </c>
      <c r="L5" s="208"/>
      <c r="M5" s="515"/>
    </row>
    <row r="6" spans="1:13" s="110" customFormat="1" x14ac:dyDescent="0.25">
      <c r="A6" s="142">
        <v>2012</v>
      </c>
      <c r="B6" s="142">
        <v>2011</v>
      </c>
      <c r="C6" s="142"/>
      <c r="D6" s="164">
        <v>2336</v>
      </c>
      <c r="E6" s="32">
        <v>4040</v>
      </c>
      <c r="F6" s="133">
        <v>897</v>
      </c>
      <c r="G6" s="133">
        <v>661</v>
      </c>
      <c r="H6" s="133">
        <f>D6</f>
        <v>2336</v>
      </c>
      <c r="I6" s="133">
        <v>439</v>
      </c>
      <c r="J6" s="139"/>
      <c r="K6" s="305" t="s">
        <v>865</v>
      </c>
      <c r="L6" s="208"/>
      <c r="M6" s="452" t="s">
        <v>507</v>
      </c>
    </row>
    <row r="7" spans="1:13" s="50" customFormat="1" x14ac:dyDescent="0.25">
      <c r="A7" s="142">
        <v>2011</v>
      </c>
      <c r="B7" s="142">
        <v>2010</v>
      </c>
      <c r="C7" s="142"/>
      <c r="D7" s="164">
        <v>2336</v>
      </c>
      <c r="E7" s="32">
        <v>4040</v>
      </c>
      <c r="F7" s="133">
        <v>897</v>
      </c>
      <c r="G7" s="133">
        <v>661</v>
      </c>
      <c r="H7" s="133">
        <f t="shared" ref="H7:H19" si="0">D7</f>
        <v>2336</v>
      </c>
      <c r="I7" s="133">
        <v>439</v>
      </c>
      <c r="J7" s="139"/>
      <c r="K7" s="305" t="s">
        <v>835</v>
      </c>
      <c r="L7" s="163" t="s">
        <v>14</v>
      </c>
      <c r="M7" s="515"/>
    </row>
    <row r="8" spans="1:13" s="50" customFormat="1" x14ac:dyDescent="0.25">
      <c r="A8" s="142">
        <v>2010</v>
      </c>
      <c r="B8" s="142">
        <v>2009</v>
      </c>
      <c r="C8" s="142"/>
      <c r="D8" s="164">
        <v>2301</v>
      </c>
      <c r="E8" s="32">
        <v>3980</v>
      </c>
      <c r="F8" s="133">
        <v>884</v>
      </c>
      <c r="G8" s="133">
        <v>661</v>
      </c>
      <c r="H8" s="133">
        <f t="shared" si="0"/>
        <v>2301</v>
      </c>
      <c r="I8" s="133">
        <v>433</v>
      </c>
      <c r="J8" s="139"/>
      <c r="K8" s="305" t="s">
        <v>836</v>
      </c>
      <c r="L8" s="163" t="s">
        <v>15</v>
      </c>
      <c r="M8" s="43"/>
    </row>
    <row r="9" spans="1:13" s="50" customFormat="1" x14ac:dyDescent="0.25">
      <c r="A9" s="142">
        <v>2009</v>
      </c>
      <c r="B9" s="142">
        <v>2008</v>
      </c>
      <c r="C9" s="142"/>
      <c r="D9" s="164">
        <v>2292</v>
      </c>
      <c r="E9" s="32">
        <v>3964</v>
      </c>
      <c r="F9" s="133">
        <v>880</v>
      </c>
      <c r="G9" s="133">
        <v>661</v>
      </c>
      <c r="H9" s="133">
        <f t="shared" si="0"/>
        <v>2292</v>
      </c>
      <c r="I9" s="133">
        <v>431</v>
      </c>
      <c r="J9" s="139"/>
      <c r="K9" s="305" t="s">
        <v>837</v>
      </c>
      <c r="L9" s="163" t="s">
        <v>16</v>
      </c>
      <c r="M9" s="43"/>
    </row>
    <row r="10" spans="1:13" s="50" customFormat="1" x14ac:dyDescent="0.25">
      <c r="A10" s="142">
        <v>2008</v>
      </c>
      <c r="B10" s="142">
        <v>2007</v>
      </c>
      <c r="C10" s="142"/>
      <c r="D10" s="164">
        <v>2227</v>
      </c>
      <c r="E10" s="32">
        <v>3852</v>
      </c>
      <c r="F10" s="133">
        <v>855</v>
      </c>
      <c r="G10" s="133">
        <v>661</v>
      </c>
      <c r="H10" s="133">
        <f t="shared" si="0"/>
        <v>2227</v>
      </c>
      <c r="I10" s="133">
        <v>419</v>
      </c>
      <c r="J10" s="139"/>
      <c r="K10" s="305" t="s">
        <v>838</v>
      </c>
      <c r="L10" s="149" t="s">
        <v>17</v>
      </c>
      <c r="M10" s="43"/>
    </row>
    <row r="11" spans="1:13" s="50" customFormat="1" x14ac:dyDescent="0.25">
      <c r="A11" s="142">
        <v>2007</v>
      </c>
      <c r="B11" s="142">
        <v>2006</v>
      </c>
      <c r="C11" s="142"/>
      <c r="D11" s="164">
        <v>2198</v>
      </c>
      <c r="E11" s="32">
        <v>3803</v>
      </c>
      <c r="F11" s="133">
        <v>844</v>
      </c>
      <c r="G11" s="133">
        <v>661</v>
      </c>
      <c r="H11" s="133">
        <f t="shared" si="0"/>
        <v>2198</v>
      </c>
      <c r="I11" s="133">
        <v>414</v>
      </c>
      <c r="J11" s="139"/>
      <c r="K11" s="305" t="s">
        <v>839</v>
      </c>
      <c r="L11" s="163" t="s">
        <v>18</v>
      </c>
      <c r="M11" s="43"/>
    </row>
    <row r="12" spans="1:13" s="50" customFormat="1" x14ac:dyDescent="0.25">
      <c r="A12" s="142">
        <v>2006</v>
      </c>
      <c r="B12" s="142">
        <v>2005</v>
      </c>
      <c r="C12" s="142"/>
      <c r="D12" s="164">
        <v>2159</v>
      </c>
      <c r="E12" s="32">
        <v>3736</v>
      </c>
      <c r="F12" s="133">
        <v>829</v>
      </c>
      <c r="G12" s="133">
        <v>661</v>
      </c>
      <c r="H12" s="133">
        <f t="shared" si="0"/>
        <v>2159</v>
      </c>
      <c r="I12" s="133">
        <v>407</v>
      </c>
      <c r="J12" s="139"/>
      <c r="K12" s="305" t="s">
        <v>840</v>
      </c>
      <c r="L12" s="163" t="s">
        <v>19</v>
      </c>
      <c r="M12" s="43"/>
    </row>
    <row r="13" spans="1:13" s="50" customFormat="1" x14ac:dyDescent="0.25">
      <c r="A13" s="142">
        <v>2005</v>
      </c>
      <c r="B13" s="142">
        <v>2004</v>
      </c>
      <c r="C13" s="142"/>
      <c r="D13" s="164">
        <v>2121</v>
      </c>
      <c r="E13" s="32">
        <v>3670</v>
      </c>
      <c r="F13" s="133">
        <v>814</v>
      </c>
      <c r="G13" s="133">
        <v>661</v>
      </c>
      <c r="H13" s="133">
        <f t="shared" si="0"/>
        <v>2121</v>
      </c>
      <c r="I13" s="133">
        <v>400</v>
      </c>
      <c r="J13" s="139"/>
      <c r="K13" s="305" t="s">
        <v>841</v>
      </c>
      <c r="L13" s="163" t="s">
        <v>20</v>
      </c>
      <c r="M13" s="43"/>
    </row>
    <row r="14" spans="1:13" s="50" customFormat="1" x14ac:dyDescent="0.25">
      <c r="A14" s="142">
        <v>2004</v>
      </c>
      <c r="B14" s="142">
        <v>2003</v>
      </c>
      <c r="C14" s="142"/>
      <c r="D14" s="164">
        <v>2086</v>
      </c>
      <c r="E14" s="32">
        <v>3609</v>
      </c>
      <c r="F14" s="133">
        <v>800</v>
      </c>
      <c r="G14" s="133">
        <v>661</v>
      </c>
      <c r="H14" s="133">
        <f t="shared" si="0"/>
        <v>2086</v>
      </c>
      <c r="I14" s="133">
        <v>393</v>
      </c>
      <c r="J14" s="139"/>
      <c r="K14" s="305" t="s">
        <v>842</v>
      </c>
      <c r="L14" s="163" t="s">
        <v>21</v>
      </c>
      <c r="M14" s="43"/>
    </row>
    <row r="15" spans="1:13" s="50" customFormat="1" x14ac:dyDescent="0.25">
      <c r="A15" s="142">
        <v>2003</v>
      </c>
      <c r="B15" s="142">
        <v>2002</v>
      </c>
      <c r="C15" s="142"/>
      <c r="D15" s="164">
        <v>2051</v>
      </c>
      <c r="E15" s="32">
        <v>3549</v>
      </c>
      <c r="F15" s="133">
        <v>980</v>
      </c>
      <c r="G15" s="133">
        <v>661</v>
      </c>
      <c r="H15" s="133">
        <f t="shared" si="0"/>
        <v>2051</v>
      </c>
      <c r="I15" s="133">
        <v>386</v>
      </c>
      <c r="J15" s="139"/>
      <c r="K15" s="305" t="s">
        <v>843</v>
      </c>
      <c r="L15" s="163" t="s">
        <v>22</v>
      </c>
      <c r="M15" s="43"/>
    </row>
    <row r="16" spans="1:13" s="50" customFormat="1" x14ac:dyDescent="0.25">
      <c r="A16" s="142">
        <v>2002</v>
      </c>
      <c r="B16" s="142">
        <v>2001</v>
      </c>
      <c r="C16" s="142"/>
      <c r="D16" s="164">
        <v>2017</v>
      </c>
      <c r="E16" s="32">
        <v>3490</v>
      </c>
      <c r="F16" s="133">
        <v>964</v>
      </c>
      <c r="G16" s="133">
        <v>661</v>
      </c>
      <c r="H16" s="133">
        <f t="shared" si="0"/>
        <v>2017</v>
      </c>
      <c r="I16" s="133">
        <v>380</v>
      </c>
      <c r="J16" s="139"/>
      <c r="K16" s="305" t="s">
        <v>844</v>
      </c>
      <c r="L16" s="163" t="s">
        <v>23</v>
      </c>
      <c r="M16" s="43"/>
    </row>
    <row r="17" spans="1:13" s="51" customFormat="1" x14ac:dyDescent="0.25">
      <c r="A17" s="142">
        <v>2001</v>
      </c>
      <c r="B17" s="142">
        <v>2000</v>
      </c>
      <c r="C17" s="142"/>
      <c r="D17" s="165">
        <f>12440</f>
        <v>12440</v>
      </c>
      <c r="E17" s="166">
        <v>21930</v>
      </c>
      <c r="F17" s="135">
        <v>6220</v>
      </c>
      <c r="G17" s="135">
        <f>4336</f>
        <v>4336</v>
      </c>
      <c r="H17" s="135">
        <f t="shared" si="0"/>
        <v>12440</v>
      </c>
      <c r="I17" s="135">
        <v>2450</v>
      </c>
      <c r="J17" s="139"/>
      <c r="K17" s="305" t="s">
        <v>845</v>
      </c>
      <c r="L17" s="163" t="s">
        <v>24</v>
      </c>
      <c r="M17" s="176" t="s">
        <v>217</v>
      </c>
    </row>
    <row r="18" spans="1:13" s="51" customFormat="1" x14ac:dyDescent="0.25">
      <c r="A18" s="142">
        <v>2000</v>
      </c>
      <c r="B18" s="142">
        <v>1999</v>
      </c>
      <c r="C18" s="142"/>
      <c r="D18" s="165">
        <v>11060</v>
      </c>
      <c r="E18" s="135">
        <v>20370</v>
      </c>
      <c r="F18" s="135">
        <v>6130</v>
      </c>
      <c r="G18" s="135">
        <f>4336</f>
        <v>4336</v>
      </c>
      <c r="H18" s="135">
        <f t="shared" si="0"/>
        <v>11060</v>
      </c>
      <c r="I18" s="135">
        <v>3350</v>
      </c>
      <c r="J18" s="139"/>
      <c r="K18" s="305" t="s">
        <v>846</v>
      </c>
      <c r="L18" s="163" t="s">
        <v>105</v>
      </c>
      <c r="M18" s="48"/>
    </row>
    <row r="19" spans="1:13" s="51" customFormat="1" x14ac:dyDescent="0.25">
      <c r="A19" s="142">
        <v>1999</v>
      </c>
      <c r="B19" s="142">
        <v>1998</v>
      </c>
      <c r="C19" s="142"/>
      <c r="D19" s="135">
        <v>11000</v>
      </c>
      <c r="E19" s="135">
        <v>20270</v>
      </c>
      <c r="F19" s="135">
        <v>6100</v>
      </c>
      <c r="G19" s="135">
        <f>4336</f>
        <v>4336</v>
      </c>
      <c r="H19" s="135">
        <f t="shared" si="0"/>
        <v>11000</v>
      </c>
      <c r="I19" s="135">
        <v>3330</v>
      </c>
      <c r="J19" s="139"/>
      <c r="K19" s="305" t="s">
        <v>847</v>
      </c>
      <c r="L19" s="163" t="s">
        <v>24</v>
      </c>
      <c r="M19" s="214" t="s">
        <v>486</v>
      </c>
    </row>
    <row r="20" spans="1:13" s="51" customFormat="1" x14ac:dyDescent="0.25">
      <c r="A20" s="142">
        <v>1998</v>
      </c>
      <c r="B20" s="142">
        <v>1997</v>
      </c>
      <c r="C20" s="142"/>
      <c r="D20" s="135">
        <f>16380</f>
        <v>16380</v>
      </c>
      <c r="E20" s="135">
        <v>20270</v>
      </c>
      <c r="F20" s="135">
        <v>6100</v>
      </c>
      <c r="G20" s="137"/>
      <c r="H20" s="137"/>
      <c r="I20" s="135">
        <v>3300</v>
      </c>
      <c r="J20" s="139"/>
      <c r="K20" s="305" t="s">
        <v>848</v>
      </c>
      <c r="L20" s="144"/>
      <c r="M20" s="214" t="s">
        <v>487</v>
      </c>
    </row>
    <row r="21" spans="1:13" s="51" customFormat="1" x14ac:dyDescent="0.25">
      <c r="A21" s="142">
        <v>1997</v>
      </c>
      <c r="B21" s="142">
        <v>1996</v>
      </c>
      <c r="C21" s="142"/>
      <c r="D21" s="135">
        <f>16200</f>
        <v>16200</v>
      </c>
      <c r="E21" s="135">
        <v>20050</v>
      </c>
      <c r="F21" s="137"/>
      <c r="G21" s="137"/>
      <c r="H21" s="137"/>
      <c r="I21" s="135">
        <v>3260</v>
      </c>
      <c r="J21" s="139"/>
      <c r="K21" s="305" t="s">
        <v>873</v>
      </c>
      <c r="L21" s="144"/>
      <c r="M21" s="48"/>
    </row>
    <row r="22" spans="1:13" s="51" customFormat="1" x14ac:dyDescent="0.25">
      <c r="A22" s="142">
        <v>1996</v>
      </c>
      <c r="B22" s="142">
        <v>1995</v>
      </c>
      <c r="C22" s="142"/>
      <c r="D22" s="135">
        <v>15900</v>
      </c>
      <c r="E22" s="135">
        <v>19680</v>
      </c>
      <c r="F22" s="137"/>
      <c r="G22" s="137"/>
      <c r="H22" s="137"/>
      <c r="I22" s="135">
        <v>4320</v>
      </c>
      <c r="J22" s="139"/>
      <c r="K22" s="305" t="s">
        <v>866</v>
      </c>
      <c r="L22" s="136"/>
      <c r="M22" s="48"/>
    </row>
    <row r="23" spans="1:13" s="51" customFormat="1" x14ac:dyDescent="0.25">
      <c r="A23" s="142">
        <v>1995</v>
      </c>
      <c r="B23" s="142">
        <v>1994</v>
      </c>
      <c r="C23" s="142"/>
      <c r="D23" s="135">
        <v>15620</v>
      </c>
      <c r="E23" s="135">
        <v>19330</v>
      </c>
      <c r="F23" s="137"/>
      <c r="G23" s="137"/>
      <c r="H23" s="137"/>
      <c r="I23" s="135">
        <v>4240</v>
      </c>
      <c r="J23" s="139"/>
      <c r="K23" s="305" t="s">
        <v>850</v>
      </c>
      <c r="L23" s="145"/>
      <c r="M23" s="48"/>
    </row>
    <row r="24" spans="1:13" x14ac:dyDescent="0.25">
      <c r="A24" s="142">
        <v>1994</v>
      </c>
      <c r="B24" s="142">
        <v>1993</v>
      </c>
      <c r="C24" s="142"/>
      <c r="D24" s="135">
        <v>15400</v>
      </c>
      <c r="E24" s="135">
        <v>19060</v>
      </c>
      <c r="F24" s="131"/>
      <c r="G24" s="139"/>
      <c r="H24" s="139"/>
      <c r="I24" s="135">
        <v>4180</v>
      </c>
      <c r="J24" s="139"/>
      <c r="K24" s="305" t="s">
        <v>851</v>
      </c>
      <c r="L24" s="145"/>
      <c r="M24" s="48"/>
    </row>
    <row r="25" spans="1:13" x14ac:dyDescent="0.25">
      <c r="A25" s="142">
        <v>1993</v>
      </c>
      <c r="B25" s="142">
        <v>1992</v>
      </c>
      <c r="C25" s="142"/>
      <c r="D25" s="135">
        <v>12910</v>
      </c>
      <c r="E25" s="135">
        <v>16500</v>
      </c>
      <c r="F25" s="139"/>
      <c r="G25" s="139"/>
      <c r="H25" s="139"/>
      <c r="I25" s="135">
        <v>5110</v>
      </c>
      <c r="J25" s="139"/>
      <c r="K25" s="305" t="s">
        <v>874</v>
      </c>
      <c r="L25" s="145"/>
      <c r="M25" s="48"/>
    </row>
    <row r="26" spans="1:13" x14ac:dyDescent="0.25">
      <c r="A26" s="142">
        <v>1992</v>
      </c>
      <c r="B26" s="142">
        <v>1991</v>
      </c>
      <c r="C26" s="142"/>
      <c r="D26" s="135">
        <v>12550</v>
      </c>
      <c r="E26" s="135">
        <v>16050</v>
      </c>
      <c r="F26" s="139"/>
      <c r="G26" s="139"/>
      <c r="H26" s="139"/>
      <c r="I26" s="135">
        <v>4970</v>
      </c>
      <c r="J26" s="139"/>
      <c r="K26" s="305" t="s">
        <v>853</v>
      </c>
      <c r="L26" s="136"/>
      <c r="M26" s="136"/>
    </row>
    <row r="27" spans="1:13" x14ac:dyDescent="0.25">
      <c r="A27" s="142">
        <v>1991</v>
      </c>
      <c r="B27" s="142">
        <v>1990</v>
      </c>
      <c r="C27" s="142"/>
      <c r="D27" s="135">
        <v>12180</v>
      </c>
      <c r="E27" s="135">
        <v>15580</v>
      </c>
      <c r="F27" s="139"/>
      <c r="G27" s="139"/>
      <c r="H27" s="139"/>
      <c r="I27" s="135">
        <v>4820</v>
      </c>
      <c r="J27" s="139"/>
      <c r="K27" s="305" t="s">
        <v>854</v>
      </c>
      <c r="L27" s="136"/>
      <c r="M27" s="136"/>
    </row>
    <row r="28" spans="1:13" x14ac:dyDescent="0.25">
      <c r="A28" s="142">
        <v>1990</v>
      </c>
      <c r="B28" s="142">
        <v>1989</v>
      </c>
      <c r="C28" s="142"/>
      <c r="D28" s="135">
        <v>11800</v>
      </c>
      <c r="E28" s="135">
        <v>15090</v>
      </c>
      <c r="F28" s="139"/>
      <c r="G28" s="139"/>
      <c r="H28" s="139"/>
      <c r="I28" s="135">
        <v>4670</v>
      </c>
      <c r="J28" s="139"/>
      <c r="K28" s="305" t="s">
        <v>855</v>
      </c>
      <c r="L28" s="136"/>
      <c r="M28" s="136"/>
    </row>
    <row r="29" spans="1:13" x14ac:dyDescent="0.25">
      <c r="A29" s="142">
        <v>1989</v>
      </c>
      <c r="B29" s="142">
        <v>1988</v>
      </c>
      <c r="C29" s="142"/>
      <c r="D29" s="135">
        <v>11420</v>
      </c>
      <c r="E29" s="135">
        <v>14600</v>
      </c>
      <c r="F29" s="139"/>
      <c r="G29" s="139"/>
      <c r="H29" s="139"/>
      <c r="I29" s="135">
        <v>4520</v>
      </c>
      <c r="J29" s="139"/>
      <c r="K29" s="305" t="s">
        <v>856</v>
      </c>
      <c r="L29" s="136"/>
      <c r="M29" s="136"/>
    </row>
    <row r="30" spans="1:13" x14ac:dyDescent="0.25">
      <c r="A30" s="142">
        <v>1988</v>
      </c>
      <c r="B30" s="142">
        <v>1987</v>
      </c>
      <c r="C30" s="142"/>
      <c r="D30" s="135">
        <v>11130</v>
      </c>
      <c r="E30" s="135">
        <v>14230</v>
      </c>
      <c r="F30" s="139"/>
      <c r="G30" s="139"/>
      <c r="H30" s="139"/>
      <c r="I30" s="135">
        <v>4520</v>
      </c>
      <c r="J30" s="139"/>
      <c r="K30" s="305" t="s">
        <v>857</v>
      </c>
      <c r="L30" s="136"/>
      <c r="M30" s="136"/>
    </row>
    <row r="31" spans="1:13" x14ac:dyDescent="0.25">
      <c r="A31" s="142">
        <v>1987</v>
      </c>
      <c r="B31" s="142">
        <v>1986</v>
      </c>
      <c r="C31" s="142"/>
      <c r="D31" s="135">
        <v>10770</v>
      </c>
      <c r="E31" s="135">
        <v>13770</v>
      </c>
      <c r="F31" s="139"/>
      <c r="G31" s="139"/>
      <c r="H31" s="139"/>
      <c r="I31" s="135">
        <v>4400</v>
      </c>
      <c r="J31" s="139"/>
      <c r="K31" s="305" t="s">
        <v>858</v>
      </c>
      <c r="L31" s="136"/>
      <c r="M31" s="282" t="s">
        <v>773</v>
      </c>
    </row>
    <row r="32" spans="1:13" x14ac:dyDescent="0.25">
      <c r="A32" s="142">
        <v>1986</v>
      </c>
      <c r="B32" s="142">
        <v>1985</v>
      </c>
      <c r="C32" s="142"/>
      <c r="D32" s="135">
        <v>10520</v>
      </c>
      <c r="E32" s="139"/>
      <c r="F32" s="139"/>
      <c r="G32" s="139"/>
      <c r="H32" s="139"/>
      <c r="I32" s="34" t="s">
        <v>694</v>
      </c>
      <c r="J32" s="139"/>
      <c r="K32" s="305" t="s">
        <v>859</v>
      </c>
      <c r="L32" s="136"/>
      <c r="M32" s="282" t="s">
        <v>700</v>
      </c>
    </row>
    <row r="33" spans="1:13" x14ac:dyDescent="0.25">
      <c r="A33" s="142">
        <v>1985</v>
      </c>
      <c r="B33" s="142">
        <v>1984</v>
      </c>
      <c r="C33" s="142"/>
      <c r="D33" s="135">
        <v>9960</v>
      </c>
      <c r="E33" s="139"/>
      <c r="F33" s="139"/>
      <c r="G33" s="139"/>
      <c r="H33" s="139"/>
      <c r="I33" s="34" t="s">
        <v>695</v>
      </c>
      <c r="J33" s="139"/>
      <c r="K33" s="305" t="s">
        <v>860</v>
      </c>
      <c r="L33" s="136"/>
      <c r="M33" s="282" t="s">
        <v>701</v>
      </c>
    </row>
    <row r="34" spans="1:13" x14ac:dyDescent="0.25">
      <c r="A34" s="142">
        <v>1984</v>
      </c>
      <c r="B34" s="142">
        <v>1983</v>
      </c>
      <c r="C34" s="142"/>
      <c r="D34" s="135">
        <v>9250</v>
      </c>
      <c r="E34" s="139"/>
      <c r="F34" s="139"/>
      <c r="G34" s="139"/>
      <c r="H34" s="139"/>
      <c r="I34" s="34" t="s">
        <v>696</v>
      </c>
      <c r="J34" s="139"/>
      <c r="K34" s="305" t="s">
        <v>861</v>
      </c>
      <c r="L34" s="136"/>
      <c r="M34" s="282" t="s">
        <v>702</v>
      </c>
    </row>
    <row r="35" spans="1:13" x14ac:dyDescent="0.25">
      <c r="A35" s="142">
        <v>1983</v>
      </c>
      <c r="B35" s="142">
        <v>1982</v>
      </c>
      <c r="C35" s="142"/>
      <c r="D35" s="135">
        <v>8450</v>
      </c>
      <c r="E35" s="139"/>
      <c r="F35" s="139"/>
      <c r="G35" s="139"/>
      <c r="H35" s="139"/>
      <c r="I35" s="34" t="s">
        <v>697</v>
      </c>
      <c r="J35" s="139"/>
      <c r="K35" s="305" t="s">
        <v>862</v>
      </c>
      <c r="L35" s="136"/>
      <c r="M35" s="282" t="s">
        <v>703</v>
      </c>
    </row>
    <row r="36" spans="1:13" x14ac:dyDescent="0.25">
      <c r="A36" s="142">
        <v>1982</v>
      </c>
      <c r="B36" s="142">
        <v>1981</v>
      </c>
      <c r="C36" s="142"/>
      <c r="D36" s="135">
        <v>7500</v>
      </c>
      <c r="E36" s="139"/>
      <c r="F36" s="139"/>
      <c r="G36" s="139"/>
      <c r="H36" s="139"/>
      <c r="I36" s="34" t="s">
        <v>698</v>
      </c>
      <c r="J36" s="139"/>
      <c r="K36" s="305" t="s">
        <v>863</v>
      </c>
      <c r="M36" s="282" t="s">
        <v>704</v>
      </c>
    </row>
    <row r="37" spans="1:13" x14ac:dyDescent="0.25">
      <c r="A37" s="142">
        <v>1981</v>
      </c>
      <c r="B37" s="142">
        <v>1980</v>
      </c>
      <c r="C37" s="191" t="s">
        <v>359</v>
      </c>
      <c r="D37" s="84"/>
      <c r="E37" s="84"/>
      <c r="F37" s="139"/>
      <c r="G37" s="139"/>
      <c r="H37" s="139"/>
      <c r="I37" s="139"/>
      <c r="J37" s="139"/>
      <c r="K37" t="s">
        <v>771</v>
      </c>
      <c r="M37" s="312" t="s">
        <v>707</v>
      </c>
    </row>
    <row r="38" spans="1:13" x14ac:dyDescent="0.25">
      <c r="A38" s="142">
        <v>1980</v>
      </c>
      <c r="B38" s="142">
        <v>1979</v>
      </c>
      <c r="C38" s="191" t="s">
        <v>358</v>
      </c>
      <c r="D38" s="84"/>
      <c r="E38" s="84"/>
      <c r="F38" s="139"/>
      <c r="G38" s="139"/>
      <c r="H38" s="139"/>
      <c r="I38" s="139"/>
      <c r="J38" s="139"/>
      <c r="K38"/>
      <c r="M38" s="312" t="s">
        <v>772</v>
      </c>
    </row>
    <row r="39" spans="1:13" x14ac:dyDescent="0.25">
      <c r="A39" s="142">
        <v>1979</v>
      </c>
      <c r="B39" s="142">
        <v>1978</v>
      </c>
      <c r="C39" s="191" t="s">
        <v>290</v>
      </c>
      <c r="D39" s="84"/>
      <c r="E39" s="84"/>
      <c r="F39" s="139"/>
      <c r="G39" s="139"/>
      <c r="H39" s="139"/>
      <c r="I39" s="139"/>
      <c r="J39" s="139"/>
      <c r="M39" s="512" t="s">
        <v>770</v>
      </c>
    </row>
    <row r="40" spans="1:13" x14ac:dyDescent="0.25">
      <c r="A40" s="142">
        <v>1978</v>
      </c>
      <c r="B40" s="142">
        <v>1977</v>
      </c>
      <c r="C40" s="191" t="s">
        <v>289</v>
      </c>
      <c r="D40" s="84"/>
      <c r="E40" s="84"/>
      <c r="F40" s="139"/>
      <c r="G40" s="139"/>
      <c r="H40" s="139"/>
      <c r="I40" s="139"/>
      <c r="J40" s="139"/>
      <c r="M40" s="512"/>
    </row>
    <row r="41" spans="1:13" x14ac:dyDescent="0.25">
      <c r="A41" s="142">
        <v>1977</v>
      </c>
      <c r="B41" s="142">
        <v>1976</v>
      </c>
      <c r="C41" s="346">
        <v>7300</v>
      </c>
      <c r="D41" s="84"/>
      <c r="E41" s="84"/>
      <c r="F41" s="139"/>
      <c r="G41" s="139"/>
      <c r="H41" s="139"/>
      <c r="I41" s="139"/>
      <c r="J41" s="139"/>
      <c r="M41" s="512"/>
    </row>
    <row r="42" spans="1:13" x14ac:dyDescent="0.25">
      <c r="A42" s="142">
        <v>1976</v>
      </c>
      <c r="B42" s="142">
        <v>1975</v>
      </c>
      <c r="C42" s="346">
        <v>6700</v>
      </c>
      <c r="D42" s="84"/>
      <c r="E42" s="84"/>
      <c r="F42" s="139"/>
      <c r="G42" s="139"/>
      <c r="H42" s="139"/>
      <c r="I42" s="139"/>
      <c r="J42" s="139"/>
      <c r="M42" s="512"/>
    </row>
    <row r="43" spans="1:13" x14ac:dyDescent="0.25">
      <c r="A43" s="142">
        <v>1975</v>
      </c>
      <c r="B43" s="142">
        <v>1974</v>
      </c>
      <c r="C43" s="346">
        <v>6000</v>
      </c>
      <c r="D43" s="84"/>
      <c r="E43" s="84"/>
      <c r="F43" s="139"/>
      <c r="G43" s="139"/>
      <c r="H43" s="139"/>
      <c r="I43" s="139"/>
      <c r="J43" s="139"/>
      <c r="M43" s="512"/>
    </row>
    <row r="44" spans="1:13" x14ac:dyDescent="0.25">
      <c r="A44" s="142">
        <v>1974</v>
      </c>
      <c r="B44" s="142">
        <v>1973</v>
      </c>
      <c r="C44" s="84"/>
      <c r="D44" s="84"/>
      <c r="E44" s="84"/>
      <c r="F44" s="139"/>
      <c r="G44" s="139"/>
      <c r="H44" s="139"/>
      <c r="I44" s="139"/>
      <c r="J44" s="139"/>
    </row>
    <row r="45" spans="1:13" x14ac:dyDescent="0.25">
      <c r="A45" s="142">
        <v>1970</v>
      </c>
      <c r="B45" s="142">
        <v>1969</v>
      </c>
      <c r="C45" s="84"/>
      <c r="D45" s="84"/>
      <c r="E45" s="84"/>
      <c r="F45" s="139"/>
      <c r="G45" s="139"/>
      <c r="H45" s="139"/>
      <c r="I45" s="336">
        <v>100</v>
      </c>
      <c r="J45" s="336">
        <v>300</v>
      </c>
      <c r="M45" s="312" t="s">
        <v>710</v>
      </c>
    </row>
    <row r="46" spans="1:13" x14ac:dyDescent="0.25">
      <c r="A46" s="142">
        <v>1963</v>
      </c>
      <c r="B46" s="142">
        <v>1962</v>
      </c>
      <c r="C46" s="84"/>
      <c r="D46" s="84"/>
      <c r="E46" s="84"/>
      <c r="F46" s="139"/>
      <c r="G46" s="139"/>
      <c r="H46" s="139"/>
      <c r="I46" s="336">
        <v>80</v>
      </c>
      <c r="J46" s="336">
        <v>240</v>
      </c>
    </row>
    <row r="47" spans="1:13" x14ac:dyDescent="0.25">
      <c r="A47" s="142">
        <v>1962</v>
      </c>
      <c r="B47" s="142">
        <v>1961</v>
      </c>
      <c r="C47" s="84"/>
      <c r="D47" s="84"/>
      <c r="E47" s="84"/>
      <c r="F47" s="139"/>
      <c r="G47" s="139"/>
      <c r="H47" s="139"/>
      <c r="I47" s="336">
        <v>70</v>
      </c>
      <c r="J47" s="336">
        <v>210</v>
      </c>
    </row>
    <row r="48" spans="1:13" x14ac:dyDescent="0.25">
      <c r="A48" s="142">
        <v>1960</v>
      </c>
      <c r="B48" s="142">
        <v>1959</v>
      </c>
      <c r="C48" s="84"/>
      <c r="D48" s="84"/>
      <c r="E48" s="84"/>
      <c r="F48" s="139"/>
      <c r="G48" s="139"/>
      <c r="H48" s="139"/>
      <c r="I48" s="336">
        <v>7000</v>
      </c>
      <c r="J48" s="336">
        <v>14000</v>
      </c>
    </row>
    <row r="49" spans="1:10" x14ac:dyDescent="0.25">
      <c r="A49" s="142">
        <v>1959</v>
      </c>
      <c r="B49" s="142">
        <v>1958</v>
      </c>
      <c r="C49" s="84"/>
      <c r="D49" s="84"/>
      <c r="E49" s="84"/>
      <c r="F49" s="139"/>
      <c r="G49" s="139"/>
      <c r="H49" s="139"/>
      <c r="I49" s="336">
        <v>8000</v>
      </c>
      <c r="J49" s="336">
        <v>12000</v>
      </c>
    </row>
    <row r="50" spans="1:10" x14ac:dyDescent="0.25">
      <c r="A50" s="142">
        <v>1958</v>
      </c>
      <c r="B50" s="142">
        <v>1957</v>
      </c>
      <c r="C50" s="84"/>
      <c r="D50" s="84"/>
      <c r="E50" s="84"/>
      <c r="F50" s="139"/>
      <c r="G50" s="139"/>
      <c r="H50" s="139"/>
      <c r="I50" s="336">
        <v>5000</v>
      </c>
      <c r="J50" s="336">
        <v>10000</v>
      </c>
    </row>
    <row r="51" spans="1:10" x14ac:dyDescent="0.25">
      <c r="A51" s="142">
        <v>1954</v>
      </c>
      <c r="B51" s="142">
        <v>1953</v>
      </c>
      <c r="C51" s="84"/>
      <c r="D51" s="84"/>
      <c r="E51" s="84"/>
      <c r="F51" s="139"/>
      <c r="G51" s="139"/>
      <c r="H51" s="139"/>
      <c r="I51" s="84"/>
      <c r="J51" s="84"/>
    </row>
    <row r="52" spans="1:10" x14ac:dyDescent="0.25">
      <c r="A52" s="142">
        <v>1952</v>
      </c>
      <c r="B52" s="142">
        <v>1951</v>
      </c>
      <c r="C52" s="84"/>
      <c r="D52" s="84"/>
      <c r="E52" s="84"/>
      <c r="F52" s="139"/>
      <c r="G52" s="139"/>
      <c r="H52" s="139"/>
      <c r="I52" s="336">
        <v>4000</v>
      </c>
      <c r="J52" s="336">
        <v>8000</v>
      </c>
    </row>
    <row r="53" spans="1:10" x14ac:dyDescent="0.25">
      <c r="A53" s="142">
        <v>1951</v>
      </c>
      <c r="B53" s="142">
        <v>1950</v>
      </c>
      <c r="C53" s="84"/>
      <c r="D53" s="84"/>
      <c r="E53" s="84"/>
      <c r="F53" s="139"/>
      <c r="G53" s="139"/>
      <c r="H53" s="139"/>
      <c r="I53" s="139"/>
      <c r="J53" s="139"/>
    </row>
    <row r="55" spans="1:10" x14ac:dyDescent="0.25">
      <c r="C55" s="289" t="s">
        <v>508</v>
      </c>
    </row>
    <row r="56" spans="1:10" x14ac:dyDescent="0.25">
      <c r="C56" s="282" t="s">
        <v>774</v>
      </c>
    </row>
    <row r="57" spans="1:10" x14ac:dyDescent="0.25">
      <c r="C57" s="149" t="s">
        <v>509</v>
      </c>
    </row>
    <row r="58" spans="1:10" x14ac:dyDescent="0.25">
      <c r="C58" s="282" t="s">
        <v>709</v>
      </c>
    </row>
    <row r="59" spans="1:10" x14ac:dyDescent="0.25">
      <c r="C59" s="149"/>
      <c r="D59" s="149" t="s">
        <v>525</v>
      </c>
    </row>
    <row r="60" spans="1:10" x14ac:dyDescent="0.25">
      <c r="C60" s="282" t="s">
        <v>680</v>
      </c>
    </row>
    <row r="61" spans="1:10" x14ac:dyDescent="0.25">
      <c r="D61" s="312" t="s">
        <v>712</v>
      </c>
    </row>
    <row r="62" spans="1:10" x14ac:dyDescent="0.25">
      <c r="C62" s="282" t="s">
        <v>706</v>
      </c>
    </row>
    <row r="63" spans="1:10" x14ac:dyDescent="0.25">
      <c r="D63" s="312" t="s">
        <v>713</v>
      </c>
    </row>
    <row r="64" spans="1:10" x14ac:dyDescent="0.25">
      <c r="C64" s="282" t="s">
        <v>708</v>
      </c>
    </row>
    <row r="77" spans="1:3" x14ac:dyDescent="0.25">
      <c r="A77" s="97"/>
      <c r="B77" s="97"/>
    </row>
    <row r="78" spans="1:3" x14ac:dyDescent="0.25">
      <c r="A78" s="97"/>
      <c r="B78" s="97"/>
      <c r="C78" s="97"/>
    </row>
    <row r="79" spans="1:3" x14ac:dyDescent="0.25">
      <c r="A79" s="97"/>
      <c r="B79" s="97"/>
      <c r="C79" s="97"/>
    </row>
    <row r="80" spans="1:3" x14ac:dyDescent="0.25">
      <c r="A80" s="97"/>
      <c r="B80" s="97"/>
      <c r="C80" s="97"/>
    </row>
    <row r="81" spans="1:3" x14ac:dyDescent="0.25">
      <c r="A81" s="97"/>
      <c r="B81" s="97"/>
      <c r="C81" s="97"/>
    </row>
    <row r="82" spans="1:3" x14ac:dyDescent="0.25">
      <c r="C82" s="97"/>
    </row>
  </sheetData>
  <mergeCells count="10">
    <mergeCell ref="A2:B2"/>
    <mergeCell ref="M39:M43"/>
    <mergeCell ref="I3:J3"/>
    <mergeCell ref="I2:J2"/>
    <mergeCell ref="M6:M7"/>
    <mergeCell ref="C2:G2"/>
    <mergeCell ref="M4:M5"/>
    <mergeCell ref="K2:K3"/>
    <mergeCell ref="L2:L3"/>
    <mergeCell ref="M2:M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F22" sqref="F22"/>
    </sheetView>
  </sheetViews>
  <sheetFormatPr baseColWidth="10" defaultColWidth="9.140625" defaultRowHeight="16.5" customHeight="1" x14ac:dyDescent="0.25"/>
  <cols>
    <col min="1" max="1" width="7.42578125" style="50" bestFit="1" customWidth="1"/>
    <col min="2" max="2" width="15.85546875" style="50" customWidth="1"/>
    <col min="3" max="3" width="5.85546875" bestFit="1" customWidth="1"/>
    <col min="4" max="4" width="17.28515625" bestFit="1" customWidth="1"/>
    <col min="5" max="5" width="28.140625" bestFit="1" customWidth="1"/>
    <col min="6" max="6" width="25.42578125" bestFit="1" customWidth="1"/>
    <col min="7" max="7" width="17.28515625" bestFit="1" customWidth="1"/>
    <col min="8" max="8" width="7.140625" bestFit="1" customWidth="1"/>
    <col min="9" max="9" width="14.140625" customWidth="1"/>
    <col min="10" max="10" width="28.7109375" bestFit="1" customWidth="1"/>
    <col min="11" max="11" width="206.85546875" bestFit="1" customWidth="1"/>
  </cols>
  <sheetData>
    <row r="1" spans="1:11" ht="15" hidden="1" x14ac:dyDescent="0.25">
      <c r="A1" s="269" t="s">
        <v>1130</v>
      </c>
      <c r="B1" s="269" t="s">
        <v>1131</v>
      </c>
      <c r="C1" s="264" t="s">
        <v>66</v>
      </c>
      <c r="D1" s="265" t="s">
        <v>67</v>
      </c>
      <c r="E1" s="265" t="s">
        <v>90</v>
      </c>
      <c r="F1" s="265" t="s">
        <v>91</v>
      </c>
      <c r="G1" s="264" t="s">
        <v>111</v>
      </c>
      <c r="H1" s="264" t="s">
        <v>112</v>
      </c>
      <c r="I1" s="264" t="s">
        <v>469</v>
      </c>
      <c r="J1" s="269" t="s">
        <v>1135</v>
      </c>
      <c r="K1" s="141"/>
    </row>
    <row r="2" spans="1:11" ht="55.5" customHeight="1" x14ac:dyDescent="0.25">
      <c r="A2" s="486" t="s">
        <v>997</v>
      </c>
      <c r="B2" s="487"/>
      <c r="C2" s="506" t="s">
        <v>489</v>
      </c>
      <c r="D2" s="506"/>
      <c r="E2" s="456" t="s">
        <v>422</v>
      </c>
      <c r="F2" s="519"/>
      <c r="G2" s="520"/>
      <c r="H2" s="521" t="s">
        <v>424</v>
      </c>
      <c r="I2" s="522"/>
      <c r="J2" s="498" t="s">
        <v>667</v>
      </c>
      <c r="K2" s="518" t="s">
        <v>1</v>
      </c>
    </row>
    <row r="3" spans="1:11" ht="59.25" customHeight="1" x14ac:dyDescent="0.25">
      <c r="A3" s="383" t="s">
        <v>214</v>
      </c>
      <c r="B3" s="383" t="s">
        <v>996</v>
      </c>
      <c r="C3" s="215" t="s">
        <v>379</v>
      </c>
      <c r="D3" s="213" t="s">
        <v>423</v>
      </c>
      <c r="E3" s="213" t="s">
        <v>492</v>
      </c>
      <c r="F3" s="213" t="s">
        <v>490</v>
      </c>
      <c r="G3" s="215" t="s">
        <v>491</v>
      </c>
      <c r="H3" s="215" t="s">
        <v>493</v>
      </c>
      <c r="I3" s="274" t="s">
        <v>494</v>
      </c>
      <c r="J3" s="499"/>
      <c r="K3" s="518"/>
    </row>
    <row r="4" spans="1:11" ht="15" x14ac:dyDescent="0.25">
      <c r="A4" s="201">
        <v>2014</v>
      </c>
      <c r="B4" s="201">
        <v>2013</v>
      </c>
      <c r="C4" s="81"/>
      <c r="D4" s="81"/>
      <c r="E4" s="137"/>
      <c r="F4" s="137"/>
      <c r="G4" s="137"/>
      <c r="H4" s="194">
        <v>0.22500000000000001</v>
      </c>
      <c r="I4" s="260">
        <v>0.19</v>
      </c>
      <c r="J4" s="305"/>
      <c r="K4" s="273" t="s">
        <v>488</v>
      </c>
    </row>
    <row r="5" spans="1:11" ht="16.5" customHeight="1" x14ac:dyDescent="0.25">
      <c r="A5" s="201">
        <v>2013</v>
      </c>
      <c r="B5" s="201">
        <v>2012</v>
      </c>
      <c r="C5" s="132">
        <v>0.24</v>
      </c>
      <c r="D5" s="81"/>
      <c r="E5" s="132">
        <v>0.41</v>
      </c>
      <c r="F5" s="132">
        <v>0.3</v>
      </c>
      <c r="G5" s="133">
        <v>152500</v>
      </c>
      <c r="H5" s="194">
        <v>0.22500000000000001</v>
      </c>
      <c r="I5" s="260">
        <v>0.16</v>
      </c>
      <c r="J5" s="305"/>
      <c r="K5" s="271" t="s">
        <v>477</v>
      </c>
    </row>
    <row r="6" spans="1:11" ht="16.5" customHeight="1" x14ac:dyDescent="0.25">
      <c r="A6" s="201">
        <v>2012</v>
      </c>
      <c r="B6" s="201">
        <v>2011</v>
      </c>
      <c r="C6" s="132">
        <v>0.19</v>
      </c>
      <c r="D6" s="81"/>
      <c r="E6" s="132">
        <v>0.41</v>
      </c>
      <c r="F6" s="132">
        <v>0.3</v>
      </c>
      <c r="G6" s="133">
        <v>152500</v>
      </c>
      <c r="H6" s="194">
        <v>0.22500000000000001</v>
      </c>
      <c r="I6" s="194">
        <v>0.16</v>
      </c>
      <c r="J6" s="305"/>
      <c r="K6" s="291" t="s">
        <v>527</v>
      </c>
    </row>
    <row r="7" spans="1:11" ht="16.5" customHeight="1" x14ac:dyDescent="0.25">
      <c r="A7" s="142">
        <v>2011</v>
      </c>
      <c r="B7" s="142">
        <v>2010</v>
      </c>
      <c r="C7" s="132">
        <v>0.19</v>
      </c>
      <c r="D7" s="133">
        <v>25830</v>
      </c>
      <c r="E7" s="132">
        <v>0.41</v>
      </c>
      <c r="F7" s="132">
        <v>0.3</v>
      </c>
      <c r="G7" s="133">
        <v>152500</v>
      </c>
      <c r="H7" s="194">
        <v>0.22500000000000001</v>
      </c>
      <c r="I7" s="194">
        <v>0.16</v>
      </c>
      <c r="J7" s="302"/>
      <c r="K7" s="292"/>
    </row>
    <row r="8" spans="1:11" ht="16.5" customHeight="1" x14ac:dyDescent="0.25">
      <c r="A8" s="142">
        <v>2010</v>
      </c>
      <c r="B8" s="142">
        <v>2009</v>
      </c>
      <c r="C8" s="132">
        <v>0.18</v>
      </c>
      <c r="D8" s="133">
        <f>25730</f>
        <v>25730</v>
      </c>
      <c r="E8" s="132">
        <v>0.4</v>
      </c>
      <c r="F8" s="132">
        <v>0.3</v>
      </c>
      <c r="G8" s="133">
        <v>152500</v>
      </c>
      <c r="H8" s="194">
        <v>0.22500000000000001</v>
      </c>
      <c r="I8" s="194">
        <v>0.16</v>
      </c>
      <c r="J8" s="303"/>
      <c r="K8" s="292"/>
    </row>
    <row r="9" spans="1:11" ht="16.5" customHeight="1" x14ac:dyDescent="0.25">
      <c r="A9" s="142">
        <v>2009</v>
      </c>
      <c r="B9" s="142">
        <v>2008</v>
      </c>
      <c r="C9" s="132">
        <v>0.18</v>
      </c>
      <c r="D9" s="133">
        <v>25000</v>
      </c>
      <c r="E9" s="132">
        <v>0.4</v>
      </c>
      <c r="F9" s="132">
        <v>0.3</v>
      </c>
      <c r="G9" s="133">
        <v>152000</v>
      </c>
      <c r="H9" s="194">
        <v>0.22500000000000001</v>
      </c>
      <c r="I9" s="194">
        <v>0.16</v>
      </c>
      <c r="J9" s="163" t="s">
        <v>68</v>
      </c>
      <c r="K9" s="365" t="s">
        <v>831</v>
      </c>
    </row>
    <row r="10" spans="1:11" ht="16.5" customHeight="1" x14ac:dyDescent="0.25">
      <c r="A10" s="142">
        <v>2008</v>
      </c>
      <c r="B10" s="142">
        <v>2007</v>
      </c>
      <c r="C10" s="132">
        <v>0.16</v>
      </c>
      <c r="D10" s="133">
        <v>20000</v>
      </c>
      <c r="E10" s="132">
        <v>0.4</v>
      </c>
      <c r="F10" s="132">
        <v>0.3</v>
      </c>
      <c r="G10" s="133">
        <v>152000</v>
      </c>
      <c r="H10" s="194">
        <v>0.22500000000000001</v>
      </c>
      <c r="I10" s="194">
        <f>C10</f>
        <v>0.16</v>
      </c>
      <c r="J10" s="163" t="s">
        <v>69</v>
      </c>
      <c r="K10" s="205"/>
    </row>
    <row r="11" spans="1:11" ht="16.5" customHeight="1" x14ac:dyDescent="0.25">
      <c r="A11" s="142">
        <v>2007</v>
      </c>
      <c r="B11" s="142">
        <v>2006</v>
      </c>
      <c r="C11" s="132">
        <v>0.16</v>
      </c>
      <c r="D11" s="133">
        <v>15000</v>
      </c>
      <c r="E11" s="132">
        <v>0.4</v>
      </c>
      <c r="F11" s="132">
        <v>0.3</v>
      </c>
      <c r="G11" s="133">
        <v>152000</v>
      </c>
      <c r="H11" s="194">
        <v>0.22500000000000001</v>
      </c>
      <c r="I11" s="194">
        <f t="shared" ref="I11:I39" si="0">C11</f>
        <v>0.16</v>
      </c>
      <c r="J11" s="163" t="s">
        <v>70</v>
      </c>
      <c r="K11" s="205"/>
    </row>
    <row r="12" spans="1:11" ht="16.5" customHeight="1" x14ac:dyDescent="0.25">
      <c r="A12" s="142">
        <v>2006</v>
      </c>
      <c r="B12" s="142">
        <v>2005</v>
      </c>
      <c r="C12" s="132">
        <v>0.16</v>
      </c>
      <c r="D12" s="133">
        <v>15000</v>
      </c>
      <c r="E12" s="132">
        <v>0.4</v>
      </c>
      <c r="F12" s="132">
        <v>0.3</v>
      </c>
      <c r="G12" s="133">
        <v>152000</v>
      </c>
      <c r="H12" s="194">
        <v>0.22500000000000001</v>
      </c>
      <c r="I12" s="194">
        <f t="shared" si="0"/>
        <v>0.16</v>
      </c>
      <c r="J12" s="303"/>
      <c r="K12" s="217"/>
    </row>
    <row r="13" spans="1:11" ht="16.5" customHeight="1" x14ac:dyDescent="0.25">
      <c r="A13" s="142">
        <v>2005</v>
      </c>
      <c r="B13" s="142">
        <v>2004</v>
      </c>
      <c r="C13" s="132">
        <v>0.16</v>
      </c>
      <c r="D13" s="133">
        <v>15000</v>
      </c>
      <c r="E13" s="132">
        <v>0.4</v>
      </c>
      <c r="F13" s="132">
        <v>0.3</v>
      </c>
      <c r="G13" s="133">
        <v>152000</v>
      </c>
      <c r="H13" s="194">
        <v>0.22500000000000001</v>
      </c>
      <c r="I13" s="194">
        <f t="shared" si="0"/>
        <v>0.16</v>
      </c>
      <c r="J13" s="303"/>
      <c r="K13" s="205"/>
    </row>
    <row r="14" spans="1:11" ht="16.5" customHeight="1" x14ac:dyDescent="0.25">
      <c r="A14" s="142">
        <v>2004</v>
      </c>
      <c r="B14" s="142">
        <v>2003</v>
      </c>
      <c r="C14" s="132">
        <v>0.16</v>
      </c>
      <c r="D14" s="133">
        <v>15000</v>
      </c>
      <c r="E14" s="132">
        <v>0.4</v>
      </c>
      <c r="F14" s="132">
        <v>0.3</v>
      </c>
      <c r="G14" s="133">
        <v>152000</v>
      </c>
      <c r="H14" s="194">
        <v>0.22500000000000001</v>
      </c>
      <c r="I14" s="194">
        <f t="shared" si="0"/>
        <v>0.16</v>
      </c>
      <c r="J14" s="303"/>
      <c r="K14" s="205"/>
    </row>
    <row r="15" spans="1:11" ht="16.5" customHeight="1" x14ac:dyDescent="0.25">
      <c r="A15" s="142">
        <v>2003</v>
      </c>
      <c r="B15" s="142">
        <v>2002</v>
      </c>
      <c r="C15" s="132">
        <v>0.16</v>
      </c>
      <c r="D15" s="133">
        <v>15000</v>
      </c>
      <c r="E15" s="132">
        <v>0.4</v>
      </c>
      <c r="F15" s="132">
        <v>0.3</v>
      </c>
      <c r="G15" s="133">
        <v>152000</v>
      </c>
      <c r="H15" s="194">
        <v>0.22500000000000001</v>
      </c>
      <c r="I15" s="194">
        <f t="shared" si="0"/>
        <v>0.16</v>
      </c>
      <c r="J15" s="163" t="s">
        <v>71</v>
      </c>
      <c r="K15" s="205"/>
    </row>
    <row r="16" spans="1:11" ht="16.5" customHeight="1" x14ac:dyDescent="0.25">
      <c r="A16" s="142">
        <v>2002</v>
      </c>
      <c r="B16" s="142">
        <v>2001</v>
      </c>
      <c r="C16" s="132">
        <v>0.16</v>
      </c>
      <c r="D16" s="133">
        <v>7650</v>
      </c>
      <c r="E16" s="132">
        <v>0.4</v>
      </c>
      <c r="F16" s="132">
        <v>0.3</v>
      </c>
      <c r="G16" s="133">
        <v>152000</v>
      </c>
      <c r="H16" s="194">
        <v>0.22500000000000001</v>
      </c>
      <c r="I16" s="194">
        <f t="shared" si="0"/>
        <v>0.16</v>
      </c>
      <c r="J16" s="303"/>
      <c r="K16" s="205" t="s">
        <v>526</v>
      </c>
    </row>
    <row r="17" spans="1:11" ht="16.5" customHeight="1" x14ac:dyDescent="0.25">
      <c r="A17" s="142">
        <v>2001</v>
      </c>
      <c r="B17" s="142">
        <v>2000</v>
      </c>
      <c r="C17" s="132">
        <v>0.16</v>
      </c>
      <c r="D17" s="135">
        <v>50000</v>
      </c>
      <c r="E17" s="190">
        <v>0.4</v>
      </c>
      <c r="F17" s="132">
        <v>0.3</v>
      </c>
      <c r="G17" s="135">
        <v>1000000</v>
      </c>
      <c r="H17" s="194">
        <v>0.22500000000000001</v>
      </c>
      <c r="I17" s="194">
        <f t="shared" si="0"/>
        <v>0.16</v>
      </c>
      <c r="J17" s="303"/>
      <c r="K17" s="293" t="s">
        <v>528</v>
      </c>
    </row>
    <row r="18" spans="1:11" ht="16.5" customHeight="1" x14ac:dyDescent="0.25">
      <c r="A18" s="142">
        <v>2000</v>
      </c>
      <c r="B18" s="142">
        <v>1999</v>
      </c>
      <c r="C18" s="132">
        <v>0.16</v>
      </c>
      <c r="D18" s="135">
        <v>50000</v>
      </c>
      <c r="E18" s="146"/>
      <c r="F18" s="132">
        <v>0.3</v>
      </c>
      <c r="G18" s="137"/>
      <c r="H18" s="194">
        <v>0.22500000000000001</v>
      </c>
      <c r="I18" s="194">
        <f t="shared" si="0"/>
        <v>0.16</v>
      </c>
      <c r="J18" s="303"/>
      <c r="K18" s="205"/>
    </row>
    <row r="19" spans="1:11" ht="16.5" customHeight="1" x14ac:dyDescent="0.25">
      <c r="A19" s="142">
        <v>1999</v>
      </c>
      <c r="B19" s="142">
        <v>1998</v>
      </c>
      <c r="C19" s="132">
        <v>0.16</v>
      </c>
      <c r="D19" s="135">
        <v>50000</v>
      </c>
      <c r="E19" s="146"/>
      <c r="F19" s="132">
        <v>0.3</v>
      </c>
      <c r="G19" s="137"/>
      <c r="H19" s="194">
        <v>0.22500000000000001</v>
      </c>
      <c r="I19" s="194">
        <f t="shared" si="0"/>
        <v>0.16</v>
      </c>
      <c r="J19" s="303"/>
      <c r="K19" s="205"/>
    </row>
    <row r="20" spans="1:11" ht="16.5" customHeight="1" x14ac:dyDescent="0.25">
      <c r="A20" s="142">
        <v>1998</v>
      </c>
      <c r="B20" s="142">
        <v>1997</v>
      </c>
      <c r="C20" s="132">
        <v>0.16</v>
      </c>
      <c r="D20" s="135">
        <v>100000</v>
      </c>
      <c r="E20" s="146"/>
      <c r="F20" s="132">
        <v>0.3</v>
      </c>
      <c r="G20" s="137"/>
      <c r="H20" s="194">
        <v>0.22500000000000001</v>
      </c>
      <c r="I20" s="194">
        <f t="shared" si="0"/>
        <v>0.16</v>
      </c>
      <c r="J20" s="303"/>
      <c r="K20" s="205"/>
    </row>
    <row r="21" spans="1:11" ht="16.5" customHeight="1" x14ac:dyDescent="0.25">
      <c r="A21" s="142">
        <v>1997</v>
      </c>
      <c r="B21" s="142">
        <v>1996</v>
      </c>
      <c r="C21" s="132">
        <v>0.16</v>
      </c>
      <c r="D21" s="135">
        <v>200000</v>
      </c>
      <c r="E21" s="146"/>
      <c r="F21" s="132">
        <v>0.3</v>
      </c>
      <c r="G21" s="137"/>
      <c r="H21" s="194">
        <v>0.22500000000000001</v>
      </c>
      <c r="I21" s="194">
        <f t="shared" si="0"/>
        <v>0.16</v>
      </c>
      <c r="J21" s="304"/>
      <c r="K21" s="205"/>
    </row>
    <row r="22" spans="1:11" ht="16.5" customHeight="1" x14ac:dyDescent="0.25">
      <c r="A22" s="142">
        <v>1996</v>
      </c>
      <c r="B22" s="142">
        <v>1995</v>
      </c>
      <c r="C22" s="132">
        <v>0.16</v>
      </c>
      <c r="D22" s="135" t="s">
        <v>351</v>
      </c>
      <c r="E22" s="146"/>
      <c r="F22" s="132">
        <v>0.3</v>
      </c>
      <c r="G22" s="137"/>
      <c r="H22" s="194">
        <v>0.22500000000000001</v>
      </c>
      <c r="I22" s="194">
        <f t="shared" si="0"/>
        <v>0.16</v>
      </c>
      <c r="J22" s="304"/>
      <c r="K22" s="293" t="s">
        <v>529</v>
      </c>
    </row>
    <row r="23" spans="1:11" ht="16.5" customHeight="1" x14ac:dyDescent="0.25">
      <c r="A23" s="142">
        <v>1995</v>
      </c>
      <c r="B23" s="142">
        <v>1994</v>
      </c>
      <c r="C23" s="132">
        <v>0.16</v>
      </c>
      <c r="D23" s="135" t="s">
        <v>352</v>
      </c>
      <c r="E23" s="146"/>
      <c r="F23" s="146"/>
      <c r="G23" s="137"/>
      <c r="H23" s="194">
        <v>0.22500000000000001</v>
      </c>
      <c r="I23" s="194">
        <f t="shared" si="0"/>
        <v>0.16</v>
      </c>
      <c r="J23" s="304"/>
      <c r="K23" s="205"/>
    </row>
    <row r="24" spans="1:11" ht="16.5" customHeight="1" x14ac:dyDescent="0.25">
      <c r="A24" s="142">
        <v>1994</v>
      </c>
      <c r="B24" s="142">
        <v>1993</v>
      </c>
      <c r="C24" s="132">
        <v>0.16</v>
      </c>
      <c r="D24" s="135"/>
      <c r="E24" s="146"/>
      <c r="F24" s="146"/>
      <c r="G24" s="137"/>
      <c r="H24" s="194">
        <v>0.22500000000000001</v>
      </c>
      <c r="I24" s="194">
        <f t="shared" si="0"/>
        <v>0.16</v>
      </c>
      <c r="J24" s="205"/>
      <c r="K24" s="205"/>
    </row>
    <row r="25" spans="1:11" ht="16.5" customHeight="1" x14ac:dyDescent="0.25">
      <c r="A25" s="142">
        <v>1993</v>
      </c>
      <c r="B25" s="142">
        <v>1992</v>
      </c>
      <c r="C25" s="195">
        <v>0.16</v>
      </c>
      <c r="D25" s="148"/>
      <c r="E25" s="146"/>
      <c r="F25" s="146"/>
      <c r="G25" s="137"/>
      <c r="H25" s="197">
        <v>0.22500000000000001</v>
      </c>
      <c r="I25" s="194">
        <f t="shared" si="0"/>
        <v>0.16</v>
      </c>
      <c r="J25" s="205"/>
      <c r="K25" s="205"/>
    </row>
    <row r="26" spans="1:11" ht="16.5" customHeight="1" x14ac:dyDescent="0.25">
      <c r="A26" s="142">
        <v>1992</v>
      </c>
      <c r="B26" s="142">
        <v>1991</v>
      </c>
      <c r="C26" s="132">
        <v>0.16</v>
      </c>
      <c r="D26" s="196" t="s">
        <v>327</v>
      </c>
      <c r="E26" s="146"/>
      <c r="F26" s="146"/>
      <c r="G26" s="137"/>
      <c r="H26" s="197">
        <v>0.22500000000000001</v>
      </c>
      <c r="I26" s="194">
        <f t="shared" si="0"/>
        <v>0.16</v>
      </c>
      <c r="J26" s="205"/>
      <c r="K26" s="205"/>
    </row>
    <row r="27" spans="1:11" ht="16.5" customHeight="1" x14ac:dyDescent="0.25">
      <c r="A27" s="142">
        <v>1991</v>
      </c>
      <c r="B27" s="142">
        <v>1990</v>
      </c>
      <c r="C27" s="195">
        <v>0.16</v>
      </c>
      <c r="D27" s="196" t="s">
        <v>326</v>
      </c>
      <c r="E27" s="146"/>
      <c r="F27" s="146"/>
      <c r="G27" s="137"/>
      <c r="H27" s="198"/>
      <c r="I27" s="194">
        <f t="shared" si="0"/>
        <v>0.16</v>
      </c>
      <c r="J27" s="205"/>
      <c r="K27" s="205"/>
    </row>
    <row r="28" spans="1:11" ht="16.5" customHeight="1" x14ac:dyDescent="0.25">
      <c r="A28" s="142">
        <v>1990</v>
      </c>
      <c r="B28" s="142">
        <v>1989</v>
      </c>
      <c r="C28" s="195">
        <v>0.16</v>
      </c>
      <c r="D28" s="199" t="s">
        <v>320</v>
      </c>
      <c r="E28" s="146"/>
      <c r="F28" s="146"/>
      <c r="G28" s="137"/>
      <c r="H28" s="198"/>
      <c r="I28" s="194">
        <f t="shared" si="0"/>
        <v>0.16</v>
      </c>
      <c r="J28" s="205"/>
      <c r="K28" s="205"/>
    </row>
    <row r="29" spans="1:11" ht="16.5" customHeight="1" x14ac:dyDescent="0.25">
      <c r="A29" s="142">
        <v>1989</v>
      </c>
      <c r="B29" s="142">
        <v>1988</v>
      </c>
      <c r="C29" s="195">
        <v>0.16</v>
      </c>
      <c r="D29" s="199" t="s">
        <v>325</v>
      </c>
      <c r="E29" s="146"/>
      <c r="F29" s="146"/>
      <c r="G29" s="137"/>
      <c r="H29" s="198"/>
      <c r="I29" s="194">
        <f t="shared" si="0"/>
        <v>0.16</v>
      </c>
      <c r="J29" s="205"/>
      <c r="K29" s="205"/>
    </row>
    <row r="30" spans="1:11" ht="16.5" customHeight="1" x14ac:dyDescent="0.25">
      <c r="A30" s="142">
        <v>1988</v>
      </c>
      <c r="B30" s="142">
        <v>1987</v>
      </c>
      <c r="C30" s="195">
        <v>0.16</v>
      </c>
      <c r="D30" s="199" t="s">
        <v>324</v>
      </c>
      <c r="E30" s="146"/>
      <c r="F30" s="146"/>
      <c r="G30" s="137"/>
      <c r="H30" s="198"/>
      <c r="I30" s="194">
        <f t="shared" si="0"/>
        <v>0.16</v>
      </c>
      <c r="J30" s="205"/>
      <c r="K30" s="205"/>
    </row>
    <row r="31" spans="1:11" ht="16.5" customHeight="1" x14ac:dyDescent="0.25">
      <c r="A31" s="142">
        <v>1987</v>
      </c>
      <c r="B31" s="142">
        <v>1986</v>
      </c>
      <c r="C31" s="195">
        <v>0.16</v>
      </c>
      <c r="D31" s="200" t="s">
        <v>324</v>
      </c>
      <c r="E31" s="146"/>
      <c r="F31" s="146"/>
      <c r="G31" s="137"/>
      <c r="H31" s="198"/>
      <c r="I31" s="194">
        <f t="shared" si="0"/>
        <v>0.16</v>
      </c>
      <c r="J31" s="205"/>
      <c r="K31" s="205"/>
    </row>
    <row r="32" spans="1:11" ht="16.5" customHeight="1" x14ac:dyDescent="0.25">
      <c r="A32" s="142">
        <v>1986</v>
      </c>
      <c r="B32" s="142">
        <v>1985</v>
      </c>
      <c r="C32" s="195">
        <v>0.16</v>
      </c>
      <c r="D32" s="199" t="s">
        <v>323</v>
      </c>
      <c r="E32" s="146"/>
      <c r="F32" s="146"/>
      <c r="G32" s="137"/>
      <c r="H32" s="198"/>
      <c r="I32" s="194">
        <f t="shared" si="0"/>
        <v>0.16</v>
      </c>
      <c r="J32" s="205"/>
      <c r="K32" s="205"/>
    </row>
    <row r="33" spans="1:11" ht="16.5" customHeight="1" x14ac:dyDescent="0.25">
      <c r="A33" s="142">
        <v>1985</v>
      </c>
      <c r="B33" s="142">
        <v>1984</v>
      </c>
      <c r="C33" s="195">
        <v>0.16</v>
      </c>
      <c r="D33" s="199" t="s">
        <v>322</v>
      </c>
      <c r="E33" s="146"/>
      <c r="F33" s="146"/>
      <c r="G33" s="137"/>
      <c r="H33" s="198"/>
      <c r="I33" s="194">
        <f t="shared" si="0"/>
        <v>0.16</v>
      </c>
      <c r="J33" s="205"/>
      <c r="K33" s="205"/>
    </row>
    <row r="34" spans="1:11" ht="16.5" customHeight="1" x14ac:dyDescent="0.25">
      <c r="A34" s="142">
        <v>1984</v>
      </c>
      <c r="B34" s="142">
        <v>1983</v>
      </c>
      <c r="C34" s="195">
        <v>0.15</v>
      </c>
      <c r="D34" s="199"/>
      <c r="E34" s="146"/>
      <c r="F34" s="146"/>
      <c r="G34" s="137"/>
      <c r="H34" s="198"/>
      <c r="I34" s="194">
        <f t="shared" si="0"/>
        <v>0.15</v>
      </c>
      <c r="J34" s="205"/>
      <c r="K34" s="205"/>
    </row>
    <row r="35" spans="1:11" ht="16.5" customHeight="1" x14ac:dyDescent="0.25">
      <c r="A35" s="142">
        <v>1983</v>
      </c>
      <c r="B35" s="142">
        <v>1982</v>
      </c>
      <c r="C35" s="195">
        <v>0.15</v>
      </c>
      <c r="D35" s="199"/>
      <c r="E35" s="146"/>
      <c r="F35" s="146"/>
      <c r="G35" s="137"/>
      <c r="H35" s="198"/>
      <c r="I35" s="194">
        <f t="shared" si="0"/>
        <v>0.15</v>
      </c>
      <c r="J35" s="205"/>
      <c r="K35" s="205"/>
    </row>
    <row r="36" spans="1:11" ht="16.5" customHeight="1" x14ac:dyDescent="0.25">
      <c r="A36" s="142">
        <v>1982</v>
      </c>
      <c r="B36" s="142">
        <v>1981</v>
      </c>
      <c r="C36" s="195">
        <v>0.15</v>
      </c>
      <c r="D36" s="199" t="s">
        <v>375</v>
      </c>
      <c r="E36" s="146"/>
      <c r="F36" s="146"/>
      <c r="G36" s="137"/>
      <c r="H36" s="198"/>
      <c r="I36" s="194">
        <f t="shared" si="0"/>
        <v>0.15</v>
      </c>
      <c r="J36" s="205"/>
      <c r="K36" s="205"/>
    </row>
    <row r="37" spans="1:11" ht="16.5" customHeight="1" x14ac:dyDescent="0.25">
      <c r="A37" s="142">
        <v>1981</v>
      </c>
      <c r="B37" s="142">
        <v>1980</v>
      </c>
      <c r="C37" s="195">
        <v>0.15</v>
      </c>
      <c r="D37" s="199" t="s">
        <v>360</v>
      </c>
      <c r="E37" s="146"/>
      <c r="F37" s="146"/>
      <c r="G37" s="137"/>
      <c r="H37" s="198"/>
      <c r="I37" s="194">
        <f t="shared" si="0"/>
        <v>0.15</v>
      </c>
      <c r="J37" s="205"/>
      <c r="K37" s="205"/>
    </row>
    <row r="38" spans="1:11" ht="16.5" customHeight="1" x14ac:dyDescent="0.25">
      <c r="A38" s="142">
        <v>1980</v>
      </c>
      <c r="B38" s="142">
        <v>1979</v>
      </c>
      <c r="C38" s="195">
        <v>0.15</v>
      </c>
      <c r="D38" s="199" t="s">
        <v>321</v>
      </c>
      <c r="E38" s="146"/>
      <c r="F38" s="146"/>
      <c r="G38" s="137"/>
      <c r="H38" s="198"/>
      <c r="I38" s="194">
        <f t="shared" si="0"/>
        <v>0.15</v>
      </c>
      <c r="J38" s="205"/>
      <c r="K38" s="205"/>
    </row>
    <row r="39" spans="1:11" ht="16.5" customHeight="1" x14ac:dyDescent="0.25">
      <c r="A39" s="142">
        <v>1979</v>
      </c>
      <c r="B39" s="142">
        <v>1978</v>
      </c>
      <c r="C39" s="195">
        <v>0.15</v>
      </c>
      <c r="D39" s="199" t="s">
        <v>321</v>
      </c>
      <c r="E39" s="146"/>
      <c r="F39" s="146"/>
      <c r="G39" s="137"/>
      <c r="H39" s="198"/>
      <c r="I39" s="194">
        <f t="shared" si="0"/>
        <v>0.15</v>
      </c>
      <c r="J39" s="205"/>
      <c r="K39" s="205"/>
    </row>
    <row r="40" spans="1:11" ht="16.5" customHeight="1" x14ac:dyDescent="0.25">
      <c r="A40" s="142">
        <v>1978</v>
      </c>
      <c r="B40" s="142">
        <v>1977</v>
      </c>
      <c r="C40" s="198"/>
      <c r="D40" s="198"/>
      <c r="E40" s="146"/>
      <c r="F40" s="146"/>
      <c r="G40" s="137"/>
      <c r="H40" s="198"/>
      <c r="I40" s="198"/>
      <c r="J40" s="205"/>
      <c r="K40" s="205"/>
    </row>
    <row r="42" spans="1:11" ht="16.5" customHeight="1" x14ac:dyDescent="0.25">
      <c r="D42" s="78" t="s">
        <v>511</v>
      </c>
    </row>
    <row r="43" spans="1:11" ht="16.5" customHeight="1" x14ac:dyDescent="0.25">
      <c r="D43" t="s">
        <v>910</v>
      </c>
    </row>
    <row r="86" spans="1:2" ht="16.5" customHeight="1" x14ac:dyDescent="0.25">
      <c r="A86" s="97"/>
      <c r="B86" s="97"/>
    </row>
    <row r="87" spans="1:2" ht="16.5" customHeight="1" x14ac:dyDescent="0.25">
      <c r="A87" s="97"/>
      <c r="B87" s="97"/>
    </row>
    <row r="88" spans="1:2" ht="16.5" customHeight="1" x14ac:dyDescent="0.25">
      <c r="A88" s="97"/>
      <c r="B88" s="97"/>
    </row>
    <row r="89" spans="1:2" ht="16.5" customHeight="1" x14ac:dyDescent="0.25">
      <c r="A89" s="97"/>
      <c r="B89" s="97"/>
    </row>
    <row r="90" spans="1:2" ht="16.5" customHeight="1" x14ac:dyDescent="0.25">
      <c r="A90" s="97"/>
      <c r="B90" s="97"/>
    </row>
  </sheetData>
  <mergeCells count="6">
    <mergeCell ref="A2:B2"/>
    <mergeCell ref="K2:K3"/>
    <mergeCell ref="J2:J3"/>
    <mergeCell ref="C2:D2"/>
    <mergeCell ref="E2:G2"/>
    <mergeCell ref="H2:I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workbookViewId="0">
      <pane xSplit="2" ySplit="3" topLeftCell="C4" activePane="bottomRight" state="frozen"/>
      <selection activeCell="C3" sqref="C3:E3"/>
      <selection pane="topRight" activeCell="C3" sqref="C3:E3"/>
      <selection pane="bottomLeft" activeCell="C3" sqref="C3:E3"/>
      <selection pane="bottomRight" activeCell="D10" sqref="D10"/>
    </sheetView>
  </sheetViews>
  <sheetFormatPr baseColWidth="10" defaultColWidth="15.7109375" defaultRowHeight="15" x14ac:dyDescent="0.25"/>
  <cols>
    <col min="1" max="1" width="7.5703125" style="50" bestFit="1" customWidth="1"/>
    <col min="2" max="2" width="12.85546875" style="50" bestFit="1" customWidth="1"/>
    <col min="3" max="3" width="17" style="26" customWidth="1"/>
    <col min="4" max="4" width="21.5703125" style="26" customWidth="1"/>
    <col min="5" max="5" width="19.5703125" style="26" customWidth="1"/>
    <col min="6" max="6" width="23.5703125" style="26" customWidth="1"/>
    <col min="7" max="7" width="21" style="26" bestFit="1" customWidth="1"/>
    <col min="8" max="8" width="24.140625" style="26" bestFit="1" customWidth="1"/>
    <col min="9" max="9" width="23" style="26" customWidth="1"/>
    <col min="10" max="10" width="66" style="26" bestFit="1" customWidth="1"/>
    <col min="11" max="11" width="100.140625" style="26" customWidth="1"/>
    <col min="12" max="16384" width="15.7109375" style="26"/>
  </cols>
  <sheetData>
    <row r="1" spans="1:11" hidden="1" x14ac:dyDescent="0.25">
      <c r="A1" s="269" t="s">
        <v>1130</v>
      </c>
      <c r="B1" s="269" t="s">
        <v>1131</v>
      </c>
      <c r="C1" s="427" t="s">
        <v>107</v>
      </c>
      <c r="D1" s="427" t="s">
        <v>57</v>
      </c>
      <c r="E1" s="427" t="s">
        <v>108</v>
      </c>
      <c r="F1" s="427" t="s">
        <v>109</v>
      </c>
      <c r="G1" s="427" t="s">
        <v>171</v>
      </c>
      <c r="H1" s="427" t="s">
        <v>172</v>
      </c>
      <c r="I1" s="427" t="s">
        <v>176</v>
      </c>
      <c r="J1" s="428" t="s">
        <v>1135</v>
      </c>
      <c r="K1" s="3"/>
    </row>
    <row r="2" spans="1:11" ht="30" x14ac:dyDescent="0.25">
      <c r="A2" s="486" t="s">
        <v>997</v>
      </c>
      <c r="B2" s="487"/>
      <c r="C2" s="526" t="s">
        <v>425</v>
      </c>
      <c r="D2" s="526"/>
      <c r="E2" s="281" t="s">
        <v>426</v>
      </c>
      <c r="F2" s="308" t="s">
        <v>630</v>
      </c>
      <c r="G2" s="281" t="s">
        <v>427</v>
      </c>
      <c r="H2" s="526" t="s">
        <v>428</v>
      </c>
      <c r="I2" s="522"/>
      <c r="J2" s="527" t="s">
        <v>751</v>
      </c>
      <c r="K2" s="529" t="s">
        <v>1</v>
      </c>
    </row>
    <row r="3" spans="1:11" ht="30" x14ac:dyDescent="0.25">
      <c r="A3" s="383" t="s">
        <v>214</v>
      </c>
      <c r="B3" s="383" t="s">
        <v>996</v>
      </c>
      <c r="C3" s="308" t="s">
        <v>379</v>
      </c>
      <c r="D3" s="308" t="s">
        <v>391</v>
      </c>
      <c r="E3" s="308" t="s">
        <v>379</v>
      </c>
      <c r="F3" s="308" t="s">
        <v>629</v>
      </c>
      <c r="G3" s="308" t="s">
        <v>391</v>
      </c>
      <c r="H3" s="308" t="s">
        <v>379</v>
      </c>
      <c r="I3" s="308" t="s">
        <v>391</v>
      </c>
      <c r="J3" s="528"/>
      <c r="K3" s="529"/>
    </row>
    <row r="4" spans="1:11" s="110" customFormat="1" x14ac:dyDescent="0.25">
      <c r="A4" s="142">
        <v>2012</v>
      </c>
      <c r="B4" s="142">
        <v>2011</v>
      </c>
      <c r="C4" s="67">
        <f t="shared" ref="C4:C10" si="0">75/100</f>
        <v>0.75</v>
      </c>
      <c r="D4" s="72">
        <v>521</v>
      </c>
      <c r="E4" s="67">
        <f t="shared" ref="E4:E10" si="1">66/100</f>
        <v>0.66</v>
      </c>
      <c r="F4" s="67">
        <f>20/100</f>
        <v>0.2</v>
      </c>
      <c r="G4" s="67">
        <f t="shared" ref="G4" si="2">F4</f>
        <v>0.2</v>
      </c>
      <c r="H4" s="67">
        <f t="shared" ref="H4" si="3">E4</f>
        <v>0.66</v>
      </c>
      <c r="I4" s="67">
        <f t="shared" ref="I4" si="4">F4</f>
        <v>0.2</v>
      </c>
      <c r="J4" s="321" t="s">
        <v>376</v>
      </c>
      <c r="K4" s="365" t="s">
        <v>911</v>
      </c>
    </row>
    <row r="5" spans="1:11" s="50" customFormat="1" x14ac:dyDescent="0.25">
      <c r="A5" s="142">
        <v>2011</v>
      </c>
      <c r="B5" s="142">
        <v>2010</v>
      </c>
      <c r="C5" s="46">
        <f t="shared" si="0"/>
        <v>0.75</v>
      </c>
      <c r="D5" s="13">
        <f>513</f>
        <v>513</v>
      </c>
      <c r="E5" s="46">
        <f t="shared" si="1"/>
        <v>0.66</v>
      </c>
      <c r="F5" s="46">
        <f>20/100</f>
        <v>0.2</v>
      </c>
      <c r="G5" s="46">
        <f t="shared" ref="G5:G10" si="5">F5</f>
        <v>0.2</v>
      </c>
      <c r="H5" s="46">
        <f t="shared" ref="H5:H11" si="6">E5</f>
        <v>0.66</v>
      </c>
      <c r="I5" s="46">
        <f t="shared" ref="I5:I11" si="7">F5</f>
        <v>0.2</v>
      </c>
      <c r="J5" s="321" t="s">
        <v>573</v>
      </c>
      <c r="K5" s="275"/>
    </row>
    <row r="6" spans="1:11" s="50" customFormat="1" x14ac:dyDescent="0.25">
      <c r="A6" s="142">
        <v>2010</v>
      </c>
      <c r="B6" s="142">
        <v>2009</v>
      </c>
      <c r="C6" s="46">
        <f t="shared" si="0"/>
        <v>0.75</v>
      </c>
      <c r="D6" s="13">
        <f>510</f>
        <v>510</v>
      </c>
      <c r="E6" s="46">
        <f t="shared" si="1"/>
        <v>0.66</v>
      </c>
      <c r="F6" s="46">
        <f>20/100</f>
        <v>0.2</v>
      </c>
      <c r="G6" s="46">
        <f>F6</f>
        <v>0.2</v>
      </c>
      <c r="H6" s="46">
        <f t="shared" si="6"/>
        <v>0.66</v>
      </c>
      <c r="I6" s="46">
        <f t="shared" si="7"/>
        <v>0.2</v>
      </c>
      <c r="J6" s="321" t="s">
        <v>574</v>
      </c>
      <c r="K6" s="278"/>
    </row>
    <row r="7" spans="1:11" s="50" customFormat="1" ht="15.75" thickBot="1" x14ac:dyDescent="0.3">
      <c r="A7" s="142">
        <v>2009</v>
      </c>
      <c r="B7" s="142">
        <v>2008</v>
      </c>
      <c r="C7" s="46">
        <f t="shared" si="0"/>
        <v>0.75</v>
      </c>
      <c r="D7" s="13">
        <v>495</v>
      </c>
      <c r="E7" s="46">
        <f t="shared" si="1"/>
        <v>0.66</v>
      </c>
      <c r="F7" s="46">
        <f t="shared" ref="F7:F13" si="8">20/100</f>
        <v>0.2</v>
      </c>
      <c r="G7" s="46">
        <f t="shared" si="5"/>
        <v>0.2</v>
      </c>
      <c r="H7" s="46">
        <f t="shared" si="6"/>
        <v>0.66</v>
      </c>
      <c r="I7" s="46">
        <f t="shared" si="7"/>
        <v>0.2</v>
      </c>
      <c r="J7" s="321" t="s">
        <v>575</v>
      </c>
      <c r="K7" s="43"/>
    </row>
    <row r="8" spans="1:11" s="50" customFormat="1" x14ac:dyDescent="0.25">
      <c r="A8" s="142">
        <v>2008</v>
      </c>
      <c r="B8" s="142">
        <v>2007</v>
      </c>
      <c r="C8" s="46">
        <f t="shared" si="0"/>
        <v>0.75</v>
      </c>
      <c r="D8" s="13">
        <v>488</v>
      </c>
      <c r="E8" s="46">
        <f t="shared" si="1"/>
        <v>0.66</v>
      </c>
      <c r="F8" s="46">
        <f t="shared" si="8"/>
        <v>0.2</v>
      </c>
      <c r="G8" s="46">
        <f t="shared" si="5"/>
        <v>0.2</v>
      </c>
      <c r="H8" s="46">
        <f t="shared" si="6"/>
        <v>0.66</v>
      </c>
      <c r="I8" s="46">
        <f t="shared" si="7"/>
        <v>0.2</v>
      </c>
      <c r="J8" s="321" t="s">
        <v>576</v>
      </c>
      <c r="K8" s="523" t="s">
        <v>495</v>
      </c>
    </row>
    <row r="9" spans="1:11" s="50" customFormat="1" x14ac:dyDescent="0.25">
      <c r="A9" s="142">
        <v>2007</v>
      </c>
      <c r="B9" s="142">
        <v>2006</v>
      </c>
      <c r="C9" s="46">
        <f t="shared" si="0"/>
        <v>0.75</v>
      </c>
      <c r="D9" s="13">
        <v>479</v>
      </c>
      <c r="E9" s="46">
        <f t="shared" si="1"/>
        <v>0.66</v>
      </c>
      <c r="F9" s="46">
        <f t="shared" si="8"/>
        <v>0.2</v>
      </c>
      <c r="G9" s="46">
        <f t="shared" si="5"/>
        <v>0.2</v>
      </c>
      <c r="H9" s="46">
        <f t="shared" si="6"/>
        <v>0.66</v>
      </c>
      <c r="I9" s="46">
        <f t="shared" si="7"/>
        <v>0.2</v>
      </c>
      <c r="J9" s="321"/>
      <c r="K9" s="524"/>
    </row>
    <row r="10" spans="1:11" s="50" customFormat="1" x14ac:dyDescent="0.25">
      <c r="A10" s="142">
        <v>2006</v>
      </c>
      <c r="B10" s="142">
        <v>2005</v>
      </c>
      <c r="C10" s="46">
        <f t="shared" si="0"/>
        <v>0.75</v>
      </c>
      <c r="D10" s="13">
        <v>470</v>
      </c>
      <c r="E10" s="46">
        <f t="shared" si="1"/>
        <v>0.66</v>
      </c>
      <c r="F10" s="46">
        <f t="shared" si="8"/>
        <v>0.2</v>
      </c>
      <c r="G10" s="46">
        <f t="shared" si="5"/>
        <v>0.2</v>
      </c>
      <c r="H10" s="46">
        <f t="shared" si="6"/>
        <v>0.66</v>
      </c>
      <c r="I10" s="46">
        <f t="shared" si="7"/>
        <v>0.2</v>
      </c>
      <c r="J10" s="321" t="s">
        <v>113</v>
      </c>
      <c r="K10" s="524"/>
    </row>
    <row r="11" spans="1:11" s="50" customFormat="1" ht="15.75" thickBot="1" x14ac:dyDescent="0.3">
      <c r="A11" s="142">
        <v>2005</v>
      </c>
      <c r="B11" s="142">
        <v>2004</v>
      </c>
      <c r="C11" s="46">
        <f>66%</f>
        <v>0.66</v>
      </c>
      <c r="D11" s="13">
        <f>422</f>
        <v>422</v>
      </c>
      <c r="E11" s="46">
        <v>0.6</v>
      </c>
      <c r="F11" s="46">
        <f t="shared" si="8"/>
        <v>0.2</v>
      </c>
      <c r="G11" s="46">
        <f>F11</f>
        <v>0.2</v>
      </c>
      <c r="H11" s="46">
        <f t="shared" si="6"/>
        <v>0.6</v>
      </c>
      <c r="I11" s="46">
        <f t="shared" si="7"/>
        <v>0.2</v>
      </c>
      <c r="J11" s="321"/>
      <c r="K11" s="525"/>
    </row>
    <row r="12" spans="1:11" s="50" customFormat="1" x14ac:dyDescent="0.25">
      <c r="A12" s="142">
        <v>2004</v>
      </c>
      <c r="B12" s="142">
        <v>2003</v>
      </c>
      <c r="C12" s="46">
        <f>66%</f>
        <v>0.66</v>
      </c>
      <c r="D12" s="13">
        <v>414</v>
      </c>
      <c r="E12" s="46">
        <v>0.6</v>
      </c>
      <c r="F12" s="46">
        <f t="shared" si="8"/>
        <v>0.2</v>
      </c>
      <c r="G12" s="46">
        <f>F12</f>
        <v>0.2</v>
      </c>
      <c r="H12" s="46">
        <f>E12</f>
        <v>0.6</v>
      </c>
      <c r="I12" s="46">
        <f>F12</f>
        <v>0.2</v>
      </c>
      <c r="J12" s="321"/>
      <c r="K12" s="65"/>
    </row>
    <row r="13" spans="1:11" s="50" customFormat="1" x14ac:dyDescent="0.25">
      <c r="A13" s="142">
        <v>2003</v>
      </c>
      <c r="B13" s="142">
        <v>2002</v>
      </c>
      <c r="C13" s="46">
        <v>0.6</v>
      </c>
      <c r="D13" s="13">
        <v>407</v>
      </c>
      <c r="E13" s="46">
        <v>0.6</v>
      </c>
      <c r="F13" s="46">
        <f t="shared" si="8"/>
        <v>0.2</v>
      </c>
      <c r="G13" s="46">
        <f>F13</f>
        <v>0.2</v>
      </c>
      <c r="H13" s="46">
        <f>E13</f>
        <v>0.6</v>
      </c>
      <c r="I13" s="46">
        <f>F13</f>
        <v>0.2</v>
      </c>
      <c r="J13" s="321" t="s">
        <v>572</v>
      </c>
      <c r="K13" s="43"/>
    </row>
    <row r="14" spans="1:11" s="50" customFormat="1" x14ac:dyDescent="0.25">
      <c r="A14" s="142">
        <v>2002</v>
      </c>
      <c r="B14" s="142">
        <v>2001</v>
      </c>
      <c r="C14" s="46">
        <v>0.6</v>
      </c>
      <c r="D14" s="13">
        <v>400</v>
      </c>
      <c r="E14" s="46">
        <f t="shared" ref="E14:E18" si="9">50/100</f>
        <v>0.5</v>
      </c>
      <c r="F14" s="46">
        <f>10/100</f>
        <v>0.1</v>
      </c>
      <c r="G14" s="46">
        <v>0.1</v>
      </c>
      <c r="H14" s="46">
        <v>0.5</v>
      </c>
      <c r="I14" s="46">
        <v>0.1</v>
      </c>
      <c r="J14" s="321"/>
      <c r="K14" s="43"/>
    </row>
    <row r="15" spans="1:11" s="51" customFormat="1" x14ac:dyDescent="0.25">
      <c r="A15" s="142">
        <v>2001</v>
      </c>
      <c r="B15" s="142">
        <v>2000</v>
      </c>
      <c r="C15" s="33">
        <f>60/100</f>
        <v>0.6</v>
      </c>
      <c r="D15" s="34">
        <f>2100</f>
        <v>2100</v>
      </c>
      <c r="E15" s="33">
        <f t="shared" si="9"/>
        <v>0.5</v>
      </c>
      <c r="F15" s="68">
        <f>6%</f>
        <v>0.06</v>
      </c>
      <c r="G15" s="68">
        <v>0.06</v>
      </c>
      <c r="H15" s="46">
        <v>0.5</v>
      </c>
      <c r="I15" s="68">
        <v>0.06</v>
      </c>
      <c r="J15" s="321"/>
      <c r="K15" s="27"/>
    </row>
    <row r="16" spans="1:11" s="51" customFormat="1" x14ac:dyDescent="0.25">
      <c r="A16" s="142">
        <v>2000</v>
      </c>
      <c r="B16" s="142">
        <v>1999</v>
      </c>
      <c r="C16" s="33">
        <f>60/100</f>
        <v>0.6</v>
      </c>
      <c r="D16" s="34">
        <f>2070</f>
        <v>2070</v>
      </c>
      <c r="E16" s="33">
        <f t="shared" si="9"/>
        <v>0.5</v>
      </c>
      <c r="F16" s="68">
        <f>6%</f>
        <v>0.06</v>
      </c>
      <c r="G16" s="68">
        <v>0.06</v>
      </c>
      <c r="H16" s="46">
        <v>0.5</v>
      </c>
      <c r="I16" s="68">
        <v>0.06</v>
      </c>
      <c r="J16" s="294"/>
      <c r="K16" s="48"/>
    </row>
    <row r="17" spans="1:11" s="51" customFormat="1" x14ac:dyDescent="0.25">
      <c r="A17" s="142">
        <v>1999</v>
      </c>
      <c r="B17" s="142">
        <v>1998</v>
      </c>
      <c r="C17" s="33">
        <f>60/100</f>
        <v>0.6</v>
      </c>
      <c r="D17" s="34">
        <f>2050</f>
        <v>2050</v>
      </c>
      <c r="E17" s="33">
        <f t="shared" si="9"/>
        <v>0.5</v>
      </c>
      <c r="F17" s="182">
        <f>6%</f>
        <v>0.06</v>
      </c>
      <c r="G17" s="182">
        <v>1.7500000000000002E-2</v>
      </c>
      <c r="H17" s="46">
        <v>0.4</v>
      </c>
      <c r="I17" s="46">
        <v>0.05</v>
      </c>
      <c r="J17" s="45"/>
      <c r="K17" s="56"/>
    </row>
    <row r="18" spans="1:11" s="51" customFormat="1" x14ac:dyDescent="0.25">
      <c r="A18" s="142">
        <v>1998</v>
      </c>
      <c r="B18" s="142">
        <v>1997</v>
      </c>
      <c r="C18" s="33">
        <f>60%</f>
        <v>0.6</v>
      </c>
      <c r="D18" s="34">
        <v>2030</v>
      </c>
      <c r="E18" s="33">
        <f t="shared" si="9"/>
        <v>0.5</v>
      </c>
      <c r="F18" s="182">
        <f>6%</f>
        <v>0.06</v>
      </c>
      <c r="G18" s="182">
        <v>1.7500000000000002E-2</v>
      </c>
      <c r="H18" s="46">
        <v>0.4</v>
      </c>
      <c r="I18" s="46">
        <v>0.05</v>
      </c>
      <c r="J18" s="45"/>
      <c r="K18" s="56"/>
    </row>
    <row r="19" spans="1:11" s="51" customFormat="1" x14ac:dyDescent="0.25">
      <c r="A19" s="142">
        <v>1997</v>
      </c>
      <c r="B19" s="142">
        <v>1996</v>
      </c>
      <c r="C19" s="33">
        <f>60%</f>
        <v>0.6</v>
      </c>
      <c r="D19" s="34">
        <f>2000</f>
        <v>2000</v>
      </c>
      <c r="E19" s="33">
        <f>0.5</f>
        <v>0.5</v>
      </c>
      <c r="F19" s="182">
        <f>6%</f>
        <v>0.06</v>
      </c>
      <c r="G19" s="182">
        <v>1.7500000000000002E-2</v>
      </c>
      <c r="H19" s="46">
        <v>0.4</v>
      </c>
      <c r="I19" s="46">
        <v>0.05</v>
      </c>
      <c r="J19" s="47"/>
      <c r="K19" s="48"/>
    </row>
    <row r="20" spans="1:11" s="51" customFormat="1" x14ac:dyDescent="0.25">
      <c r="A20" s="142">
        <v>1996</v>
      </c>
      <c r="B20" s="142">
        <v>1995</v>
      </c>
      <c r="C20" s="33">
        <f>50%</f>
        <v>0.5</v>
      </c>
      <c r="D20" s="34">
        <f>1040</f>
        <v>1040</v>
      </c>
      <c r="E20" s="33">
        <f>40%</f>
        <v>0.4</v>
      </c>
      <c r="F20" s="182">
        <v>0.05</v>
      </c>
      <c r="G20" s="182">
        <v>1.2500000000000001E-2</v>
      </c>
      <c r="H20" s="85"/>
      <c r="I20" s="85"/>
      <c r="J20" s="47"/>
      <c r="K20" s="48"/>
    </row>
    <row r="21" spans="1:11" s="51" customFormat="1" x14ac:dyDescent="0.25">
      <c r="A21" s="142">
        <v>1995</v>
      </c>
      <c r="B21" s="142">
        <v>1994</v>
      </c>
      <c r="C21" s="46">
        <f>0.5</f>
        <v>0.5</v>
      </c>
      <c r="D21" s="17">
        <f>1020</f>
        <v>1020</v>
      </c>
      <c r="E21" s="46">
        <f>40%</f>
        <v>0.4</v>
      </c>
      <c r="F21" s="182">
        <v>0.05</v>
      </c>
      <c r="G21" s="182">
        <v>1.2500000000000001E-2</v>
      </c>
      <c r="H21" s="85"/>
      <c r="I21" s="85"/>
      <c r="J21" s="47"/>
      <c r="K21" s="48"/>
    </row>
    <row r="22" spans="1:11" x14ac:dyDescent="0.25">
      <c r="A22" s="142">
        <v>1994</v>
      </c>
      <c r="B22" s="142">
        <v>1993</v>
      </c>
      <c r="C22" s="33">
        <v>0.5</v>
      </c>
      <c r="D22" s="27" t="s">
        <v>268</v>
      </c>
      <c r="E22" s="46">
        <v>0.4</v>
      </c>
      <c r="F22" s="182">
        <v>0.05</v>
      </c>
      <c r="G22" s="182">
        <v>1.2500000000000001E-2</v>
      </c>
      <c r="H22" s="85"/>
      <c r="I22" s="85"/>
      <c r="J22" s="49"/>
      <c r="K22" s="48"/>
    </row>
    <row r="23" spans="1:11" x14ac:dyDescent="0.25">
      <c r="A23" s="142">
        <v>1993</v>
      </c>
      <c r="B23" s="142">
        <v>1992</v>
      </c>
      <c r="C23" s="33">
        <v>0.5</v>
      </c>
      <c r="D23" s="27" t="s">
        <v>269</v>
      </c>
      <c r="E23" s="33">
        <v>0.4</v>
      </c>
      <c r="F23" s="182">
        <v>0.05</v>
      </c>
      <c r="G23" s="182">
        <v>1.2500000000000001E-2</v>
      </c>
      <c r="H23" s="85"/>
      <c r="I23" s="85"/>
      <c r="J23" s="49"/>
      <c r="K23" s="48"/>
    </row>
    <row r="24" spans="1:11" x14ac:dyDescent="0.25">
      <c r="A24" s="142">
        <v>1992</v>
      </c>
      <c r="B24" s="142">
        <v>1991</v>
      </c>
      <c r="C24" s="33">
        <v>0.5</v>
      </c>
      <c r="D24" s="27" t="s">
        <v>269</v>
      </c>
      <c r="E24" s="33">
        <v>0.4</v>
      </c>
      <c r="F24" s="182">
        <v>0.05</v>
      </c>
      <c r="G24" s="182">
        <v>1.2500000000000001E-2</v>
      </c>
      <c r="H24" s="85"/>
      <c r="I24" s="85"/>
      <c r="J24" s="27"/>
      <c r="K24" s="27"/>
    </row>
    <row r="25" spans="1:11" x14ac:dyDescent="0.25">
      <c r="A25" s="142">
        <v>1991</v>
      </c>
      <c r="B25" s="142">
        <v>1990</v>
      </c>
      <c r="C25" s="33">
        <v>0.5</v>
      </c>
      <c r="D25" s="27" t="s">
        <v>269</v>
      </c>
      <c r="E25" s="33">
        <v>0.4</v>
      </c>
      <c r="F25" s="182">
        <v>0.05</v>
      </c>
      <c r="G25" s="182">
        <v>1.2500000000000001E-2</v>
      </c>
      <c r="H25" s="85"/>
      <c r="I25" s="85"/>
      <c r="J25" s="27"/>
      <c r="K25" s="27"/>
    </row>
    <row r="26" spans="1:11" x14ac:dyDescent="0.25">
      <c r="A26" s="142">
        <v>1990</v>
      </c>
      <c r="B26" s="142">
        <v>1989</v>
      </c>
      <c r="C26" s="33">
        <v>0.5</v>
      </c>
      <c r="D26" s="27" t="s">
        <v>313</v>
      </c>
      <c r="E26" s="33">
        <v>0.4</v>
      </c>
      <c r="F26" s="182">
        <v>0.05</v>
      </c>
      <c r="G26" s="182">
        <v>1.2500000000000001E-2</v>
      </c>
      <c r="H26" s="85"/>
      <c r="I26" s="85"/>
      <c r="J26" s="27"/>
      <c r="K26" s="282" t="s">
        <v>496</v>
      </c>
    </row>
    <row r="27" spans="1:11" x14ac:dyDescent="0.25">
      <c r="A27" s="142">
        <v>1989</v>
      </c>
      <c r="B27" s="142">
        <v>1988</v>
      </c>
      <c r="C27" s="74">
        <v>0.5</v>
      </c>
      <c r="D27" s="75" t="s">
        <v>314</v>
      </c>
      <c r="E27" s="192"/>
      <c r="F27" s="182">
        <v>0.05</v>
      </c>
      <c r="G27" s="182">
        <v>1.2500000000000001E-2</v>
      </c>
      <c r="H27" s="85"/>
      <c r="I27" s="85"/>
      <c r="J27" s="27"/>
      <c r="K27" s="496" t="s">
        <v>628</v>
      </c>
    </row>
    <row r="28" spans="1:11" x14ac:dyDescent="0.25">
      <c r="A28" s="142">
        <v>1988</v>
      </c>
      <c r="B28" s="142">
        <v>1987</v>
      </c>
      <c r="C28" s="186"/>
      <c r="D28" s="186"/>
      <c r="E28" s="192"/>
      <c r="F28" s="182">
        <v>0.05</v>
      </c>
      <c r="G28" s="182">
        <v>1.2500000000000001E-2</v>
      </c>
      <c r="H28" s="85"/>
      <c r="I28" s="85"/>
      <c r="J28" s="27"/>
      <c r="K28" s="496"/>
    </row>
    <row r="29" spans="1:11" x14ac:dyDescent="0.25">
      <c r="A29" s="142">
        <v>1985</v>
      </c>
      <c r="B29" s="142">
        <v>1984</v>
      </c>
      <c r="C29" s="186"/>
      <c r="D29" s="186"/>
      <c r="E29" s="192"/>
      <c r="F29" s="46">
        <v>0.05</v>
      </c>
      <c r="G29" s="46">
        <v>0.01</v>
      </c>
      <c r="H29" s="85"/>
      <c r="I29" s="85"/>
    </row>
    <row r="30" spans="1:11" x14ac:dyDescent="0.25">
      <c r="A30" s="142">
        <v>1982</v>
      </c>
      <c r="B30" s="142">
        <v>1981</v>
      </c>
      <c r="C30" s="186"/>
      <c r="D30" s="186"/>
      <c r="E30" s="192"/>
      <c r="F30" s="46">
        <v>0.03</v>
      </c>
      <c r="G30" s="46">
        <v>0.01</v>
      </c>
      <c r="H30" s="85"/>
      <c r="I30" s="85"/>
    </row>
    <row r="31" spans="1:11" x14ac:dyDescent="0.25">
      <c r="A31" s="142">
        <v>1977</v>
      </c>
      <c r="B31" s="142">
        <v>1976</v>
      </c>
      <c r="C31" s="186"/>
      <c r="D31" s="186"/>
      <c r="E31" s="192"/>
      <c r="F31" s="84"/>
      <c r="G31" s="46">
        <v>0.01</v>
      </c>
      <c r="H31" s="85"/>
      <c r="I31" s="85"/>
    </row>
    <row r="32" spans="1:11" x14ac:dyDescent="0.25">
      <c r="A32" s="142">
        <v>1976</v>
      </c>
      <c r="B32" s="142">
        <v>1975</v>
      </c>
      <c r="C32" s="186"/>
      <c r="D32" s="186"/>
      <c r="E32" s="192"/>
      <c r="F32" s="84"/>
      <c r="G32" s="84"/>
      <c r="H32" s="85"/>
      <c r="I32" s="85"/>
    </row>
    <row r="34" spans="3:3" x14ac:dyDescent="0.25">
      <c r="C34" s="288" t="s">
        <v>508</v>
      </c>
    </row>
    <row r="35" spans="3:3" x14ac:dyDescent="0.25">
      <c r="C35" s="279" t="s">
        <v>530</v>
      </c>
    </row>
    <row r="36" spans="3:3" x14ac:dyDescent="0.25">
      <c r="C36" s="279" t="s">
        <v>531</v>
      </c>
    </row>
    <row r="81" spans="1:2" x14ac:dyDescent="0.25">
      <c r="A81" s="97"/>
      <c r="B81" s="97"/>
    </row>
    <row r="82" spans="1:2" x14ac:dyDescent="0.25">
      <c r="A82" s="97"/>
      <c r="B82" s="97"/>
    </row>
    <row r="83" spans="1:2" x14ac:dyDescent="0.25">
      <c r="A83" s="97"/>
      <c r="B83" s="97"/>
    </row>
    <row r="84" spans="1:2" x14ac:dyDescent="0.25">
      <c r="A84" s="97"/>
      <c r="B84" s="97"/>
    </row>
    <row r="85" spans="1:2" x14ac:dyDescent="0.25">
      <c r="A85" s="97"/>
      <c r="B85" s="97"/>
    </row>
  </sheetData>
  <mergeCells count="7">
    <mergeCell ref="A2:B2"/>
    <mergeCell ref="K27:K28"/>
    <mergeCell ref="K8:K11"/>
    <mergeCell ref="C2:D2"/>
    <mergeCell ref="H2:I2"/>
    <mergeCell ref="J2:J3"/>
    <mergeCell ref="K2:K3"/>
  </mergeCells>
  <hyperlinks>
    <hyperlink ref="J11" r:id="rId1" location="LEGIARTI000006322286" display="http://legifrance.gouv.fr/affichTexteArticle.do;jsessionid=74B6FCBBE75E37F0115D9428F2169E51.tpdjo12v_1?cidTexte=JORFTEXT000000240757&amp;idArticle=LEGIARTI000006322286&amp;dateTexte=20071227&amp;categorieLien=id - LEGIARTI000006322286"/>
    <hyperlink ref="J5" r:id="rId2" location="LEGIARTI000024154164" display="http://legifrance.gouv.fr/affichTexteArticle.do;jsessionid=74B6FCBBE75E37F0115D9428F2169E51.tpdjo12v_1?cidTexte=JORFTEXT000024152033&amp;idArticle=LEGIARTI000024154164&amp;dateTexte=20111118&amp;categorieLien=id - LEGIARTI000024154164"/>
    <hyperlink ref="J6" r:id="rId3" location="LEGIARTI000022169561" display="http://legifrance.gouv.fr/affichTexteArticle.do;jsessionid=74B6FCBBE75E37F0115D9428F2169E51.tpdjo12v_1?cidTexte=JORFTEXT000022166146&amp;idArticle=LEGIARTI000022169561&amp;dateTexte=20110611&amp;categorieLien=id - LEGIARTI000022169561"/>
    <hyperlink ref="J7" r:id="rId4" location="LEGIARTI000020499734" display="http://legifrance.gouv.fr/affichTexteArticle.do;jsessionid=74B6FCBBE75E37F0115D9428F2169E51.tpdjo12v_1?cidTexte=JORFTEXT000020496091&amp;idArticle=LEGIARTI000020499734&amp;dateTexte=20091231&amp;categorieLien=id - LEGIARTI000020499734"/>
    <hyperlink ref="J8" r:id="rId5" location="LEGIARTI000018559051" display="http://legifrance.gouv.fr/affichTexteArticle.do;jsessionid=74B6FCBBE75E37F0115D9428F2169E51.tpdjo12v_1?cidTexte=JORFTEXT000018557013&amp;idArticle=LEGIARTI000018559051&amp;dateTexte=20080805&amp;categorieLien=id - LEGIARTI000018559051"/>
    <hyperlink ref="J13" r:id="rId6" location="LEGIARTI000006221812" display="http://www.legifrance.gouv.fr/affichTexteArticle.do;jsessionid=59D7B79F52D4792291A607E304939D25.tpdjo09v_3?cidTexte=JORFTEXT000000791289&amp;idArticle=LEGIARTI000006221812&amp;dateTexte=20031230&amp;categorieLien=id - LEGIARTI000006221812"/>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15.7109375" defaultRowHeight="15" x14ac:dyDescent="0.25"/>
  <cols>
    <col min="1" max="1" width="7.5703125" style="50" bestFit="1" customWidth="1"/>
    <col min="2" max="2" width="16" style="50" customWidth="1"/>
    <col min="3" max="3" width="26" style="26" customWidth="1"/>
    <col min="4" max="4" width="31.42578125" style="26" customWidth="1"/>
    <col min="5" max="5" width="58.5703125" style="26" bestFit="1" customWidth="1"/>
    <col min="6" max="6" width="118.140625" style="26" bestFit="1" customWidth="1"/>
    <col min="7" max="16384" width="15.7109375" style="26"/>
  </cols>
  <sheetData>
    <row r="1" spans="1:6" hidden="1" x14ac:dyDescent="0.25">
      <c r="A1" s="269" t="s">
        <v>1130</v>
      </c>
      <c r="B1" s="269" t="s">
        <v>1131</v>
      </c>
      <c r="C1" s="263" t="s">
        <v>153</v>
      </c>
      <c r="D1" s="262" t="s">
        <v>106</v>
      </c>
      <c r="E1" s="428" t="s">
        <v>1135</v>
      </c>
      <c r="F1" s="3"/>
    </row>
    <row r="2" spans="1:6" x14ac:dyDescent="0.25">
      <c r="A2" s="486" t="s">
        <v>997</v>
      </c>
      <c r="B2" s="487"/>
      <c r="C2" s="493" t="s">
        <v>429</v>
      </c>
      <c r="D2" s="493"/>
      <c r="E2" s="530" t="s">
        <v>627</v>
      </c>
      <c r="F2" s="530" t="s">
        <v>1</v>
      </c>
    </row>
    <row r="3" spans="1:6" ht="25.5" x14ac:dyDescent="0.25">
      <c r="A3" s="383" t="s">
        <v>214</v>
      </c>
      <c r="B3" s="383" t="s">
        <v>996</v>
      </c>
      <c r="C3" s="308" t="s">
        <v>379</v>
      </c>
      <c r="D3" s="307" t="s">
        <v>391</v>
      </c>
      <c r="E3" s="530"/>
      <c r="F3" s="530"/>
    </row>
    <row r="4" spans="1:6" s="50" customFormat="1" x14ac:dyDescent="0.25">
      <c r="A4" s="142">
        <v>2008</v>
      </c>
      <c r="B4" s="142">
        <v>2007</v>
      </c>
      <c r="C4" s="46">
        <v>0.66</v>
      </c>
      <c r="D4" s="46">
        <v>0.01</v>
      </c>
      <c r="E4" s="324" t="s">
        <v>815</v>
      </c>
      <c r="F4" s="43"/>
    </row>
    <row r="5" spans="1:6" s="50" customFormat="1" x14ac:dyDescent="0.25">
      <c r="A5" s="142">
        <v>2006</v>
      </c>
      <c r="B5" s="142">
        <v>2005</v>
      </c>
      <c r="C5" s="46">
        <v>0.66</v>
      </c>
      <c r="D5" s="46">
        <v>0.01</v>
      </c>
      <c r="E5" s="321"/>
      <c r="F5" s="43"/>
    </row>
    <row r="6" spans="1:6" s="50" customFormat="1" x14ac:dyDescent="0.25">
      <c r="A6" s="142">
        <v>2005</v>
      </c>
      <c r="B6" s="142">
        <v>2004</v>
      </c>
      <c r="C6" s="46">
        <v>0.5</v>
      </c>
      <c r="D6" s="46">
        <v>0.01</v>
      </c>
      <c r="E6" s="327" t="s">
        <v>816</v>
      </c>
      <c r="F6" s="43"/>
    </row>
    <row r="7" spans="1:6" s="50" customFormat="1" x14ac:dyDescent="0.25">
      <c r="A7" s="142">
        <v>2002</v>
      </c>
      <c r="B7" s="142">
        <v>2001</v>
      </c>
      <c r="C7" s="46">
        <v>0.5</v>
      </c>
      <c r="D7" s="46">
        <v>0.01</v>
      </c>
      <c r="E7" s="327" t="s">
        <v>817</v>
      </c>
      <c r="F7" s="43"/>
    </row>
    <row r="8" spans="1:6" x14ac:dyDescent="0.25">
      <c r="A8" s="142">
        <v>1992</v>
      </c>
      <c r="B8" s="142">
        <v>1991</v>
      </c>
      <c r="C8" s="33">
        <v>0.3</v>
      </c>
      <c r="D8" s="33">
        <v>0.01</v>
      </c>
      <c r="E8" s="282"/>
      <c r="F8" s="27"/>
    </row>
    <row r="9" spans="1:6" x14ac:dyDescent="0.25">
      <c r="A9" s="142">
        <v>1989</v>
      </c>
      <c r="B9" s="142">
        <v>1988</v>
      </c>
      <c r="C9" s="33">
        <v>0.2</v>
      </c>
      <c r="D9" s="33">
        <v>0.01</v>
      </c>
      <c r="E9" s="282" t="s">
        <v>818</v>
      </c>
      <c r="F9" s="27"/>
    </row>
    <row r="10" spans="1:6" x14ac:dyDescent="0.25">
      <c r="A10" s="142">
        <v>1988</v>
      </c>
      <c r="B10" s="142">
        <v>1987</v>
      </c>
      <c r="C10" s="186"/>
      <c r="D10" s="186"/>
      <c r="E10" s="27"/>
      <c r="F10" s="27"/>
    </row>
    <row r="12" spans="1:6" x14ac:dyDescent="0.25">
      <c r="C12" s="289" t="s">
        <v>532</v>
      </c>
    </row>
    <row r="13" spans="1:6" x14ac:dyDescent="0.25">
      <c r="C13" s="312" t="s">
        <v>533</v>
      </c>
    </row>
    <row r="14" spans="1:6" x14ac:dyDescent="0.25">
      <c r="C14" s="288"/>
    </row>
    <row r="65" spans="1:2" x14ac:dyDescent="0.25">
      <c r="A65" s="97"/>
      <c r="B65" s="97"/>
    </row>
    <row r="66" spans="1:2" x14ac:dyDescent="0.25">
      <c r="A66" s="97"/>
      <c r="B66" s="97"/>
    </row>
    <row r="67" spans="1:2" x14ac:dyDescent="0.25">
      <c r="A67" s="97"/>
      <c r="B67" s="97"/>
    </row>
    <row r="68" spans="1:2" x14ac:dyDescent="0.25">
      <c r="A68" s="97"/>
      <c r="B68" s="97"/>
    </row>
    <row r="69" spans="1:2" x14ac:dyDescent="0.25">
      <c r="A69" s="97"/>
      <c r="B69" s="97"/>
    </row>
  </sheetData>
  <mergeCells count="4">
    <mergeCell ref="C2:D2"/>
    <mergeCell ref="E2:E3"/>
    <mergeCell ref="F2:F3"/>
    <mergeCell ref="A2:B2"/>
  </mergeCells>
  <hyperlinks>
    <hyperlink ref="E4" r:id="rId1" location="LEGIARTI000018559051" display="http://www.legifrance.gouv.fr/affichTexteArticle.do;jsessionid=304501568C86C5032D74B02778A01E23.tpdjo08v_2?cidTexte=JORFTEXT000018557013&amp;idArticle=LEGIARTI000018559051&amp;dateTexte=20090409&amp;categorieLien=id - LEGIARTI000018559051"/>
    <hyperlink ref="E6" r:id="rId2" location="LEGIARTI000006322286" display="http://legifrance.gouv.fr/affichTexteArticle.do;jsessionid=74B6FCBBE75E37F0115D9428F2169E51.tpdjo12v_1?cidTexte=JORFTEXT000000240757&amp;idArticle=LEGIARTI000006322286&amp;dateTexte=20071227&amp;categorieLien=id - LEGIARTI000006322286"/>
    <hyperlink ref="E7" r:id="rId3" location="LEGIARTI000006212781" display="http://legifrance.gouv.fr/affichTexteArticle.do;jsessionid=74B6FCBBE75E37F0115D9428F2169E51.tpdjo12v_1?cidTexte=JORFTEXT000000596281&amp;idArticle=LEGIARTI000006212781&amp;dateTexte=20040531&amp;categorieLien=id - LEGIARTI000006212781"/>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pane xSplit="2" ySplit="3" topLeftCell="F4" activePane="bottomRight" state="frozen"/>
      <selection activeCell="C3" sqref="C3:E3"/>
      <selection pane="topRight" activeCell="C3" sqref="C3:E3"/>
      <selection pane="bottomLeft" activeCell="C3" sqref="C3:E3"/>
      <selection pane="bottomRight" activeCell="G4" sqref="G4:G6"/>
    </sheetView>
  </sheetViews>
  <sheetFormatPr baseColWidth="10" defaultRowHeight="15" x14ac:dyDescent="0.25"/>
  <cols>
    <col min="1" max="1" width="10.85546875" customWidth="1"/>
    <col min="2" max="2" width="13.42578125" customWidth="1"/>
    <col min="3" max="3" width="19.42578125" customWidth="1"/>
    <col min="4" max="4" width="19.140625" customWidth="1"/>
    <col min="5" max="5" width="24.28515625" customWidth="1"/>
    <col min="6" max="6" width="61.7109375" style="26" bestFit="1" customWidth="1"/>
    <col min="7" max="7" width="72.42578125" customWidth="1"/>
  </cols>
  <sheetData>
    <row r="1" spans="1:8" hidden="1" x14ac:dyDescent="0.25">
      <c r="A1" s="269" t="s">
        <v>1130</v>
      </c>
      <c r="B1" s="269" t="s">
        <v>1131</v>
      </c>
      <c r="C1" s="264" t="s">
        <v>197</v>
      </c>
      <c r="D1" s="264" t="s">
        <v>143</v>
      </c>
      <c r="E1" s="264" t="s">
        <v>198</v>
      </c>
      <c r="F1" s="428" t="s">
        <v>1135</v>
      </c>
      <c r="G1" s="3"/>
    </row>
    <row r="2" spans="1:8" ht="15" customHeight="1" x14ac:dyDescent="0.25">
      <c r="A2" s="486" t="s">
        <v>997</v>
      </c>
      <c r="B2" s="487"/>
      <c r="C2" s="506" t="s">
        <v>430</v>
      </c>
      <c r="D2" s="506"/>
      <c r="E2" s="506"/>
      <c r="F2" s="527" t="s">
        <v>627</v>
      </c>
      <c r="G2" s="529" t="s">
        <v>1</v>
      </c>
    </row>
    <row r="3" spans="1:8" ht="30" x14ac:dyDescent="0.25">
      <c r="A3" s="383" t="s">
        <v>214</v>
      </c>
      <c r="B3" s="383" t="s">
        <v>996</v>
      </c>
      <c r="C3" s="215" t="s">
        <v>379</v>
      </c>
      <c r="D3" s="215" t="s">
        <v>391</v>
      </c>
      <c r="E3" s="215" t="s">
        <v>403</v>
      </c>
      <c r="F3" s="528"/>
      <c r="G3" s="529"/>
    </row>
    <row r="4" spans="1:8" x14ac:dyDescent="0.25">
      <c r="A4" s="142">
        <v>2012</v>
      </c>
      <c r="B4" s="142">
        <v>2011</v>
      </c>
      <c r="C4" s="203">
        <v>0.36</v>
      </c>
      <c r="D4" s="59">
        <v>19000</v>
      </c>
      <c r="E4" s="100">
        <v>0.25</v>
      </c>
      <c r="F4" s="382" t="s">
        <v>995</v>
      </c>
      <c r="G4" s="531" t="s">
        <v>912</v>
      </c>
    </row>
    <row r="5" spans="1:8" x14ac:dyDescent="0.25">
      <c r="A5" s="142">
        <v>2010</v>
      </c>
      <c r="B5" s="142">
        <v>2009</v>
      </c>
      <c r="C5" s="46">
        <v>0.4</v>
      </c>
      <c r="D5" s="59">
        <v>19000</v>
      </c>
      <c r="E5" s="100">
        <v>0.25</v>
      </c>
      <c r="F5" s="351" t="s">
        <v>497</v>
      </c>
      <c r="G5" s="531"/>
      <c r="H5" s="283"/>
    </row>
    <row r="6" spans="1:8" x14ac:dyDescent="0.25">
      <c r="A6" s="142">
        <v>2008</v>
      </c>
      <c r="B6" s="142">
        <v>2007</v>
      </c>
      <c r="C6" s="85"/>
      <c r="D6" s="81"/>
      <c r="E6" s="103"/>
      <c r="F6" s="58"/>
      <c r="G6" s="531"/>
      <c r="H6" s="283"/>
    </row>
    <row r="7" spans="1:8" x14ac:dyDescent="0.25">
      <c r="A7" s="142">
        <v>2002</v>
      </c>
      <c r="B7" s="142">
        <v>2001</v>
      </c>
      <c r="C7" s="98"/>
      <c r="D7" s="59">
        <v>19000</v>
      </c>
      <c r="E7" s="77">
        <v>0.25</v>
      </c>
      <c r="F7" s="61"/>
      <c r="G7" s="43"/>
    </row>
    <row r="8" spans="1:8" x14ac:dyDescent="0.25">
      <c r="A8" s="142">
        <v>1999</v>
      </c>
      <c r="B8" s="142">
        <v>1998</v>
      </c>
      <c r="C8" s="98"/>
      <c r="D8" s="99">
        <v>125000</v>
      </c>
      <c r="E8" s="77">
        <v>0.25</v>
      </c>
      <c r="F8" s="45"/>
      <c r="G8" s="71" t="s">
        <v>218</v>
      </c>
    </row>
    <row r="9" spans="1:8" x14ac:dyDescent="0.25">
      <c r="A9" s="142">
        <v>1998</v>
      </c>
      <c r="B9" s="142">
        <v>1997</v>
      </c>
      <c r="C9" s="98"/>
      <c r="D9" s="104"/>
      <c r="E9" s="104"/>
      <c r="F9" s="45"/>
      <c r="G9" s="70"/>
    </row>
    <row r="10" spans="1:8" x14ac:dyDescent="0.25">
      <c r="G10" s="48"/>
    </row>
    <row r="11" spans="1:8" x14ac:dyDescent="0.25">
      <c r="C11" s="78" t="s">
        <v>511</v>
      </c>
      <c r="G11" s="48"/>
    </row>
    <row r="12" spans="1:8" x14ac:dyDescent="0.25">
      <c r="C12" t="s">
        <v>534</v>
      </c>
      <c r="G12" s="71"/>
    </row>
  </sheetData>
  <mergeCells count="5">
    <mergeCell ref="C2:E2"/>
    <mergeCell ref="G4:G6"/>
    <mergeCell ref="G2:G3"/>
    <mergeCell ref="F2:F3"/>
    <mergeCell ref="A2:B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A21" sqref="A21"/>
    </sheetView>
  </sheetViews>
  <sheetFormatPr baseColWidth="10" defaultColWidth="9.140625" defaultRowHeight="15" x14ac:dyDescent="0.25"/>
  <cols>
    <col min="1" max="1" width="10.140625" style="50" customWidth="1"/>
    <col min="2" max="2" width="15.7109375" style="50" bestFit="1" customWidth="1"/>
    <col min="3" max="3" width="19.42578125" style="63" customWidth="1"/>
    <col min="4" max="4" width="21.140625" style="63" customWidth="1"/>
    <col min="5" max="5" width="27.7109375" style="63" customWidth="1"/>
    <col min="6" max="6" width="25.140625" style="63" customWidth="1"/>
    <col min="7" max="7" width="26.140625" style="63" bestFit="1" customWidth="1"/>
    <col min="8" max="8" width="23.28515625" style="63" bestFit="1" customWidth="1"/>
    <col min="9" max="9" width="30.7109375" style="63" bestFit="1" customWidth="1"/>
    <col min="10" max="10" width="137.140625" style="53" customWidth="1"/>
    <col min="11" max="16384" width="9.140625" style="63"/>
  </cols>
  <sheetData>
    <row r="1" spans="1:10" hidden="1" x14ac:dyDescent="0.25">
      <c r="A1" s="269" t="s">
        <v>1130</v>
      </c>
      <c r="B1" s="269" t="s">
        <v>1131</v>
      </c>
      <c r="C1" s="429" t="s">
        <v>59</v>
      </c>
      <c r="D1" s="429" t="s">
        <v>60</v>
      </c>
      <c r="E1" s="429" t="s">
        <v>61</v>
      </c>
      <c r="F1" s="429" t="s">
        <v>62</v>
      </c>
      <c r="G1" s="429" t="s">
        <v>63</v>
      </c>
      <c r="H1" s="430" t="s">
        <v>1135</v>
      </c>
      <c r="I1" s="223"/>
      <c r="J1" s="224"/>
    </row>
    <row r="2" spans="1:10" x14ac:dyDescent="0.25">
      <c r="A2" s="486" t="s">
        <v>997</v>
      </c>
      <c r="B2" s="487"/>
      <c r="C2" s="532" t="s">
        <v>498</v>
      </c>
      <c r="D2" s="532"/>
      <c r="E2" s="532"/>
      <c r="F2" s="532"/>
      <c r="G2" s="532"/>
      <c r="H2" s="533" t="s">
        <v>588</v>
      </c>
      <c r="I2" s="533" t="s">
        <v>667</v>
      </c>
      <c r="J2" s="533" t="s">
        <v>1</v>
      </c>
    </row>
    <row r="3" spans="1:10" x14ac:dyDescent="0.25">
      <c r="A3" s="383" t="s">
        <v>214</v>
      </c>
      <c r="B3" s="383" t="s">
        <v>996</v>
      </c>
      <c r="C3" s="225" t="s">
        <v>379</v>
      </c>
      <c r="D3" s="225" t="s">
        <v>391</v>
      </c>
      <c r="E3" s="225" t="s">
        <v>431</v>
      </c>
      <c r="F3" s="225" t="s">
        <v>432</v>
      </c>
      <c r="G3" s="225" t="s">
        <v>913</v>
      </c>
      <c r="H3" s="533"/>
      <c r="I3" s="533"/>
      <c r="J3" s="533"/>
    </row>
    <row r="4" spans="1:10" x14ac:dyDescent="0.25">
      <c r="A4" s="226">
        <v>2012</v>
      </c>
      <c r="B4" s="226">
        <v>2011</v>
      </c>
      <c r="C4" s="46">
        <f t="shared" ref="C4:C12" si="0">50/100</f>
        <v>0.5</v>
      </c>
      <c r="D4" s="13">
        <f>12000</f>
        <v>12000</v>
      </c>
      <c r="E4" s="13">
        <f>1500</f>
        <v>1500</v>
      </c>
      <c r="F4" s="13">
        <f>15000</f>
        <v>15000</v>
      </c>
      <c r="G4" s="13">
        <f>20000</f>
        <v>20000</v>
      </c>
      <c r="H4" s="305" t="s">
        <v>865</v>
      </c>
      <c r="I4" s="222"/>
      <c r="J4" s="512" t="s">
        <v>219</v>
      </c>
    </row>
    <row r="5" spans="1:10" x14ac:dyDescent="0.25">
      <c r="A5" s="226">
        <v>2011</v>
      </c>
      <c r="B5" s="226">
        <v>2010</v>
      </c>
      <c r="C5" s="46">
        <f t="shared" si="0"/>
        <v>0.5</v>
      </c>
      <c r="D5" s="13">
        <f>12000</f>
        <v>12000</v>
      </c>
      <c r="E5" s="13">
        <f>1500</f>
        <v>1500</v>
      </c>
      <c r="F5" s="13">
        <f>15000</f>
        <v>15000</v>
      </c>
      <c r="G5" s="13">
        <f>20000</f>
        <v>20000</v>
      </c>
      <c r="H5" s="305" t="s">
        <v>835</v>
      </c>
      <c r="J5" s="512"/>
    </row>
    <row r="6" spans="1:10" x14ac:dyDescent="0.25">
      <c r="A6" s="226">
        <v>2010</v>
      </c>
      <c r="B6" s="226">
        <v>2009</v>
      </c>
      <c r="C6" s="46">
        <f t="shared" si="0"/>
        <v>0.5</v>
      </c>
      <c r="D6" s="13">
        <f>12000</f>
        <v>12000</v>
      </c>
      <c r="E6" s="13">
        <f>1500</f>
        <v>1500</v>
      </c>
      <c r="F6" s="13">
        <f>15000</f>
        <v>15000</v>
      </c>
      <c r="G6" s="13">
        <f>20000</f>
        <v>20000</v>
      </c>
      <c r="H6" s="305" t="s">
        <v>836</v>
      </c>
      <c r="I6" s="294" t="s">
        <v>83</v>
      </c>
      <c r="J6" s="53" t="s">
        <v>220</v>
      </c>
    </row>
    <row r="7" spans="1:10" x14ac:dyDescent="0.25">
      <c r="A7" s="226">
        <v>2008</v>
      </c>
      <c r="B7" s="226">
        <v>2007</v>
      </c>
      <c r="C7" s="46">
        <f t="shared" si="0"/>
        <v>0.5</v>
      </c>
      <c r="D7" s="13">
        <f>12000</f>
        <v>12000</v>
      </c>
      <c r="E7" s="13">
        <f>1500</f>
        <v>1500</v>
      </c>
      <c r="F7" s="13">
        <f>15000</f>
        <v>15000</v>
      </c>
      <c r="G7" s="13">
        <f>20000</f>
        <v>20000</v>
      </c>
      <c r="H7" s="305" t="s">
        <v>915</v>
      </c>
      <c r="I7" s="294" t="s">
        <v>82</v>
      </c>
      <c r="J7" s="53" t="s">
        <v>499</v>
      </c>
    </row>
    <row r="8" spans="1:10" x14ac:dyDescent="0.25">
      <c r="A8" s="226">
        <v>2006</v>
      </c>
      <c r="B8" s="226">
        <v>2005</v>
      </c>
      <c r="C8" s="46">
        <f t="shared" si="0"/>
        <v>0.5</v>
      </c>
      <c r="D8" s="13">
        <f>12000</f>
        <v>12000</v>
      </c>
      <c r="E8" s="13">
        <f>1500</f>
        <v>1500</v>
      </c>
      <c r="F8" s="13">
        <f>15000</f>
        <v>15000</v>
      </c>
      <c r="G8" s="13">
        <f>20000</f>
        <v>20000</v>
      </c>
      <c r="H8" s="305" t="s">
        <v>914</v>
      </c>
      <c r="I8" s="294" t="s">
        <v>80</v>
      </c>
    </row>
    <row r="9" spans="1:10" x14ac:dyDescent="0.25">
      <c r="A9" s="226">
        <v>2005</v>
      </c>
      <c r="B9" s="226">
        <v>2004</v>
      </c>
      <c r="C9" s="46">
        <f t="shared" si="0"/>
        <v>0.5</v>
      </c>
      <c r="D9" s="13">
        <v>10000</v>
      </c>
      <c r="E9" s="86"/>
      <c r="F9" s="86"/>
      <c r="G9" s="13">
        <v>13800</v>
      </c>
      <c r="H9" s="305" t="s">
        <v>842</v>
      </c>
    </row>
    <row r="10" spans="1:10" x14ac:dyDescent="0.25">
      <c r="A10" s="226">
        <v>2004</v>
      </c>
      <c r="B10" s="226">
        <v>2003</v>
      </c>
      <c r="C10" s="46">
        <f t="shared" si="0"/>
        <v>0.5</v>
      </c>
      <c r="D10" s="13">
        <v>10000</v>
      </c>
      <c r="E10" s="86"/>
      <c r="F10" s="86"/>
      <c r="G10" s="13">
        <v>13800</v>
      </c>
      <c r="H10" s="535" t="s">
        <v>917</v>
      </c>
      <c r="I10" s="534" t="s">
        <v>79</v>
      </c>
    </row>
    <row r="11" spans="1:10" x14ac:dyDescent="0.25">
      <c r="A11" s="226">
        <v>2003</v>
      </c>
      <c r="B11" s="226">
        <v>2002</v>
      </c>
      <c r="C11" s="46">
        <f t="shared" si="0"/>
        <v>0.5</v>
      </c>
      <c r="D11" s="13">
        <v>7400</v>
      </c>
      <c r="E11" s="86"/>
      <c r="F11" s="86"/>
      <c r="G11" s="13">
        <v>13800</v>
      </c>
      <c r="H11" s="535"/>
      <c r="I11" s="534"/>
    </row>
    <row r="12" spans="1:10" x14ac:dyDescent="0.25">
      <c r="A12" s="226">
        <v>2002</v>
      </c>
      <c r="B12" s="226">
        <v>2001</v>
      </c>
      <c r="C12" s="46">
        <f t="shared" si="0"/>
        <v>0.5</v>
      </c>
      <c r="D12" s="13">
        <v>6900</v>
      </c>
      <c r="E12" s="86"/>
      <c r="F12" s="86"/>
      <c r="G12" s="13">
        <v>13800</v>
      </c>
      <c r="H12" s="305" t="s">
        <v>844</v>
      </c>
    </row>
    <row r="13" spans="1:10" x14ac:dyDescent="0.25">
      <c r="A13" s="226">
        <v>1998</v>
      </c>
      <c r="B13" s="226">
        <v>1997</v>
      </c>
      <c r="C13" s="46">
        <f>50%</f>
        <v>0.5</v>
      </c>
      <c r="D13" s="17">
        <v>45000</v>
      </c>
      <c r="E13" s="87"/>
      <c r="F13" s="87"/>
      <c r="G13" s="17">
        <v>90000</v>
      </c>
      <c r="H13" s="305" t="s">
        <v>848</v>
      </c>
      <c r="J13" s="53" t="s">
        <v>221</v>
      </c>
    </row>
    <row r="14" spans="1:10" x14ac:dyDescent="0.25">
      <c r="A14" s="226">
        <v>1996</v>
      </c>
      <c r="B14" s="226">
        <v>1995</v>
      </c>
      <c r="C14" s="46">
        <f>50%</f>
        <v>0.5</v>
      </c>
      <c r="D14" s="17">
        <v>90000</v>
      </c>
      <c r="E14" s="87"/>
      <c r="F14" s="87"/>
      <c r="G14" s="87"/>
      <c r="H14" s="305" t="s">
        <v>866</v>
      </c>
    </row>
    <row r="15" spans="1:10" x14ac:dyDescent="0.25">
      <c r="A15" s="226">
        <v>1994</v>
      </c>
      <c r="B15" s="226">
        <v>1993</v>
      </c>
      <c r="C15" s="46">
        <f>50%</f>
        <v>0.5</v>
      </c>
      <c r="D15" s="17">
        <f>26000</f>
        <v>26000</v>
      </c>
      <c r="E15" s="84"/>
      <c r="F15" s="84"/>
      <c r="G15" s="84"/>
      <c r="H15" s="305" t="s">
        <v>851</v>
      </c>
    </row>
    <row r="16" spans="1:10" x14ac:dyDescent="0.25">
      <c r="A16" s="226">
        <v>1992</v>
      </c>
      <c r="B16" s="226">
        <v>1991</v>
      </c>
      <c r="C16" s="46">
        <f>50%</f>
        <v>0.5</v>
      </c>
      <c r="D16" s="17">
        <f>25000</f>
        <v>25000</v>
      </c>
      <c r="E16" s="109"/>
      <c r="F16" s="109"/>
      <c r="G16" s="109"/>
      <c r="H16" s="305" t="s">
        <v>853</v>
      </c>
      <c r="J16" s="512" t="s">
        <v>84</v>
      </c>
    </row>
    <row r="17" spans="1:10" x14ac:dyDescent="0.25">
      <c r="A17" s="226">
        <v>1991</v>
      </c>
      <c r="B17" s="226">
        <v>1990</v>
      </c>
      <c r="C17" s="227"/>
      <c r="D17" s="227"/>
      <c r="E17" s="109"/>
      <c r="F17" s="109"/>
      <c r="G17" s="109"/>
      <c r="H17" s="305"/>
      <c r="J17" s="512"/>
    </row>
    <row r="19" spans="1:10" x14ac:dyDescent="0.25">
      <c r="C19" s="298" t="s">
        <v>511</v>
      </c>
    </row>
    <row r="20" spans="1:10" x14ac:dyDescent="0.25">
      <c r="C20" s="63" t="s">
        <v>916</v>
      </c>
    </row>
    <row r="72" spans="1:2" x14ac:dyDescent="0.25">
      <c r="A72" s="97"/>
      <c r="B72" s="97"/>
    </row>
    <row r="73" spans="1:2" x14ac:dyDescent="0.25">
      <c r="A73" s="97"/>
      <c r="B73" s="97"/>
    </row>
    <row r="74" spans="1:2" x14ac:dyDescent="0.25">
      <c r="A74" s="97"/>
      <c r="B74" s="97"/>
    </row>
    <row r="75" spans="1:2" x14ac:dyDescent="0.25">
      <c r="A75" s="97"/>
      <c r="B75" s="97"/>
    </row>
    <row r="76" spans="1:2" x14ac:dyDescent="0.25">
      <c r="A76" s="97"/>
      <c r="B76" s="97"/>
    </row>
  </sheetData>
  <mergeCells count="9">
    <mergeCell ref="A2:B2"/>
    <mergeCell ref="J16:J17"/>
    <mergeCell ref="C2:G2"/>
    <mergeCell ref="I2:I3"/>
    <mergeCell ref="J2:J3"/>
    <mergeCell ref="H2:H3"/>
    <mergeCell ref="J4:J5"/>
    <mergeCell ref="I10:I11"/>
    <mergeCell ref="H10:H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2" workbookViewId="0">
      <selection activeCell="F22" sqref="F22"/>
    </sheetView>
  </sheetViews>
  <sheetFormatPr baseColWidth="10" defaultRowHeight="15" x14ac:dyDescent="0.25"/>
  <cols>
    <col min="2" max="2" width="14" customWidth="1"/>
    <col min="3" max="3" width="20.28515625" customWidth="1"/>
    <col min="4" max="4" width="20.140625" customWidth="1"/>
    <col min="5" max="5" width="38.7109375" customWidth="1"/>
    <col min="6" max="6" width="90.140625" bestFit="1" customWidth="1"/>
  </cols>
  <sheetData>
    <row r="1" spans="1:6" hidden="1" x14ac:dyDescent="0.25">
      <c r="A1" s="269" t="s">
        <v>1130</v>
      </c>
      <c r="B1" s="269" t="s">
        <v>1131</v>
      </c>
      <c r="C1" s="262" t="s">
        <v>179</v>
      </c>
      <c r="D1" s="262" t="s">
        <v>180</v>
      </c>
      <c r="E1" s="428" t="s">
        <v>1135</v>
      </c>
      <c r="F1" s="3"/>
    </row>
    <row r="2" spans="1:6" ht="15" customHeight="1" x14ac:dyDescent="0.25">
      <c r="A2" s="486" t="s">
        <v>997</v>
      </c>
      <c r="B2" s="487"/>
      <c r="C2" s="492" t="s">
        <v>433</v>
      </c>
      <c r="D2" s="522"/>
      <c r="E2" s="530" t="s">
        <v>588</v>
      </c>
      <c r="F2" s="530" t="s">
        <v>1</v>
      </c>
    </row>
    <row r="3" spans="1:6" ht="25.5" customHeight="1" x14ac:dyDescent="0.25">
      <c r="A3" s="383" t="s">
        <v>214</v>
      </c>
      <c r="B3" s="383" t="s">
        <v>996</v>
      </c>
      <c r="C3" s="307" t="s">
        <v>379</v>
      </c>
      <c r="D3" s="307" t="s">
        <v>391</v>
      </c>
      <c r="E3" s="530"/>
      <c r="F3" s="530"/>
    </row>
    <row r="4" spans="1:6" x14ac:dyDescent="0.25">
      <c r="A4" s="142">
        <v>2005</v>
      </c>
      <c r="B4" s="142">
        <v>2004</v>
      </c>
      <c r="C4" s="46">
        <v>0.25</v>
      </c>
      <c r="D4" s="13">
        <v>30500</v>
      </c>
      <c r="E4" t="s">
        <v>998</v>
      </c>
      <c r="F4" s="177" t="s">
        <v>500</v>
      </c>
    </row>
    <row r="5" spans="1:6" x14ac:dyDescent="0.25">
      <c r="A5" s="142">
        <v>2002</v>
      </c>
      <c r="B5" s="142">
        <v>2001</v>
      </c>
      <c r="C5" s="46">
        <v>0.25</v>
      </c>
      <c r="D5" s="13">
        <v>30500</v>
      </c>
      <c r="E5" s="354"/>
      <c r="F5" s="43"/>
    </row>
    <row r="6" spans="1:6" x14ac:dyDescent="0.25">
      <c r="A6" s="142">
        <v>2001</v>
      </c>
      <c r="B6" s="142">
        <v>2000</v>
      </c>
      <c r="C6" s="46">
        <v>0.25</v>
      </c>
      <c r="D6" s="17">
        <v>200000</v>
      </c>
      <c r="E6" s="352" t="s">
        <v>918</v>
      </c>
      <c r="F6" s="282" t="s">
        <v>501</v>
      </c>
    </row>
    <row r="7" spans="1:6" x14ac:dyDescent="0.25">
      <c r="A7" s="142">
        <v>2000</v>
      </c>
      <c r="B7" s="142">
        <v>1999</v>
      </c>
      <c r="C7" s="85"/>
      <c r="D7" s="85"/>
      <c r="E7" s="45"/>
      <c r="F7" s="48"/>
    </row>
    <row r="9" spans="1:6" x14ac:dyDescent="0.25">
      <c r="C9" s="78" t="s">
        <v>508</v>
      </c>
    </row>
    <row r="10" spans="1:6" x14ac:dyDescent="0.25">
      <c r="C10" t="s">
        <v>919</v>
      </c>
    </row>
  </sheetData>
  <mergeCells count="4">
    <mergeCell ref="C2:D2"/>
    <mergeCell ref="E2:E3"/>
    <mergeCell ref="F2:F3"/>
    <mergeCell ref="A2:B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pane xSplit="2" ySplit="3" topLeftCell="C4" activePane="bottomRight" state="frozen"/>
      <selection activeCell="C3" sqref="C3:E3"/>
      <selection pane="topRight" activeCell="C3" sqref="C3:E3"/>
      <selection pane="bottomLeft" activeCell="C3" sqref="C3:E3"/>
      <selection pane="bottomRight" activeCell="C16" sqref="C16"/>
    </sheetView>
  </sheetViews>
  <sheetFormatPr baseColWidth="10" defaultColWidth="15.7109375" defaultRowHeight="15" x14ac:dyDescent="0.25"/>
  <cols>
    <col min="1" max="1" width="7.5703125" style="50" bestFit="1" customWidth="1"/>
    <col min="2" max="2" width="16.42578125" style="50" customWidth="1"/>
    <col min="3" max="3" width="17.7109375" style="26" customWidth="1"/>
    <col min="4" max="4" width="16.28515625" style="26" customWidth="1"/>
    <col min="5" max="5" width="19.28515625" style="26" customWidth="1"/>
    <col min="6" max="6" width="20.140625" style="26" bestFit="1" customWidth="1"/>
    <col min="7" max="7" width="20.28515625" style="26" bestFit="1" customWidth="1"/>
    <col min="8" max="8" width="107.85546875" style="26" bestFit="1" customWidth="1"/>
    <col min="9" max="16384" width="15.7109375" style="26"/>
  </cols>
  <sheetData>
    <row r="1" spans="1:8" hidden="1" x14ac:dyDescent="0.25">
      <c r="A1" s="425" t="s">
        <v>1130</v>
      </c>
      <c r="B1" s="425" t="s">
        <v>1131</v>
      </c>
      <c r="C1" s="263" t="s">
        <v>114</v>
      </c>
      <c r="D1" s="263" t="s">
        <v>115</v>
      </c>
      <c r="E1" s="263" t="s">
        <v>1141</v>
      </c>
      <c r="F1" s="263" t="s">
        <v>1140</v>
      </c>
      <c r="G1" s="430" t="s">
        <v>1135</v>
      </c>
      <c r="H1" s="224" t="s">
        <v>1</v>
      </c>
    </row>
    <row r="2" spans="1:8" x14ac:dyDescent="0.25">
      <c r="A2" s="486" t="s">
        <v>997</v>
      </c>
      <c r="B2" s="487"/>
      <c r="C2" s="526" t="s">
        <v>631</v>
      </c>
      <c r="D2" s="526"/>
      <c r="E2" s="526"/>
      <c r="F2" s="522"/>
      <c r="G2" s="533" t="s">
        <v>667</v>
      </c>
      <c r="H2" s="533" t="s">
        <v>1</v>
      </c>
    </row>
    <row r="3" spans="1:8" ht="25.5" x14ac:dyDescent="0.25">
      <c r="A3" s="383" t="s">
        <v>214</v>
      </c>
      <c r="B3" s="383" t="s">
        <v>996</v>
      </c>
      <c r="C3" s="281" t="s">
        <v>379</v>
      </c>
      <c r="D3" s="281" t="s">
        <v>503</v>
      </c>
      <c r="E3" s="281" t="s">
        <v>502</v>
      </c>
      <c r="F3" s="281" t="s">
        <v>504</v>
      </c>
      <c r="G3" s="533"/>
      <c r="H3" s="533"/>
    </row>
    <row r="4" spans="1:8" s="50" customFormat="1" x14ac:dyDescent="0.25">
      <c r="A4" s="186">
        <v>2014</v>
      </c>
      <c r="B4" s="186">
        <v>2013</v>
      </c>
      <c r="C4" s="46">
        <v>0.18</v>
      </c>
      <c r="D4" s="46">
        <v>0.38</v>
      </c>
      <c r="E4" s="72">
        <v>12000</v>
      </c>
      <c r="F4" s="72">
        <v>40000</v>
      </c>
      <c r="G4" s="261"/>
      <c r="H4" s="370" t="s">
        <v>513</v>
      </c>
    </row>
    <row r="5" spans="1:8" s="50" customFormat="1" ht="12.75" customHeight="1" x14ac:dyDescent="0.25">
      <c r="A5" s="186">
        <v>2013</v>
      </c>
      <c r="B5" s="186">
        <v>2012</v>
      </c>
      <c r="C5" s="46">
        <v>0.18</v>
      </c>
      <c r="D5" s="46">
        <v>0.38</v>
      </c>
      <c r="E5" s="72">
        <v>12000</v>
      </c>
      <c r="F5" s="72">
        <f>2*E5</f>
        <v>24000</v>
      </c>
      <c r="G5" s="351" t="s">
        <v>505</v>
      </c>
      <c r="H5" s="276" t="s">
        <v>507</v>
      </c>
    </row>
    <row r="6" spans="1:8" s="50" customFormat="1" x14ac:dyDescent="0.25">
      <c r="A6" s="186">
        <v>2012</v>
      </c>
      <c r="B6" s="186">
        <v>2011</v>
      </c>
      <c r="C6" s="46">
        <v>0.22</v>
      </c>
      <c r="D6" s="46">
        <v>0.45</v>
      </c>
      <c r="E6" s="13">
        <v>12000</v>
      </c>
      <c r="F6" s="72">
        <f>2*E6</f>
        <v>24000</v>
      </c>
      <c r="G6" s="1"/>
      <c r="H6" s="280"/>
    </row>
    <row r="7" spans="1:8" s="50" customFormat="1" x14ac:dyDescent="0.25">
      <c r="A7" s="226">
        <v>2008</v>
      </c>
      <c r="B7" s="226">
        <v>2007</v>
      </c>
      <c r="C7" s="46">
        <v>0.25</v>
      </c>
      <c r="D7" s="46">
        <v>0.5</v>
      </c>
      <c r="E7" s="13">
        <v>12000</v>
      </c>
      <c r="F7" s="72">
        <f t="shared" ref="F7:F10" si="0">2*E7</f>
        <v>24000</v>
      </c>
      <c r="G7" s="1"/>
      <c r="H7" s="280"/>
    </row>
    <row r="8" spans="1:8" s="50" customFormat="1" x14ac:dyDescent="0.25">
      <c r="A8" s="226">
        <v>2003</v>
      </c>
      <c r="B8" s="226">
        <v>2002</v>
      </c>
      <c r="C8" s="46">
        <v>0.25</v>
      </c>
      <c r="D8" s="111"/>
      <c r="E8" s="13">
        <v>12000</v>
      </c>
      <c r="F8" s="72">
        <f t="shared" si="0"/>
        <v>24000</v>
      </c>
      <c r="G8" s="1"/>
      <c r="H8" s="43"/>
    </row>
    <row r="9" spans="1:8" s="50" customFormat="1" x14ac:dyDescent="0.25">
      <c r="A9" s="226">
        <v>2002</v>
      </c>
      <c r="B9" s="226">
        <v>2001</v>
      </c>
      <c r="C9" s="46">
        <v>0.25</v>
      </c>
      <c r="D9" s="111"/>
      <c r="E9" s="13">
        <v>11434</v>
      </c>
      <c r="F9" s="72">
        <f t="shared" si="0"/>
        <v>22868</v>
      </c>
      <c r="G9" s="63"/>
      <c r="H9" s="43"/>
    </row>
    <row r="10" spans="1:8" s="51" customFormat="1" x14ac:dyDescent="0.25">
      <c r="A10" s="226">
        <v>1998</v>
      </c>
      <c r="B10" s="226">
        <v>1997</v>
      </c>
      <c r="C10" s="46">
        <v>0.25</v>
      </c>
      <c r="D10" s="112"/>
      <c r="E10" s="15">
        <v>75000</v>
      </c>
      <c r="F10" s="15">
        <f t="shared" si="0"/>
        <v>150000</v>
      </c>
      <c r="G10" s="221"/>
      <c r="H10" s="214"/>
    </row>
    <row r="11" spans="1:8" s="51" customFormat="1" x14ac:dyDescent="0.25">
      <c r="A11" s="226">
        <v>1997</v>
      </c>
      <c r="B11" s="226">
        <v>1996</v>
      </c>
      <c r="C11" s="85"/>
      <c r="D11" s="87"/>
      <c r="E11" s="85"/>
      <c r="F11" s="85"/>
      <c r="G11" s="26"/>
      <c r="H11" s="48"/>
    </row>
    <row r="13" spans="1:8" x14ac:dyDescent="0.25">
      <c r="C13" s="289" t="s">
        <v>511</v>
      </c>
    </row>
    <row r="14" spans="1:8" x14ac:dyDescent="0.25">
      <c r="C14" s="290" t="s">
        <v>632</v>
      </c>
    </row>
    <row r="15" spans="1:8" x14ac:dyDescent="0.25">
      <c r="C15" s="279" t="s">
        <v>514</v>
      </c>
    </row>
    <row r="16" spans="1:8" x14ac:dyDescent="0.25">
      <c r="C16" s="279" t="s">
        <v>512</v>
      </c>
    </row>
    <row r="66" spans="1:2" x14ac:dyDescent="0.25">
      <c r="A66" s="97"/>
      <c r="B66" s="97"/>
    </row>
    <row r="67" spans="1:2" x14ac:dyDescent="0.25">
      <c r="A67" s="97"/>
      <c r="B67" s="97"/>
    </row>
    <row r="68" spans="1:2" x14ac:dyDescent="0.25">
      <c r="A68" s="97"/>
      <c r="B68" s="97"/>
    </row>
    <row r="69" spans="1:2" x14ac:dyDescent="0.25">
      <c r="A69" s="97"/>
      <c r="B69" s="97"/>
    </row>
    <row r="70" spans="1:2" x14ac:dyDescent="0.25">
      <c r="A70" s="97"/>
      <c r="B70" s="97"/>
    </row>
  </sheetData>
  <mergeCells count="4">
    <mergeCell ref="C2:F2"/>
    <mergeCell ref="H2:H3"/>
    <mergeCell ref="G2:G3"/>
    <mergeCell ref="A2:B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zoomScale="85" zoomScaleNormal="85" workbookViewId="0">
      <pane xSplit="2" ySplit="3" topLeftCell="H4" activePane="bottomRight" state="frozen"/>
      <selection activeCell="C3" sqref="C3:E3"/>
      <selection pane="topRight" activeCell="C3" sqref="C3:E3"/>
      <selection pane="bottomLeft" activeCell="C3" sqref="C3:E3"/>
      <selection pane="bottomRight" activeCell="H4" sqref="H4:H6"/>
    </sheetView>
  </sheetViews>
  <sheetFormatPr baseColWidth="10" defaultColWidth="15.7109375" defaultRowHeight="15" x14ac:dyDescent="0.25"/>
  <cols>
    <col min="1" max="2" width="15.7109375" style="50" customWidth="1"/>
    <col min="3" max="3" width="16.42578125" style="26" customWidth="1"/>
    <col min="4" max="4" width="14.85546875" style="26" customWidth="1"/>
    <col min="5" max="5" width="18" style="26" customWidth="1"/>
    <col min="6" max="6" width="16.5703125" style="26" customWidth="1"/>
    <col min="7" max="7" width="74.28515625" style="26" bestFit="1" customWidth="1"/>
    <col min="8" max="8" width="100.140625" style="26" customWidth="1"/>
    <col min="9" max="16384" width="15.7109375" style="26"/>
  </cols>
  <sheetData>
    <row r="1" spans="1:8" hidden="1" x14ac:dyDescent="0.25">
      <c r="A1" s="269" t="s">
        <v>1130</v>
      </c>
      <c r="B1" s="269" t="s">
        <v>1131</v>
      </c>
      <c r="C1" s="264" t="s">
        <v>95</v>
      </c>
      <c r="D1" s="264" t="s">
        <v>96</v>
      </c>
      <c r="E1" s="264" t="s">
        <v>97</v>
      </c>
      <c r="F1" s="264" t="s">
        <v>98</v>
      </c>
      <c r="G1" s="430" t="s">
        <v>1135</v>
      </c>
      <c r="H1" s="224"/>
    </row>
    <row r="2" spans="1:8" x14ac:dyDescent="0.25">
      <c r="A2" s="486" t="s">
        <v>997</v>
      </c>
      <c r="B2" s="487"/>
      <c r="C2" s="521" t="s">
        <v>434</v>
      </c>
      <c r="D2" s="521"/>
      <c r="E2" s="521"/>
      <c r="F2" s="521"/>
      <c r="G2" s="533" t="s">
        <v>751</v>
      </c>
      <c r="H2" s="533" t="s">
        <v>1</v>
      </c>
    </row>
    <row r="3" spans="1:8" ht="45" x14ac:dyDescent="0.25">
      <c r="A3" s="383" t="s">
        <v>214</v>
      </c>
      <c r="B3" s="383" t="s">
        <v>996</v>
      </c>
      <c r="C3" s="216" t="s">
        <v>435</v>
      </c>
      <c r="D3" s="216" t="s">
        <v>436</v>
      </c>
      <c r="E3" s="216" t="s">
        <v>391</v>
      </c>
      <c r="F3" s="341" t="s">
        <v>445</v>
      </c>
      <c r="G3" s="533"/>
      <c r="H3" s="533"/>
    </row>
    <row r="4" spans="1:8" s="50" customFormat="1" x14ac:dyDescent="0.25">
      <c r="A4" s="226">
        <v>2014</v>
      </c>
      <c r="B4" s="226">
        <v>2013</v>
      </c>
      <c r="C4" s="74">
        <v>0.43</v>
      </c>
      <c r="D4" s="74">
        <v>0.36</v>
      </c>
      <c r="E4" s="72">
        <v>18000</v>
      </c>
      <c r="F4" s="67">
        <v>0.25</v>
      </c>
      <c r="G4" s="261"/>
      <c r="H4" s="536" t="s">
        <v>535</v>
      </c>
    </row>
    <row r="5" spans="1:8" s="50" customFormat="1" x14ac:dyDescent="0.25">
      <c r="A5" s="226">
        <v>2013</v>
      </c>
      <c r="B5" s="226">
        <v>2012</v>
      </c>
      <c r="C5" s="33">
        <v>0.43</v>
      </c>
      <c r="D5" s="33">
        <v>0.36</v>
      </c>
      <c r="E5" s="13">
        <v>18000</v>
      </c>
      <c r="F5" s="46">
        <v>0.25</v>
      </c>
      <c r="G5" s="177" t="s">
        <v>769</v>
      </c>
      <c r="H5" s="536"/>
    </row>
    <row r="6" spans="1:8" s="50" customFormat="1" x14ac:dyDescent="0.25">
      <c r="A6" s="226">
        <v>2012</v>
      </c>
      <c r="B6" s="226">
        <v>2011</v>
      </c>
      <c r="C6" s="33">
        <v>0.43</v>
      </c>
      <c r="D6" s="33">
        <v>0.36</v>
      </c>
      <c r="E6" s="13">
        <v>18000</v>
      </c>
      <c r="F6" s="46">
        <v>0.25</v>
      </c>
      <c r="G6" s="177" t="s">
        <v>768</v>
      </c>
      <c r="H6" s="536"/>
    </row>
    <row r="7" spans="1:8" s="50" customFormat="1" x14ac:dyDescent="0.25">
      <c r="A7" s="226">
        <v>2011</v>
      </c>
      <c r="B7" s="226">
        <v>2010</v>
      </c>
      <c r="C7" s="33">
        <v>0.48</v>
      </c>
      <c r="D7" s="33">
        <v>0.4</v>
      </c>
      <c r="E7" s="13">
        <v>18000</v>
      </c>
      <c r="F7" s="46">
        <v>0.25</v>
      </c>
      <c r="G7" s="177" t="s">
        <v>767</v>
      </c>
      <c r="H7" s="287"/>
    </row>
    <row r="8" spans="1:8" s="50" customFormat="1" x14ac:dyDescent="0.25">
      <c r="A8" s="226">
        <v>2008</v>
      </c>
      <c r="B8" s="226">
        <v>2007</v>
      </c>
      <c r="C8" s="46">
        <v>0.48</v>
      </c>
      <c r="D8" s="46">
        <v>0.4</v>
      </c>
      <c r="E8" s="13">
        <v>18000</v>
      </c>
      <c r="F8" s="46">
        <v>0.25</v>
      </c>
      <c r="G8" s="177" t="s">
        <v>766</v>
      </c>
      <c r="H8" s="62" t="s">
        <v>920</v>
      </c>
    </row>
    <row r="9" spans="1:8" s="50" customFormat="1" x14ac:dyDescent="0.25">
      <c r="A9" s="226">
        <v>2007</v>
      </c>
      <c r="B9" s="226">
        <v>2006</v>
      </c>
      <c r="C9" s="46">
        <v>0.48</v>
      </c>
      <c r="D9" s="46">
        <v>0.4</v>
      </c>
      <c r="E9" s="13">
        <v>18000</v>
      </c>
      <c r="F9" s="46">
        <v>0.25</v>
      </c>
      <c r="G9" s="177" t="s">
        <v>765</v>
      </c>
      <c r="H9" s="66" t="s">
        <v>222</v>
      </c>
    </row>
    <row r="10" spans="1:8" s="50" customFormat="1" x14ac:dyDescent="0.25">
      <c r="A10" s="226">
        <v>2002</v>
      </c>
      <c r="B10" s="226">
        <v>2001</v>
      </c>
      <c r="C10" s="98"/>
      <c r="D10" s="98"/>
      <c r="E10" s="13">
        <v>18000</v>
      </c>
      <c r="F10" s="46">
        <v>0.25</v>
      </c>
      <c r="G10" s="220"/>
      <c r="H10" s="43"/>
    </row>
    <row r="11" spans="1:8" s="51" customFormat="1" x14ac:dyDescent="0.25">
      <c r="A11" s="226">
        <v>1998</v>
      </c>
      <c r="B11" s="226">
        <v>1997</v>
      </c>
      <c r="C11" s="98"/>
      <c r="D11" s="98"/>
      <c r="E11" s="34">
        <v>120000</v>
      </c>
      <c r="F11" s="46">
        <v>0.25</v>
      </c>
      <c r="G11" s="221"/>
      <c r="H11" s="228"/>
    </row>
    <row r="12" spans="1:8" x14ac:dyDescent="0.25">
      <c r="A12" s="226">
        <v>1986</v>
      </c>
      <c r="B12" s="226">
        <v>1985</v>
      </c>
      <c r="C12" s="98"/>
      <c r="D12" s="98"/>
      <c r="E12" s="83"/>
      <c r="F12" s="46">
        <v>0.25</v>
      </c>
      <c r="G12" s="177" t="s">
        <v>764</v>
      </c>
      <c r="H12" s="312" t="s">
        <v>223</v>
      </c>
    </row>
    <row r="13" spans="1:8" x14ac:dyDescent="0.25">
      <c r="A13" s="226">
        <v>1985</v>
      </c>
      <c r="B13" s="226">
        <v>1984</v>
      </c>
      <c r="C13" s="98"/>
      <c r="D13" s="98"/>
      <c r="E13" s="83"/>
      <c r="F13" s="84"/>
    </row>
    <row r="15" spans="1:8" x14ac:dyDescent="0.25">
      <c r="C15" s="289" t="s">
        <v>511</v>
      </c>
    </row>
    <row r="16" spans="1:8" x14ac:dyDescent="0.25">
      <c r="C16" s="312" t="s">
        <v>610</v>
      </c>
    </row>
    <row r="68" spans="1:2" x14ac:dyDescent="0.25">
      <c r="A68" s="97"/>
      <c r="B68" s="97"/>
    </row>
    <row r="69" spans="1:2" x14ac:dyDescent="0.25">
      <c r="A69" s="97"/>
      <c r="B69" s="97"/>
    </row>
    <row r="70" spans="1:2" x14ac:dyDescent="0.25">
      <c r="A70" s="97"/>
      <c r="B70" s="97"/>
    </row>
    <row r="71" spans="1:2" x14ac:dyDescent="0.25">
      <c r="A71" s="97"/>
      <c r="B71" s="97"/>
    </row>
    <row r="72" spans="1:2" x14ac:dyDescent="0.25">
      <c r="A72" s="97"/>
      <c r="B72" s="97"/>
    </row>
  </sheetData>
  <mergeCells count="5">
    <mergeCell ref="C2:F2"/>
    <mergeCell ref="H4:H6"/>
    <mergeCell ref="G2:G3"/>
    <mergeCell ref="H2:H3"/>
    <mergeCell ref="A2:B2"/>
  </mergeCells>
  <hyperlinks>
    <hyperlink ref="F10" r:id="rId1" location="LEGIARTI000006212781" display="http://legifrance.gouv.fr/affichTexteArticle.do;jsessionid=74B6FCBBE75E37F0115D9428F2169E51.tpdjo12v_1?cidTexte=JORFTEXT000000596281&amp;idArticle=LEGIARTI000006212781&amp;dateTexte=20040531&amp;categorieLien=id - LEGIARTI000006212781"/>
    <hyperlink ref="G10" r:id="rId2" location="LEGIARTI000006212781" display="http://legifrance.gouv.fr/affichTexteArticle.do;jsessionid=74B6FCBBE75E37F0115D9428F2169E51.tpdjo12v_1?cidTexte=JORFTEXT000000596281&amp;idArticle=LEGIARTI000006212781&amp;dateTexte=20040531&amp;categorieLien=id - LEGIARTI000006212781"/>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4"/>
  <sheetViews>
    <sheetView showGridLines="0" workbookViewId="0">
      <selection activeCell="D14" sqref="D14"/>
    </sheetView>
  </sheetViews>
  <sheetFormatPr baseColWidth="10" defaultColWidth="11.42578125" defaultRowHeight="15" x14ac:dyDescent="0.25"/>
  <cols>
    <col min="1" max="1" width="5.28515625" customWidth="1"/>
    <col min="2" max="3" width="3.5703125" customWidth="1"/>
    <col min="9" max="9" width="13.7109375" customWidth="1"/>
  </cols>
  <sheetData>
    <row r="1" spans="2:16" ht="10.5" customHeight="1" x14ac:dyDescent="0.25"/>
    <row r="2" spans="2:16" ht="28.5" customHeight="1" x14ac:dyDescent="0.3">
      <c r="B2" s="301" t="s">
        <v>1004</v>
      </c>
    </row>
    <row r="3" spans="2:16" ht="10.5" customHeight="1" x14ac:dyDescent="0.25"/>
    <row r="4" spans="2:16" x14ac:dyDescent="0.25">
      <c r="B4" s="443" t="s">
        <v>1002</v>
      </c>
      <c r="C4" s="444"/>
      <c r="D4" s="444"/>
      <c r="E4" s="444"/>
      <c r="F4" s="444"/>
      <c r="G4" s="444"/>
      <c r="H4" s="444"/>
      <c r="I4" s="444"/>
      <c r="J4" s="444"/>
      <c r="K4" s="444"/>
      <c r="L4" s="444"/>
      <c r="M4" s="445"/>
    </row>
    <row r="5" spans="2:16" x14ac:dyDescent="0.25">
      <c r="B5" s="446"/>
      <c r="C5" s="447"/>
      <c r="D5" s="447"/>
      <c r="E5" s="447"/>
      <c r="F5" s="447"/>
      <c r="G5" s="447"/>
      <c r="H5" s="447"/>
      <c r="I5" s="447"/>
      <c r="J5" s="447"/>
      <c r="K5" s="447"/>
      <c r="L5" s="447"/>
      <c r="M5" s="448"/>
    </row>
    <row r="6" spans="2:16" x14ac:dyDescent="0.25">
      <c r="B6" s="446"/>
      <c r="C6" s="447"/>
      <c r="D6" s="447"/>
      <c r="E6" s="447"/>
      <c r="F6" s="447"/>
      <c r="G6" s="447"/>
      <c r="H6" s="447"/>
      <c r="I6" s="447"/>
      <c r="J6" s="447"/>
      <c r="K6" s="447"/>
      <c r="L6" s="447"/>
      <c r="M6" s="448"/>
    </row>
    <row r="7" spans="2:16" x14ac:dyDescent="0.25">
      <c r="B7" s="446"/>
      <c r="C7" s="447"/>
      <c r="D7" s="447"/>
      <c r="E7" s="447"/>
      <c r="F7" s="447"/>
      <c r="G7" s="447"/>
      <c r="H7" s="447"/>
      <c r="I7" s="447"/>
      <c r="J7" s="447"/>
      <c r="K7" s="447"/>
      <c r="L7" s="447"/>
      <c r="M7" s="448"/>
    </row>
    <row r="8" spans="2:16" x14ac:dyDescent="0.25">
      <c r="B8" s="449"/>
      <c r="C8" s="450"/>
      <c r="D8" s="450"/>
      <c r="E8" s="450"/>
      <c r="F8" s="450"/>
      <c r="G8" s="450"/>
      <c r="H8" s="450"/>
      <c r="I8" s="450"/>
      <c r="J8" s="450"/>
      <c r="K8" s="450"/>
      <c r="L8" s="450"/>
      <c r="M8" s="451"/>
    </row>
    <row r="9" spans="2:16" x14ac:dyDescent="0.25">
      <c r="C9" s="381"/>
      <c r="D9" s="381"/>
      <c r="E9" s="381"/>
      <c r="F9" s="381"/>
      <c r="G9" s="381"/>
      <c r="H9" s="381"/>
      <c r="I9" s="381"/>
      <c r="J9" s="381"/>
      <c r="K9" s="381"/>
      <c r="L9" s="381"/>
      <c r="M9" s="381"/>
    </row>
    <row r="10" spans="2:16" x14ac:dyDescent="0.25">
      <c r="C10">
        <v>1</v>
      </c>
      <c r="D10" s="1" t="s">
        <v>1129</v>
      </c>
      <c r="E10" s="381"/>
      <c r="F10" s="381"/>
      <c r="G10" s="381"/>
      <c r="J10" s="249" t="s">
        <v>991</v>
      </c>
      <c r="K10" s="250"/>
      <c r="L10" s="250"/>
      <c r="M10" s="250"/>
      <c r="N10" s="250"/>
      <c r="O10" s="250"/>
      <c r="P10" s="251"/>
    </row>
    <row r="11" spans="2:16" x14ac:dyDescent="0.25">
      <c r="C11">
        <f>C10+1</f>
        <v>2</v>
      </c>
      <c r="D11" s="1" t="s">
        <v>1128</v>
      </c>
      <c r="E11" s="389"/>
      <c r="F11" s="389"/>
      <c r="G11" s="389"/>
      <c r="J11" s="259" t="s">
        <v>1003</v>
      </c>
      <c r="K11" s="253"/>
      <c r="L11" s="253"/>
      <c r="M11" s="253"/>
      <c r="N11" s="253"/>
      <c r="O11" s="253"/>
      <c r="P11" s="254"/>
    </row>
    <row r="12" spans="2:16" x14ac:dyDescent="0.25">
      <c r="C12" s="381"/>
      <c r="D12" s="381"/>
      <c r="E12" s="381"/>
      <c r="F12" s="381"/>
      <c r="G12" s="381"/>
      <c r="J12" s="252"/>
      <c r="K12" s="253"/>
      <c r="L12" s="253"/>
      <c r="M12" s="253"/>
      <c r="N12" s="253"/>
      <c r="O12" s="253"/>
      <c r="P12" s="254"/>
    </row>
    <row r="13" spans="2:16" x14ac:dyDescent="0.25">
      <c r="B13" s="128" t="s">
        <v>999</v>
      </c>
      <c r="J13" s="255" t="s">
        <v>992</v>
      </c>
      <c r="K13" s="253"/>
      <c r="L13" s="253"/>
      <c r="M13" s="253"/>
      <c r="N13" s="253"/>
      <c r="O13" s="253"/>
      <c r="P13" s="254"/>
    </row>
    <row r="14" spans="2:16" x14ac:dyDescent="0.25">
      <c r="C14">
        <f>C11+1</f>
        <v>3</v>
      </c>
      <c r="D14" s="1" t="s">
        <v>1035</v>
      </c>
      <c r="J14" s="252" t="s">
        <v>1008</v>
      </c>
      <c r="K14" s="253"/>
      <c r="L14" s="253"/>
      <c r="M14" s="253"/>
      <c r="N14" s="253"/>
      <c r="O14" s="253"/>
      <c r="P14" s="254"/>
    </row>
    <row r="15" spans="2:16" x14ac:dyDescent="0.25">
      <c r="C15">
        <f t="shared" ref="C15:C17" si="0">C14+1</f>
        <v>4</v>
      </c>
      <c r="D15" s="1" t="s">
        <v>1036</v>
      </c>
      <c r="J15" s="252"/>
      <c r="K15" s="253"/>
      <c r="L15" s="253"/>
      <c r="M15" s="253"/>
      <c r="N15" s="253"/>
      <c r="O15" s="253"/>
      <c r="P15" s="254"/>
    </row>
    <row r="16" spans="2:16" x14ac:dyDescent="0.25">
      <c r="C16">
        <v>4</v>
      </c>
      <c r="D16" s="1" t="s">
        <v>1037</v>
      </c>
      <c r="J16" s="255" t="s">
        <v>593</v>
      </c>
      <c r="K16" s="253"/>
      <c r="L16" s="253"/>
      <c r="M16" s="253"/>
      <c r="N16" s="253"/>
      <c r="O16" s="253"/>
      <c r="P16" s="254"/>
    </row>
    <row r="17" spans="2:16" x14ac:dyDescent="0.25">
      <c r="C17">
        <f t="shared" si="0"/>
        <v>5</v>
      </c>
      <c r="D17" s="1" t="s">
        <v>1038</v>
      </c>
      <c r="J17" s="252" t="s">
        <v>213</v>
      </c>
      <c r="K17" s="253"/>
      <c r="L17" s="253"/>
      <c r="M17" s="253"/>
      <c r="N17" s="253"/>
      <c r="O17" s="253"/>
      <c r="P17" s="254"/>
    </row>
    <row r="18" spans="2:16" x14ac:dyDescent="0.25">
      <c r="C18">
        <f>C17+1</f>
        <v>6</v>
      </c>
      <c r="D18" s="1" t="s">
        <v>1039</v>
      </c>
      <c r="J18" s="256" t="s">
        <v>990</v>
      </c>
      <c r="K18" s="257"/>
      <c r="L18" s="257"/>
      <c r="M18" s="257"/>
      <c r="N18" s="257"/>
      <c r="O18" s="257"/>
      <c r="P18" s="258"/>
    </row>
    <row r="19" spans="2:16" x14ac:dyDescent="0.25">
      <c r="C19">
        <f t="shared" ref="C19" si="1">C18+1</f>
        <v>7</v>
      </c>
      <c r="D19" s="1" t="s">
        <v>1040</v>
      </c>
    </row>
    <row r="20" spans="2:16" x14ac:dyDescent="0.25">
      <c r="B20" s="128" t="s">
        <v>1000</v>
      </c>
      <c r="C20" s="1"/>
      <c r="G20" s="63"/>
    </row>
    <row r="21" spans="2:16" x14ac:dyDescent="0.25">
      <c r="B21" s="128"/>
      <c r="C21">
        <f>C19+1</f>
        <v>8</v>
      </c>
      <c r="D21" s="1" t="s">
        <v>1041</v>
      </c>
      <c r="G21" s="63"/>
    </row>
    <row r="22" spans="2:16" x14ac:dyDescent="0.25">
      <c r="B22" s="128"/>
      <c r="C22">
        <f>C21+1</f>
        <v>9</v>
      </c>
      <c r="D22" s="1" t="s">
        <v>1042</v>
      </c>
      <c r="G22" s="63"/>
    </row>
    <row r="23" spans="2:16" x14ac:dyDescent="0.25">
      <c r="B23" s="128" t="s">
        <v>1001</v>
      </c>
      <c r="D23" s="64"/>
      <c r="E23" s="63"/>
      <c r="F23" s="63"/>
    </row>
    <row r="24" spans="2:16" x14ac:dyDescent="0.25">
      <c r="C24">
        <f>C22+1</f>
        <v>10</v>
      </c>
      <c r="D24" s="1" t="s">
        <v>1043</v>
      </c>
    </row>
    <row r="25" spans="2:16" x14ac:dyDescent="0.25">
      <c r="C25">
        <f>C24+1</f>
        <v>11</v>
      </c>
      <c r="D25" s="1" t="s">
        <v>1044</v>
      </c>
    </row>
    <row r="26" spans="2:16" x14ac:dyDescent="0.25">
      <c r="C26">
        <f t="shared" ref="C26:C40" si="2">C25+1</f>
        <v>12</v>
      </c>
      <c r="D26" s="1" t="s">
        <v>1045</v>
      </c>
    </row>
    <row r="27" spans="2:16" x14ac:dyDescent="0.25">
      <c r="C27">
        <f t="shared" si="2"/>
        <v>13</v>
      </c>
      <c r="D27" s="1" t="s">
        <v>1046</v>
      </c>
    </row>
    <row r="28" spans="2:16" x14ac:dyDescent="0.25">
      <c r="C28">
        <f t="shared" si="2"/>
        <v>14</v>
      </c>
      <c r="D28" s="1" t="s">
        <v>1047</v>
      </c>
    </row>
    <row r="29" spans="2:16" x14ac:dyDescent="0.25">
      <c r="C29">
        <f t="shared" si="2"/>
        <v>15</v>
      </c>
      <c r="D29" s="1" t="s">
        <v>1048</v>
      </c>
    </row>
    <row r="30" spans="2:16" x14ac:dyDescent="0.25">
      <c r="C30">
        <f t="shared" si="2"/>
        <v>16</v>
      </c>
      <c r="D30" s="1" t="s">
        <v>1049</v>
      </c>
    </row>
    <row r="31" spans="2:16" x14ac:dyDescent="0.25">
      <c r="C31">
        <f t="shared" si="2"/>
        <v>17</v>
      </c>
      <c r="D31" s="1" t="s">
        <v>1050</v>
      </c>
    </row>
    <row r="32" spans="2:16" x14ac:dyDescent="0.25">
      <c r="C32">
        <f t="shared" si="2"/>
        <v>18</v>
      </c>
      <c r="D32" s="1" t="s">
        <v>1051</v>
      </c>
    </row>
    <row r="33" spans="2:11" x14ac:dyDescent="0.25">
      <c r="C33">
        <f>C32+1</f>
        <v>19</v>
      </c>
      <c r="D33" s="1" t="s">
        <v>1052</v>
      </c>
      <c r="K33" s="1"/>
    </row>
    <row r="34" spans="2:11" x14ac:dyDescent="0.25">
      <c r="C34">
        <f t="shared" si="2"/>
        <v>20</v>
      </c>
      <c r="D34" s="1" t="s">
        <v>1053</v>
      </c>
      <c r="K34" s="1"/>
    </row>
    <row r="35" spans="2:11" x14ac:dyDescent="0.25">
      <c r="C35">
        <f t="shared" si="2"/>
        <v>21</v>
      </c>
      <c r="D35" s="1" t="s">
        <v>1054</v>
      </c>
      <c r="K35" s="1"/>
    </row>
    <row r="36" spans="2:11" x14ac:dyDescent="0.25">
      <c r="C36">
        <f t="shared" si="2"/>
        <v>22</v>
      </c>
      <c r="D36" s="1" t="s">
        <v>993</v>
      </c>
      <c r="K36" s="1"/>
    </row>
    <row r="37" spans="2:11" x14ac:dyDescent="0.25">
      <c r="C37">
        <f t="shared" si="2"/>
        <v>23</v>
      </c>
      <c r="D37" s="1" t="s">
        <v>1055</v>
      </c>
      <c r="K37" s="1"/>
    </row>
    <row r="38" spans="2:11" x14ac:dyDescent="0.25">
      <c r="B38" s="128" t="s">
        <v>1088</v>
      </c>
      <c r="K38" s="1"/>
    </row>
    <row r="39" spans="2:11" x14ac:dyDescent="0.25">
      <c r="C39">
        <f>C37+1</f>
        <v>24</v>
      </c>
      <c r="D39" s="1" t="s">
        <v>1056</v>
      </c>
    </row>
    <row r="40" spans="2:11" x14ac:dyDescent="0.25">
      <c r="C40">
        <f t="shared" si="2"/>
        <v>25</v>
      </c>
      <c r="D40" s="1" t="s">
        <v>1057</v>
      </c>
    </row>
    <row r="41" spans="2:11" x14ac:dyDescent="0.25">
      <c r="C41">
        <f>C40+1</f>
        <v>26</v>
      </c>
      <c r="D41" s="1" t="s">
        <v>1058</v>
      </c>
    </row>
    <row r="42" spans="2:11" x14ac:dyDescent="0.25">
      <c r="B42" s="128" t="s">
        <v>1089</v>
      </c>
    </row>
    <row r="43" spans="2:11" x14ac:dyDescent="0.25">
      <c r="C43">
        <f>C41+1</f>
        <v>27</v>
      </c>
      <c r="D43" s="1" t="s">
        <v>1059</v>
      </c>
    </row>
    <row r="44" spans="2:11" x14ac:dyDescent="0.25">
      <c r="C44">
        <v>28</v>
      </c>
      <c r="D44" s="1" t="s">
        <v>994</v>
      </c>
    </row>
  </sheetData>
  <mergeCells count="1">
    <mergeCell ref="B4:M8"/>
  </mergeCells>
  <hyperlinks>
    <hyperlink ref="D14" location="Déductions!A1" display="Déductions salaires, pensions (1978 - 2013)"/>
    <hyperlink ref="D15" location="RCM!A1" display="Revenu des valeurs et capitaux mobiliers (1980 - 2013)"/>
    <hyperlink ref="D16" location="micro!A1" display="Régimes micro-entreprise et foncier (1980 - 2013)"/>
    <hyperlink ref="D17" location="charg_deduc!A1" display="Charges déductibles du revenu brut global (1975 - 2013) "/>
    <hyperlink ref="D18" location="abat_RNI!A1" display="Abattement pour revenu net imposable ( 1978 - 2013)"/>
    <hyperlink ref="D19" location="exo_IR!A1" display="Exonération d'IR (1978 - 2013)"/>
    <hyperlink ref="D10" location="'Barème IR'!A1" display="Seuils et taux d'imposition au titre du barème de l'IR (1945 - 2013)"/>
    <hyperlink ref="D21" location="plaf_qf!A1" display="Plafonnement du quotient familial et décote (1978 - 2013)"/>
    <hyperlink ref="D22" location="pv!A1" display="Imposition des plus-values (1979 - 2013)"/>
    <hyperlink ref="D24" location="dons!A1" display="Dons (dons)"/>
    <hyperlink ref="D25" location="deduc_sal!A1" display="Cotisations syndicales (1989 - 2013)"/>
    <hyperlink ref="D26" location="SOFIPECHE!A1" display="Souscription au capital de SOFIPECHE (1999 - 2013)"/>
    <hyperlink ref="D27" location="sal_dom!A1" display="Emploi d'un salarié à domicile (1992 - 2013)"/>
    <hyperlink ref="D28" location="prest_compen!A1" display="Prestation compensatoire (2001 - 2013)"/>
    <hyperlink ref="D30" location="SOFICA!A1" display="Souscription au capital de SOFICA (1986 - 2013)"/>
    <hyperlink ref="D31" location="PME!A1" display="Souscription au capital des PME (1993 - 2013)"/>
    <hyperlink ref="D32" location="forêt!A1" display="Investissement et travaux forestiers (2002 - 2013)"/>
    <hyperlink ref="D33" location="enfscol!A1" display="Réductions pour enfants scolarisés (1993 - 2013)"/>
    <hyperlink ref="D34" location="heberg_santé!A1" display="Dépenses d’accueil dans un établissement pour personnes dépendantes (1990 - 2013)"/>
    <hyperlink ref="D35" location="habitat_princ!A1" display="Dépenses de gros travaux et Intérêts d'emprunt et ravalement (1980 - 2013)"/>
    <hyperlink ref="D36" location="codev!A1" display="Sommes versées sur un compte épargne codéveloppement (2010)"/>
    <hyperlink ref="D37" location="divers!A1" display="Autres réductions d'impôts (1979 - 2013)"/>
    <hyperlink ref="D39" location="gardenf!A1" display="Frais de garde d'enfants (1979 - 2013)"/>
    <hyperlink ref="D40" location="PPE!A1" display="Prime pour l'emploi (2001 - 2013)"/>
    <hyperlink ref="D41" location="plaf_nich!A1" display="Plafonnement global des niches (2009 - 2013)"/>
    <hyperlink ref="D43" location="taxe_HR!A1" display="Taxe exceptionnelle sur les hauts revenus (2012-2013)"/>
    <hyperlink ref="D44" location="majo_excep!A1" display="Majorations exceptionnelles (1947-1981)"/>
    <hyperlink ref="D29" location="FCP!A1" display="Souscription de parts de fonds communs de placement dans l'innovation (1998 - 2013)"/>
    <hyperlink ref="D11" location="'Barème IGR'!A1" display="Barème de l'impôt général sur le revenu IGR (1914-1944)"/>
  </hyperlinks>
  <pageMargins left="0.7" right="0.7" top="0.75" bottom="0.75" header="0.3" footer="0.3"/>
  <pageSetup paperSize="9"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F24" sqref="F24"/>
    </sheetView>
  </sheetViews>
  <sheetFormatPr baseColWidth="10" defaultColWidth="15.7109375" defaultRowHeight="15" x14ac:dyDescent="0.25"/>
  <cols>
    <col min="1" max="2" width="15.7109375" style="50" customWidth="1"/>
    <col min="3" max="3" width="22.5703125" style="26" customWidth="1"/>
    <col min="4" max="4" width="22.7109375" style="26" customWidth="1"/>
    <col min="5" max="5" width="23.28515625" style="26" customWidth="1"/>
    <col min="6" max="6" width="63" style="26" bestFit="1" customWidth="1"/>
    <col min="7" max="7" width="64" style="26" customWidth="1"/>
    <col min="8" max="8" width="23" style="26" customWidth="1"/>
    <col min="9" max="16384" width="15.7109375" style="26"/>
  </cols>
  <sheetData>
    <row r="1" spans="1:7" hidden="1" x14ac:dyDescent="0.25">
      <c r="A1" s="269" t="s">
        <v>1130</v>
      </c>
      <c r="B1" s="269" t="s">
        <v>1131</v>
      </c>
      <c r="C1" s="264" t="s">
        <v>168</v>
      </c>
      <c r="D1" s="264" t="s">
        <v>1142</v>
      </c>
      <c r="E1" s="264" t="s">
        <v>1143</v>
      </c>
      <c r="F1" s="430" t="s">
        <v>1135</v>
      </c>
      <c r="G1" s="224"/>
    </row>
    <row r="2" spans="1:7" x14ac:dyDescent="0.25">
      <c r="A2" s="486" t="s">
        <v>997</v>
      </c>
      <c r="B2" s="487"/>
      <c r="C2" s="521" t="s">
        <v>538</v>
      </c>
      <c r="D2" s="521"/>
      <c r="E2" s="521"/>
      <c r="F2" s="537" t="s">
        <v>751</v>
      </c>
      <c r="G2" s="537" t="s">
        <v>1</v>
      </c>
    </row>
    <row r="3" spans="1:7" x14ac:dyDescent="0.25">
      <c r="A3" s="383" t="s">
        <v>214</v>
      </c>
      <c r="B3" s="383" t="s">
        <v>996</v>
      </c>
      <c r="C3" s="313" t="s">
        <v>379</v>
      </c>
      <c r="D3" s="313" t="s">
        <v>399</v>
      </c>
      <c r="E3" s="313" t="s">
        <v>400</v>
      </c>
      <c r="F3" s="538"/>
      <c r="G3" s="538"/>
    </row>
    <row r="4" spans="1:7" x14ac:dyDescent="0.25">
      <c r="A4" s="363">
        <v>2014</v>
      </c>
      <c r="B4" s="363">
        <v>2013</v>
      </c>
      <c r="C4" s="67">
        <v>0.25</v>
      </c>
      <c r="D4" s="116"/>
      <c r="E4" s="59">
        <v>20000</v>
      </c>
      <c r="F4" s="339" t="s">
        <v>539</v>
      </c>
      <c r="G4" s="248"/>
    </row>
    <row r="5" spans="1:7" x14ac:dyDescent="0.25">
      <c r="A5" s="363">
        <v>2012</v>
      </c>
      <c r="B5" s="363">
        <v>2011</v>
      </c>
      <c r="C5" s="67">
        <v>0.25</v>
      </c>
      <c r="D5" s="116"/>
      <c r="E5" s="59">
        <v>20000</v>
      </c>
      <c r="F5" s="339" t="s">
        <v>545</v>
      </c>
    </row>
    <row r="6" spans="1:7" s="50" customFormat="1" x14ac:dyDescent="0.25">
      <c r="A6" s="226">
        <v>2011</v>
      </c>
      <c r="B6" s="226">
        <v>2010</v>
      </c>
      <c r="C6" s="67">
        <v>0.25</v>
      </c>
      <c r="D6" s="85"/>
      <c r="E6" s="72">
        <v>20000</v>
      </c>
      <c r="F6" s="339" t="s">
        <v>544</v>
      </c>
    </row>
    <row r="7" spans="1:7" s="50" customFormat="1" x14ac:dyDescent="0.25">
      <c r="A7" s="226">
        <v>2010</v>
      </c>
      <c r="B7" s="226">
        <v>2009</v>
      </c>
      <c r="C7" s="67">
        <v>0.25</v>
      </c>
      <c r="D7" s="85"/>
      <c r="E7" s="72">
        <v>20000</v>
      </c>
      <c r="F7" s="339" t="s">
        <v>110</v>
      </c>
    </row>
    <row r="8" spans="1:7" s="50" customFormat="1" x14ac:dyDescent="0.25">
      <c r="A8" s="226">
        <v>2009</v>
      </c>
      <c r="B8" s="226">
        <v>2008</v>
      </c>
      <c r="C8" s="67">
        <v>0.25</v>
      </c>
      <c r="D8" s="85"/>
      <c r="E8" s="72">
        <v>20000</v>
      </c>
      <c r="F8" s="339" t="s">
        <v>543</v>
      </c>
      <c r="G8" s="66"/>
    </row>
    <row r="9" spans="1:7" s="50" customFormat="1" x14ac:dyDescent="0.25">
      <c r="A9" s="226">
        <v>2008</v>
      </c>
      <c r="B9" s="226">
        <v>2007</v>
      </c>
      <c r="C9" s="67">
        <v>0.25</v>
      </c>
      <c r="D9" s="85"/>
      <c r="E9" s="72">
        <v>20000</v>
      </c>
      <c r="F9" s="339" t="s">
        <v>542</v>
      </c>
      <c r="G9" s="43"/>
    </row>
    <row r="10" spans="1:7" s="50" customFormat="1" ht="30" x14ac:dyDescent="0.25">
      <c r="A10" s="226">
        <v>2007</v>
      </c>
      <c r="B10" s="226">
        <v>2006</v>
      </c>
      <c r="C10" s="67">
        <v>0.25</v>
      </c>
      <c r="D10" s="85"/>
      <c r="E10" s="72">
        <v>20000</v>
      </c>
      <c r="F10" s="339" t="s">
        <v>540</v>
      </c>
      <c r="G10" s="43"/>
    </row>
    <row r="11" spans="1:7" s="50" customFormat="1" x14ac:dyDescent="0.25">
      <c r="A11" s="226">
        <v>2003</v>
      </c>
      <c r="B11" s="226">
        <v>2002</v>
      </c>
      <c r="C11" s="74">
        <v>0.25</v>
      </c>
      <c r="D11" s="98"/>
      <c r="E11" s="72">
        <v>20000</v>
      </c>
      <c r="F11" s="1"/>
      <c r="G11" s="69"/>
    </row>
    <row r="12" spans="1:7" s="50" customFormat="1" x14ac:dyDescent="0.25">
      <c r="A12" s="226">
        <v>2002</v>
      </c>
      <c r="B12" s="226">
        <v>2001</v>
      </c>
      <c r="C12" s="74">
        <v>0.25</v>
      </c>
      <c r="D12" s="98"/>
      <c r="E12" s="72">
        <v>5717</v>
      </c>
      <c r="F12"/>
      <c r="G12" s="43"/>
    </row>
    <row r="13" spans="1:7" s="51" customFormat="1" x14ac:dyDescent="0.25">
      <c r="A13" s="226">
        <v>2000</v>
      </c>
      <c r="B13" s="226">
        <v>1999</v>
      </c>
      <c r="C13" s="74">
        <v>0.25</v>
      </c>
      <c r="D13" s="83"/>
      <c r="E13" s="76">
        <v>37500</v>
      </c>
      <c r="F13" s="221"/>
      <c r="G13" s="496" t="s">
        <v>541</v>
      </c>
    </row>
    <row r="14" spans="1:7" s="51" customFormat="1" x14ac:dyDescent="0.25">
      <c r="A14" s="226">
        <v>1999</v>
      </c>
      <c r="B14" s="226">
        <v>1998</v>
      </c>
      <c r="C14" s="74">
        <v>0.25</v>
      </c>
      <c r="D14" s="83"/>
      <c r="E14" s="76">
        <v>37500</v>
      </c>
      <c r="F14" s="221"/>
      <c r="G14" s="496"/>
    </row>
    <row r="15" spans="1:7" s="51" customFormat="1" x14ac:dyDescent="0.25">
      <c r="A15" s="226">
        <v>1996</v>
      </c>
      <c r="B15" s="226">
        <v>1995</v>
      </c>
      <c r="C15" s="74">
        <v>0.25</v>
      </c>
      <c r="D15" s="76">
        <v>25000</v>
      </c>
      <c r="E15" s="76">
        <v>37500</v>
      </c>
      <c r="F15" s="26"/>
      <c r="G15" s="309" t="s">
        <v>634</v>
      </c>
    </row>
    <row r="16" spans="1:7" s="51" customFormat="1" x14ac:dyDescent="0.25">
      <c r="A16" s="226">
        <v>1995</v>
      </c>
      <c r="B16" s="226">
        <v>1994</v>
      </c>
      <c r="C16" s="74">
        <v>0.25</v>
      </c>
      <c r="D16" s="76">
        <v>25000</v>
      </c>
      <c r="E16" s="83"/>
      <c r="F16" s="26"/>
      <c r="G16" s="71" t="s">
        <v>633</v>
      </c>
    </row>
    <row r="17" spans="1:7" x14ac:dyDescent="0.25">
      <c r="A17" s="226">
        <v>1993</v>
      </c>
      <c r="B17" s="226">
        <v>1992</v>
      </c>
      <c r="C17" s="74">
        <v>0.25</v>
      </c>
      <c r="D17" s="76">
        <v>25000</v>
      </c>
      <c r="E17" s="83"/>
      <c r="F17" s="145"/>
      <c r="G17" s="48"/>
    </row>
    <row r="18" spans="1:7" x14ac:dyDescent="0.25">
      <c r="A18" s="226">
        <v>1992</v>
      </c>
      <c r="B18" s="226">
        <v>1991</v>
      </c>
      <c r="C18" s="186"/>
      <c r="D18" s="186"/>
      <c r="E18" s="83"/>
      <c r="F18" s="27"/>
      <c r="G18" s="48"/>
    </row>
    <row r="20" spans="1:7" x14ac:dyDescent="0.25">
      <c r="C20" s="288" t="s">
        <v>508</v>
      </c>
    </row>
    <row r="21" spans="1:7" x14ac:dyDescent="0.25">
      <c r="C21" s="66" t="s">
        <v>536</v>
      </c>
    </row>
    <row r="22" spans="1:7" x14ac:dyDescent="0.25">
      <c r="C22" s="279" t="s">
        <v>537</v>
      </c>
    </row>
    <row r="73" spans="1:2" x14ac:dyDescent="0.25">
      <c r="A73" s="97"/>
      <c r="B73" s="97"/>
    </row>
    <row r="74" spans="1:2" x14ac:dyDescent="0.25">
      <c r="A74" s="97"/>
      <c r="B74" s="97"/>
    </row>
    <row r="75" spans="1:2" x14ac:dyDescent="0.25">
      <c r="A75" s="97"/>
      <c r="B75" s="97"/>
    </row>
    <row r="76" spans="1:2" x14ac:dyDescent="0.25">
      <c r="A76" s="97"/>
      <c r="B76" s="97"/>
    </row>
    <row r="77" spans="1:2" x14ac:dyDescent="0.25">
      <c r="A77" s="97"/>
      <c r="B77" s="97"/>
    </row>
  </sheetData>
  <mergeCells count="5">
    <mergeCell ref="C2:E2"/>
    <mergeCell ref="G13:G14"/>
    <mergeCell ref="G2:G3"/>
    <mergeCell ref="F2:F3"/>
    <mergeCell ref="A2:B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pane xSplit="2" ySplit="3" topLeftCell="C4" activePane="bottomRight" state="frozen"/>
      <selection activeCell="C3" sqref="C3:E3"/>
      <selection pane="topRight" activeCell="C3" sqref="C3:E3"/>
      <selection pane="bottomLeft" activeCell="C3" sqref="C3:E3"/>
      <selection pane="bottomRight" activeCell="D24" sqref="D24"/>
    </sheetView>
  </sheetViews>
  <sheetFormatPr baseColWidth="10" defaultColWidth="15.7109375" defaultRowHeight="15" x14ac:dyDescent="0.25"/>
  <cols>
    <col min="1" max="1" width="7.5703125" style="50" bestFit="1" customWidth="1"/>
    <col min="2" max="2" width="15.140625" style="50" bestFit="1" customWidth="1"/>
    <col min="3" max="3" width="23.140625" style="26" customWidth="1"/>
    <col min="4" max="4" width="20" style="26" customWidth="1"/>
    <col min="5" max="5" width="13.5703125" style="26" bestFit="1" customWidth="1"/>
    <col min="6" max="6" width="23" style="26" customWidth="1"/>
    <col min="7" max="7" width="24.28515625" style="26" bestFit="1" customWidth="1"/>
    <col min="8" max="8" width="100.140625" style="26" customWidth="1"/>
    <col min="9" max="16384" width="15.7109375" style="26"/>
  </cols>
  <sheetData>
    <row r="1" spans="1:8" hidden="1" x14ac:dyDescent="0.25">
      <c r="A1" s="269" t="s">
        <v>1130</v>
      </c>
      <c r="B1" s="269" t="s">
        <v>1131</v>
      </c>
      <c r="C1" s="263" t="s">
        <v>182</v>
      </c>
      <c r="D1" s="263" t="s">
        <v>181</v>
      </c>
      <c r="E1" s="263" t="s">
        <v>188</v>
      </c>
      <c r="F1" s="263" t="s">
        <v>189</v>
      </c>
      <c r="G1" s="430" t="s">
        <v>1135</v>
      </c>
      <c r="H1" s="224"/>
    </row>
    <row r="2" spans="1:8" ht="60" x14ac:dyDescent="0.25">
      <c r="A2" s="486" t="s">
        <v>997</v>
      </c>
      <c r="B2" s="487"/>
      <c r="C2" s="308" t="s">
        <v>224</v>
      </c>
      <c r="D2" s="308" t="s">
        <v>437</v>
      </c>
      <c r="E2" s="493" t="s">
        <v>438</v>
      </c>
      <c r="F2" s="493"/>
      <c r="G2" s="533" t="s">
        <v>588</v>
      </c>
      <c r="H2" s="533" t="s">
        <v>1</v>
      </c>
    </row>
    <row r="3" spans="1:8" ht="25.5" x14ac:dyDescent="0.25">
      <c r="A3" s="383" t="s">
        <v>214</v>
      </c>
      <c r="B3" s="383" t="s">
        <v>996</v>
      </c>
      <c r="C3" s="315"/>
      <c r="D3" s="281" t="s">
        <v>379</v>
      </c>
      <c r="E3" s="281" t="s">
        <v>379</v>
      </c>
      <c r="F3" s="281" t="s">
        <v>391</v>
      </c>
      <c r="G3" s="533"/>
      <c r="H3" s="533"/>
    </row>
    <row r="4" spans="1:8" x14ac:dyDescent="0.25">
      <c r="A4" s="226">
        <v>2012</v>
      </c>
      <c r="B4" s="226">
        <v>2011</v>
      </c>
      <c r="C4" s="117"/>
      <c r="D4" s="229">
        <v>0.22</v>
      </c>
      <c r="E4" s="46">
        <v>0.5</v>
      </c>
      <c r="F4" s="13">
        <v>1000</v>
      </c>
      <c r="G4" s="222"/>
      <c r="H4" s="66" t="s">
        <v>116</v>
      </c>
    </row>
    <row r="5" spans="1:8" s="50" customFormat="1" x14ac:dyDescent="0.25">
      <c r="A5" s="226">
        <v>2007</v>
      </c>
      <c r="B5" s="226">
        <v>2006</v>
      </c>
      <c r="C5" s="13">
        <v>5700</v>
      </c>
      <c r="D5" s="46">
        <f t="shared" ref="D5:D6" si="0">25/100</f>
        <v>0.25</v>
      </c>
      <c r="E5" s="46">
        <v>0.5</v>
      </c>
      <c r="F5" s="13">
        <v>1000</v>
      </c>
      <c r="G5" s="219"/>
      <c r="H5" s="306" t="s">
        <v>635</v>
      </c>
    </row>
    <row r="6" spans="1:8" s="50" customFormat="1" x14ac:dyDescent="0.25">
      <c r="A6" s="226">
        <v>2002</v>
      </c>
      <c r="B6" s="226">
        <v>2001</v>
      </c>
      <c r="C6" s="13">
        <v>5700</v>
      </c>
      <c r="D6" s="46">
        <f t="shared" si="0"/>
        <v>0.25</v>
      </c>
      <c r="E6" s="85"/>
      <c r="F6" s="85"/>
      <c r="G6" s="218" t="s">
        <v>752</v>
      </c>
      <c r="H6" s="66" t="s">
        <v>571</v>
      </c>
    </row>
    <row r="7" spans="1:8" s="51" customFormat="1" x14ac:dyDescent="0.25">
      <c r="A7" s="226">
        <v>2001</v>
      </c>
      <c r="B7" s="226">
        <v>2000</v>
      </c>
      <c r="C7" s="85"/>
      <c r="D7" s="85"/>
      <c r="E7" s="85"/>
      <c r="F7" s="85"/>
      <c r="G7" s="206"/>
      <c r="H7" s="282"/>
    </row>
    <row r="9" spans="1:8" x14ac:dyDescent="0.25">
      <c r="C9" s="289" t="s">
        <v>511</v>
      </c>
    </row>
    <row r="10" spans="1:8" x14ac:dyDescent="0.25">
      <c r="C10" s="312" t="s">
        <v>636</v>
      </c>
    </row>
    <row r="62" spans="1:2" x14ac:dyDescent="0.25">
      <c r="A62" s="97"/>
      <c r="B62" s="97"/>
    </row>
    <row r="63" spans="1:2" x14ac:dyDescent="0.25">
      <c r="A63" s="97"/>
      <c r="B63" s="97"/>
    </row>
    <row r="64" spans="1:2" x14ac:dyDescent="0.25">
      <c r="A64" s="97"/>
      <c r="B64" s="97"/>
    </row>
    <row r="65" spans="1:2" x14ac:dyDescent="0.25">
      <c r="A65" s="97"/>
      <c r="B65" s="97"/>
    </row>
    <row r="66" spans="1:2" x14ac:dyDescent="0.25">
      <c r="A66" s="97"/>
      <c r="B66" s="97"/>
    </row>
  </sheetData>
  <mergeCells count="4">
    <mergeCell ref="E2:F2"/>
    <mergeCell ref="H2:H3"/>
    <mergeCell ref="G2:G3"/>
    <mergeCell ref="A2:B2"/>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pane xSplit="2" ySplit="3" topLeftCell="C4" activePane="bottomRight" state="frozen"/>
      <selection activeCell="C3" sqref="C3:E3"/>
      <selection pane="topRight" activeCell="C3" sqref="C3:E3"/>
      <selection pane="bottomLeft" activeCell="C3" sqref="C3:E3"/>
      <selection pane="bottomRight" activeCell="C2" sqref="C2:E2"/>
    </sheetView>
  </sheetViews>
  <sheetFormatPr baseColWidth="10" defaultColWidth="9.140625" defaultRowHeight="15" x14ac:dyDescent="0.25"/>
  <cols>
    <col min="1" max="1" width="9.28515625" style="234" bestFit="1" customWidth="1"/>
    <col min="2" max="2" width="15.140625" style="234" bestFit="1" customWidth="1"/>
    <col min="3" max="3" width="16.140625" style="24" customWidth="1"/>
    <col min="4" max="4" width="16.42578125" style="24" customWidth="1"/>
    <col min="5" max="5" width="18.28515625" style="24" customWidth="1"/>
    <col min="6" max="6" width="22.140625" style="24" bestFit="1" customWidth="1"/>
    <col min="7" max="7" width="47.5703125" style="24" customWidth="1"/>
    <col min="8" max="16384" width="9.140625" style="24"/>
  </cols>
  <sheetData>
    <row r="1" spans="1:7" hidden="1" x14ac:dyDescent="0.25">
      <c r="A1" s="269" t="s">
        <v>1130</v>
      </c>
      <c r="B1" s="269" t="s">
        <v>1131</v>
      </c>
      <c r="C1" s="431" t="s">
        <v>474</v>
      </c>
      <c r="D1" s="431" t="s">
        <v>475</v>
      </c>
      <c r="E1" s="431" t="s">
        <v>476</v>
      </c>
      <c r="F1" s="428" t="s">
        <v>1135</v>
      </c>
      <c r="G1" s="3" t="s">
        <v>1</v>
      </c>
    </row>
    <row r="2" spans="1:7" x14ac:dyDescent="0.25">
      <c r="A2" s="486" t="s">
        <v>997</v>
      </c>
      <c r="B2" s="487"/>
      <c r="C2" s="539" t="s">
        <v>568</v>
      </c>
      <c r="D2" s="539"/>
      <c r="E2" s="539"/>
      <c r="F2" s="527" t="s">
        <v>588</v>
      </c>
      <c r="G2" s="530" t="s">
        <v>1</v>
      </c>
    </row>
    <row r="3" spans="1:7" ht="25.5" x14ac:dyDescent="0.25">
      <c r="A3" s="383" t="s">
        <v>214</v>
      </c>
      <c r="B3" s="383" t="s">
        <v>996</v>
      </c>
      <c r="C3" s="296" t="s">
        <v>640</v>
      </c>
      <c r="D3" s="296" t="s">
        <v>439</v>
      </c>
      <c r="E3" s="296" t="s">
        <v>440</v>
      </c>
      <c r="F3" s="528"/>
      <c r="G3" s="530"/>
    </row>
    <row r="4" spans="1:7" x14ac:dyDescent="0.25">
      <c r="A4" s="226">
        <v>2002</v>
      </c>
      <c r="B4" s="226">
        <v>2001</v>
      </c>
      <c r="C4" s="230">
        <v>61</v>
      </c>
      <c r="D4" s="230">
        <v>153</v>
      </c>
      <c r="E4" s="230">
        <v>183</v>
      </c>
      <c r="F4" s="231"/>
      <c r="G4" s="231"/>
    </row>
    <row r="5" spans="1:7" x14ac:dyDescent="0.25">
      <c r="A5" s="226">
        <v>1993</v>
      </c>
      <c r="B5" s="226">
        <v>1992</v>
      </c>
      <c r="C5" s="232">
        <v>400</v>
      </c>
      <c r="D5" s="232">
        <v>1000</v>
      </c>
      <c r="E5" s="232">
        <v>1200</v>
      </c>
      <c r="F5" s="286" t="s">
        <v>874</v>
      </c>
      <c r="G5" s="369" t="s">
        <v>570</v>
      </c>
    </row>
    <row r="6" spans="1:7" x14ac:dyDescent="0.25">
      <c r="A6" s="226">
        <v>1992</v>
      </c>
      <c r="B6" s="226">
        <v>1991</v>
      </c>
      <c r="C6" s="233"/>
      <c r="D6" s="233"/>
      <c r="E6" s="233"/>
    </row>
    <row r="61" spans="1:2" x14ac:dyDescent="0.25">
      <c r="A61" s="235"/>
      <c r="B61" s="235"/>
    </row>
    <row r="62" spans="1:2" x14ac:dyDescent="0.25">
      <c r="A62" s="235"/>
      <c r="B62" s="235"/>
    </row>
    <row r="63" spans="1:2" x14ac:dyDescent="0.25">
      <c r="A63" s="235"/>
      <c r="B63" s="235"/>
    </row>
    <row r="64" spans="1:2" x14ac:dyDescent="0.25">
      <c r="A64" s="235"/>
      <c r="B64" s="235"/>
    </row>
    <row r="65" spans="1:2" x14ac:dyDescent="0.25">
      <c r="A65" s="235"/>
      <c r="B65" s="235"/>
    </row>
  </sheetData>
  <mergeCells count="4">
    <mergeCell ref="C2:E2"/>
    <mergeCell ref="G2:G3"/>
    <mergeCell ref="F2:F3"/>
    <mergeCell ref="A2:B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15.7109375" defaultRowHeight="15" x14ac:dyDescent="0.25"/>
  <cols>
    <col min="1" max="1" width="9.28515625" style="50" bestFit="1" customWidth="1"/>
    <col min="2" max="2" width="15.140625" style="50" bestFit="1" customWidth="1"/>
    <col min="3" max="3" width="23.28515625" style="26" customWidth="1"/>
    <col min="4" max="4" width="31.28515625" style="26" customWidth="1"/>
    <col min="5" max="5" width="60" style="26" bestFit="1" customWidth="1"/>
    <col min="6" max="6" width="142.85546875" style="26" customWidth="1"/>
    <col min="7" max="16384" width="15.7109375" style="26"/>
  </cols>
  <sheetData>
    <row r="1" spans="1:6" hidden="1" x14ac:dyDescent="0.25">
      <c r="A1" s="269" t="s">
        <v>1130</v>
      </c>
      <c r="B1" s="269" t="s">
        <v>1131</v>
      </c>
      <c r="C1" s="263" t="s">
        <v>205</v>
      </c>
      <c r="D1" s="263" t="s">
        <v>204</v>
      </c>
      <c r="E1" s="430" t="s">
        <v>1135</v>
      </c>
      <c r="F1" s="224"/>
    </row>
    <row r="2" spans="1:6" ht="30" customHeight="1" x14ac:dyDescent="0.25">
      <c r="A2" s="486" t="s">
        <v>997</v>
      </c>
      <c r="B2" s="487"/>
      <c r="C2" s="493" t="s">
        <v>546</v>
      </c>
      <c r="D2" s="493"/>
      <c r="E2" s="537" t="s">
        <v>627</v>
      </c>
      <c r="F2" s="537" t="s">
        <v>1</v>
      </c>
    </row>
    <row r="3" spans="1:6" x14ac:dyDescent="0.25">
      <c r="A3" s="383" t="s">
        <v>214</v>
      </c>
      <c r="B3" s="383" t="s">
        <v>996</v>
      </c>
      <c r="C3" s="281" t="s">
        <v>379</v>
      </c>
      <c r="D3" s="281" t="s">
        <v>391</v>
      </c>
      <c r="E3" s="538"/>
      <c r="F3" s="538"/>
    </row>
    <row r="4" spans="1:6" s="50" customFormat="1" x14ac:dyDescent="0.25">
      <c r="A4" s="226">
        <v>2007</v>
      </c>
      <c r="B4" s="226">
        <v>2006</v>
      </c>
      <c r="C4" s="46">
        <v>0.25</v>
      </c>
      <c r="D4" s="13">
        <v>10000</v>
      </c>
      <c r="E4" s="342" t="s">
        <v>921</v>
      </c>
      <c r="F4" s="342" t="s">
        <v>753</v>
      </c>
    </row>
    <row r="5" spans="1:6" s="50" customFormat="1" x14ac:dyDescent="0.25">
      <c r="A5" s="226">
        <v>2006</v>
      </c>
      <c r="B5" s="226">
        <v>2005</v>
      </c>
      <c r="C5" s="46">
        <v>0.25</v>
      </c>
      <c r="D5" s="13">
        <v>3000</v>
      </c>
      <c r="E5" s="206"/>
      <c r="F5" s="43"/>
    </row>
    <row r="6" spans="1:6" s="50" customFormat="1" x14ac:dyDescent="0.25">
      <c r="A6" s="226">
        <v>2005</v>
      </c>
      <c r="B6" s="226">
        <v>2004</v>
      </c>
      <c r="C6" s="46">
        <v>0.25</v>
      </c>
      <c r="D6" s="13">
        <v>3000</v>
      </c>
      <c r="E6" s="212" t="s">
        <v>761</v>
      </c>
      <c r="F6" s="66" t="s">
        <v>227</v>
      </c>
    </row>
    <row r="7" spans="1:6" s="50" customFormat="1" x14ac:dyDescent="0.25">
      <c r="A7" s="226">
        <v>2004</v>
      </c>
      <c r="B7" s="226">
        <v>2003</v>
      </c>
      <c r="C7" s="46">
        <v>0.25</v>
      </c>
      <c r="D7" s="13">
        <v>3000</v>
      </c>
      <c r="E7" s="1"/>
      <c r="F7" s="177" t="s">
        <v>228</v>
      </c>
    </row>
    <row r="8" spans="1:6" s="50" customFormat="1" x14ac:dyDescent="0.25">
      <c r="A8" s="226">
        <v>2002</v>
      </c>
      <c r="B8" s="226">
        <v>2001</v>
      </c>
      <c r="C8" s="46">
        <v>0.25</v>
      </c>
      <c r="D8" s="13">
        <v>2300</v>
      </c>
      <c r="E8" s="220"/>
      <c r="F8" s="66" t="s">
        <v>226</v>
      </c>
    </row>
    <row r="9" spans="1:6" s="51" customFormat="1" x14ac:dyDescent="0.25">
      <c r="A9" s="226">
        <v>2001</v>
      </c>
      <c r="B9" s="226">
        <v>2000</v>
      </c>
      <c r="C9" s="46">
        <v>0.25</v>
      </c>
      <c r="D9" s="17">
        <v>15000</v>
      </c>
      <c r="E9" s="321" t="s">
        <v>760</v>
      </c>
      <c r="F9" s="176" t="s">
        <v>225</v>
      </c>
    </row>
    <row r="10" spans="1:6" s="51" customFormat="1" x14ac:dyDescent="0.25">
      <c r="A10" s="226">
        <v>1998</v>
      </c>
      <c r="B10" s="226">
        <v>1997</v>
      </c>
      <c r="C10" s="46">
        <v>0.25</v>
      </c>
      <c r="D10" s="17">
        <v>13000</v>
      </c>
      <c r="E10" t="s">
        <v>758</v>
      </c>
      <c r="F10" s="236"/>
    </row>
    <row r="11" spans="1:6" s="51" customFormat="1" x14ac:dyDescent="0.25">
      <c r="A11" s="226">
        <v>1997</v>
      </c>
      <c r="B11" s="226">
        <v>1996</v>
      </c>
      <c r="C11" s="46">
        <v>0.25</v>
      </c>
      <c r="D11" s="17">
        <v>13000</v>
      </c>
      <c r="E11" t="s">
        <v>759</v>
      </c>
      <c r="F11" s="71"/>
    </row>
    <row r="12" spans="1:6" x14ac:dyDescent="0.25">
      <c r="A12" s="226">
        <v>1992</v>
      </c>
      <c r="B12" s="226">
        <v>1991</v>
      </c>
      <c r="C12" s="46">
        <v>0.25</v>
      </c>
      <c r="D12" s="17">
        <v>13000</v>
      </c>
      <c r="E12" t="s">
        <v>757</v>
      </c>
      <c r="F12" s="176"/>
    </row>
    <row r="13" spans="1:6" x14ac:dyDescent="0.25">
      <c r="A13" s="226">
        <v>1991</v>
      </c>
      <c r="B13" s="226">
        <v>1990</v>
      </c>
      <c r="C13" s="46">
        <v>0.25</v>
      </c>
      <c r="D13" s="17">
        <v>13000</v>
      </c>
      <c r="E13" t="s">
        <v>754</v>
      </c>
      <c r="F13" s="344" t="s">
        <v>756</v>
      </c>
    </row>
    <row r="14" spans="1:6" x14ac:dyDescent="0.25">
      <c r="A14" s="226">
        <v>1990</v>
      </c>
      <c r="B14" s="226">
        <v>1989</v>
      </c>
      <c r="C14" s="46">
        <v>0.25</v>
      </c>
      <c r="D14" s="17">
        <v>13000</v>
      </c>
      <c r="E14" s="27"/>
      <c r="F14" s="27"/>
    </row>
    <row r="15" spans="1:6" x14ac:dyDescent="0.25">
      <c r="A15" s="226">
        <v>1989</v>
      </c>
      <c r="B15" s="226">
        <v>1988</v>
      </c>
      <c r="C15" s="186"/>
      <c r="D15" s="186"/>
      <c r="E15" s="27"/>
      <c r="F15" s="27"/>
    </row>
    <row r="17" spans="3:3" x14ac:dyDescent="0.25">
      <c r="C17" s="289" t="s">
        <v>511</v>
      </c>
    </row>
    <row r="18" spans="3:3" x14ac:dyDescent="0.25">
      <c r="C18" s="312" t="s">
        <v>755</v>
      </c>
    </row>
    <row r="70" spans="1:2" x14ac:dyDescent="0.25">
      <c r="A70" s="97"/>
      <c r="B70" s="97"/>
    </row>
    <row r="71" spans="1:2" x14ac:dyDescent="0.25">
      <c r="A71" s="97"/>
      <c r="B71" s="97"/>
    </row>
    <row r="72" spans="1:2" x14ac:dyDescent="0.25">
      <c r="A72" s="97"/>
      <c r="B72" s="97"/>
    </row>
    <row r="73" spans="1:2" x14ac:dyDescent="0.25">
      <c r="A73" s="97"/>
      <c r="B73" s="97"/>
    </row>
    <row r="74" spans="1:2" x14ac:dyDescent="0.25">
      <c r="A74" s="97"/>
      <c r="B74" s="97"/>
    </row>
  </sheetData>
  <mergeCells count="4">
    <mergeCell ref="C2:D2"/>
    <mergeCell ref="E2:E3"/>
    <mergeCell ref="F2:F3"/>
    <mergeCell ref="A2:B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G24" sqref="G24"/>
    </sheetView>
  </sheetViews>
  <sheetFormatPr baseColWidth="10" defaultColWidth="15.7109375" defaultRowHeight="15" x14ac:dyDescent="0.25"/>
  <cols>
    <col min="1" max="1" width="9.42578125" style="50" bestFit="1" customWidth="1"/>
    <col min="2" max="2" width="15.7109375" style="50" customWidth="1"/>
    <col min="3" max="3" width="20.85546875" style="26" customWidth="1"/>
    <col min="4" max="4" width="23.42578125" style="26" customWidth="1"/>
    <col min="5" max="5" width="21.85546875" style="26" customWidth="1"/>
    <col min="6" max="6" width="23.7109375" style="26" customWidth="1"/>
    <col min="7" max="7" width="25.42578125" style="26" customWidth="1"/>
    <col min="8" max="8" width="22.85546875" style="26" customWidth="1"/>
    <col min="9" max="9" width="24.7109375" style="26" customWidth="1"/>
    <col min="10" max="10" width="23.42578125" style="26" customWidth="1"/>
    <col min="11" max="11" width="15.140625" style="26" customWidth="1"/>
    <col min="12" max="12" width="21.7109375" style="26" customWidth="1"/>
    <col min="13" max="14" width="15.7109375" style="26"/>
    <col min="15" max="15" width="103.7109375" style="26" bestFit="1" customWidth="1"/>
    <col min="16" max="16384" width="15.7109375" style="26"/>
  </cols>
  <sheetData>
    <row r="1" spans="1:15" hidden="1" x14ac:dyDescent="0.25">
      <c r="A1" s="269" t="s">
        <v>1130</v>
      </c>
      <c r="B1" s="269" t="s">
        <v>1131</v>
      </c>
      <c r="C1" s="262" t="s">
        <v>154</v>
      </c>
      <c r="D1" s="262" t="s">
        <v>157</v>
      </c>
      <c r="E1" s="262" t="s">
        <v>158</v>
      </c>
      <c r="F1" s="262" t="s">
        <v>159</v>
      </c>
      <c r="G1" s="262" t="s">
        <v>160</v>
      </c>
      <c r="H1" s="262" t="s">
        <v>177</v>
      </c>
      <c r="I1" s="262" t="s">
        <v>178</v>
      </c>
      <c r="J1" s="265" t="s">
        <v>1144</v>
      </c>
      <c r="K1" s="265" t="s">
        <v>1145</v>
      </c>
      <c r="L1" s="265" t="s">
        <v>1146</v>
      </c>
      <c r="M1" s="265" t="s">
        <v>1147</v>
      </c>
      <c r="N1" s="428" t="s">
        <v>1135</v>
      </c>
      <c r="O1" s="3"/>
    </row>
    <row r="2" spans="1:15" x14ac:dyDescent="0.25">
      <c r="A2" s="486" t="s">
        <v>997</v>
      </c>
      <c r="B2" s="487"/>
      <c r="C2" s="540" t="s">
        <v>928</v>
      </c>
      <c r="D2" s="541"/>
      <c r="E2" s="541"/>
      <c r="F2" s="541"/>
      <c r="G2" s="542"/>
      <c r="H2" s="507" t="s">
        <v>441</v>
      </c>
      <c r="I2" s="507"/>
      <c r="J2" s="492" t="s">
        <v>442</v>
      </c>
      <c r="K2" s="492"/>
      <c r="L2" s="503" t="s">
        <v>443</v>
      </c>
      <c r="M2" s="503"/>
      <c r="N2" s="527" t="s">
        <v>588</v>
      </c>
      <c r="O2" s="527" t="s">
        <v>1</v>
      </c>
    </row>
    <row r="3" spans="1:15" x14ac:dyDescent="0.25">
      <c r="A3" s="383" t="s">
        <v>214</v>
      </c>
      <c r="B3" s="383" t="s">
        <v>996</v>
      </c>
      <c r="C3" s="307" t="s">
        <v>378</v>
      </c>
      <c r="D3" s="307" t="s">
        <v>399</v>
      </c>
      <c r="E3" s="307" t="s">
        <v>400</v>
      </c>
      <c r="F3" s="307" t="s">
        <v>638</v>
      </c>
      <c r="G3" s="307" t="s">
        <v>637</v>
      </c>
      <c r="H3" s="307" t="s">
        <v>379</v>
      </c>
      <c r="I3" s="307" t="s">
        <v>391</v>
      </c>
      <c r="J3" s="307" t="s">
        <v>391</v>
      </c>
      <c r="K3" s="307" t="s">
        <v>448</v>
      </c>
      <c r="L3" s="307" t="s">
        <v>391</v>
      </c>
      <c r="M3" s="307" t="s">
        <v>448</v>
      </c>
      <c r="N3" s="528"/>
      <c r="O3" s="528"/>
    </row>
    <row r="4" spans="1:15" s="50" customFormat="1" x14ac:dyDescent="0.25">
      <c r="A4" s="142">
        <v>2004</v>
      </c>
      <c r="B4" s="142">
        <v>2003</v>
      </c>
      <c r="C4" s="85"/>
      <c r="D4" s="86"/>
      <c r="E4" s="86"/>
      <c r="F4" s="86"/>
      <c r="G4" s="86"/>
      <c r="H4" s="85"/>
      <c r="I4" s="86"/>
      <c r="J4" s="86"/>
      <c r="K4" s="86"/>
      <c r="L4" s="86"/>
      <c r="M4" s="86"/>
      <c r="N4" s="57"/>
      <c r="O4" s="65"/>
    </row>
    <row r="5" spans="1:15" s="50" customFormat="1" x14ac:dyDescent="0.25">
      <c r="A5" s="142">
        <v>2003</v>
      </c>
      <c r="B5" s="142">
        <v>2002</v>
      </c>
      <c r="C5" s="46">
        <v>0.25</v>
      </c>
      <c r="D5" s="13">
        <v>2287</v>
      </c>
      <c r="E5" s="86"/>
      <c r="F5" s="13"/>
      <c r="G5" s="13">
        <v>305</v>
      </c>
      <c r="H5" s="85"/>
      <c r="I5" s="86"/>
      <c r="J5" s="26" t="s">
        <v>354</v>
      </c>
      <c r="K5" s="187" t="s">
        <v>308</v>
      </c>
      <c r="L5" s="86"/>
      <c r="M5" s="86"/>
      <c r="N5" s="57"/>
      <c r="O5" s="43"/>
    </row>
    <row r="6" spans="1:15" s="50" customFormat="1" x14ac:dyDescent="0.25">
      <c r="A6" s="142">
        <v>2002</v>
      </c>
      <c r="B6" s="142">
        <v>2001</v>
      </c>
      <c r="C6" s="46">
        <v>0.25</v>
      </c>
      <c r="D6" s="13">
        <v>2287</v>
      </c>
      <c r="E6" s="86"/>
      <c r="F6" s="13">
        <v>3049</v>
      </c>
      <c r="G6" s="13">
        <v>305</v>
      </c>
      <c r="H6" s="85"/>
      <c r="I6" s="86"/>
      <c r="J6" s="26" t="s">
        <v>354</v>
      </c>
      <c r="K6" s="187" t="s">
        <v>308</v>
      </c>
      <c r="L6" s="86"/>
      <c r="M6" s="86"/>
      <c r="N6" s="61"/>
      <c r="O6" s="312" t="s">
        <v>926</v>
      </c>
    </row>
    <row r="7" spans="1:15" s="51" customFormat="1" x14ac:dyDescent="0.25">
      <c r="A7" s="142">
        <v>2001</v>
      </c>
      <c r="B7" s="142">
        <v>2000</v>
      </c>
      <c r="C7" s="46">
        <v>0.25</v>
      </c>
      <c r="D7" s="17">
        <v>15000</v>
      </c>
      <c r="E7" s="87"/>
      <c r="F7" s="17">
        <v>20000</v>
      </c>
      <c r="G7" s="17">
        <v>2000</v>
      </c>
      <c r="H7" s="85"/>
      <c r="I7" s="87"/>
      <c r="J7" s="26" t="s">
        <v>354</v>
      </c>
      <c r="K7" s="187" t="s">
        <v>308</v>
      </c>
      <c r="L7" s="87"/>
      <c r="M7" s="87"/>
      <c r="N7" s="57"/>
      <c r="O7" s="27"/>
    </row>
    <row r="8" spans="1:15" s="51" customFormat="1" x14ac:dyDescent="0.25">
      <c r="A8" s="142">
        <v>2000</v>
      </c>
      <c r="B8" s="142">
        <v>1999</v>
      </c>
      <c r="C8" s="46">
        <v>0.25</v>
      </c>
      <c r="D8" s="17">
        <v>15000</v>
      </c>
      <c r="E8" s="87"/>
      <c r="F8" s="17">
        <v>20000</v>
      </c>
      <c r="G8" s="17">
        <v>2000</v>
      </c>
      <c r="H8" s="46">
        <v>0.2</v>
      </c>
      <c r="I8" s="17">
        <v>20000</v>
      </c>
      <c r="J8" s="26" t="s">
        <v>354</v>
      </c>
      <c r="K8" s="187" t="s">
        <v>308</v>
      </c>
      <c r="L8" s="87"/>
      <c r="M8" s="87"/>
      <c r="N8" s="45"/>
      <c r="O8" s="368" t="s">
        <v>922</v>
      </c>
    </row>
    <row r="9" spans="1:15" s="51" customFormat="1" x14ac:dyDescent="0.25">
      <c r="A9" s="142">
        <v>1998</v>
      </c>
      <c r="B9" s="142">
        <v>1997</v>
      </c>
      <c r="C9" s="46">
        <v>0.25</v>
      </c>
      <c r="D9" s="17">
        <v>15000</v>
      </c>
      <c r="E9" s="87"/>
      <c r="F9" s="17">
        <v>20000</v>
      </c>
      <c r="G9" s="17">
        <v>2000</v>
      </c>
      <c r="H9" s="46">
        <v>0.2</v>
      </c>
      <c r="I9" s="17">
        <v>20000</v>
      </c>
      <c r="J9" s="26" t="s">
        <v>354</v>
      </c>
      <c r="K9" s="187" t="s">
        <v>308</v>
      </c>
      <c r="L9" s="87"/>
      <c r="M9" s="87"/>
      <c r="N9" s="45"/>
      <c r="O9" s="367" t="s">
        <v>923</v>
      </c>
    </row>
    <row r="10" spans="1:15" s="51" customFormat="1" x14ac:dyDescent="0.25">
      <c r="A10" s="142">
        <v>1996</v>
      </c>
      <c r="B10" s="142">
        <v>1995</v>
      </c>
      <c r="C10" s="46">
        <v>0.25</v>
      </c>
      <c r="D10" s="17">
        <v>15000</v>
      </c>
      <c r="E10" s="17">
        <v>30000</v>
      </c>
      <c r="F10" s="17">
        <v>20000</v>
      </c>
      <c r="G10" s="17">
        <v>2000</v>
      </c>
      <c r="H10" s="46">
        <v>0.25</v>
      </c>
      <c r="I10" s="17">
        <v>15000</v>
      </c>
      <c r="J10" s="26" t="s">
        <v>354</v>
      </c>
      <c r="K10" s="187" t="s">
        <v>308</v>
      </c>
      <c r="L10" s="87"/>
      <c r="M10" s="87"/>
      <c r="N10" s="47"/>
    </row>
    <row r="11" spans="1:15" x14ac:dyDescent="0.25">
      <c r="A11" s="142">
        <v>1992</v>
      </c>
      <c r="B11" s="142">
        <v>1991</v>
      </c>
      <c r="C11" s="46">
        <v>0.25</v>
      </c>
      <c r="D11" s="27" t="s">
        <v>316</v>
      </c>
      <c r="E11" s="27" t="s">
        <v>317</v>
      </c>
      <c r="F11" s="27" t="s">
        <v>318</v>
      </c>
      <c r="G11" s="27" t="s">
        <v>287</v>
      </c>
      <c r="H11" s="46">
        <v>0.25</v>
      </c>
      <c r="I11" s="27" t="s">
        <v>309</v>
      </c>
      <c r="J11" s="26" t="s">
        <v>354</v>
      </c>
      <c r="K11" s="187" t="s">
        <v>308</v>
      </c>
      <c r="L11" s="186"/>
      <c r="M11" s="186"/>
      <c r="N11" s="27"/>
    </row>
    <row r="12" spans="1:15" x14ac:dyDescent="0.25">
      <c r="A12" s="142">
        <v>1987</v>
      </c>
      <c r="B12" s="142">
        <v>1986</v>
      </c>
      <c r="C12" s="46">
        <v>0.25</v>
      </c>
      <c r="D12" s="27" t="s">
        <v>316</v>
      </c>
      <c r="E12" s="27" t="s">
        <v>317</v>
      </c>
      <c r="F12" s="186"/>
      <c r="G12" s="46" t="s">
        <v>287</v>
      </c>
      <c r="H12" s="46">
        <v>0.25</v>
      </c>
      <c r="I12" s="27" t="s">
        <v>309</v>
      </c>
      <c r="J12" s="26" t="s">
        <v>354</v>
      </c>
      <c r="K12" s="187" t="s">
        <v>308</v>
      </c>
      <c r="L12" s="186"/>
      <c r="M12" s="186"/>
      <c r="N12" s="27"/>
      <c r="O12" s="237"/>
    </row>
    <row r="13" spans="1:15" x14ac:dyDescent="0.25">
      <c r="A13" s="142">
        <v>1986</v>
      </c>
      <c r="B13" s="142">
        <v>1985</v>
      </c>
      <c r="C13" s="46">
        <v>0.25</v>
      </c>
      <c r="D13" s="27" t="s">
        <v>316</v>
      </c>
      <c r="E13" s="84"/>
      <c r="F13" s="186"/>
      <c r="G13" s="27" t="s">
        <v>287</v>
      </c>
      <c r="H13" s="46">
        <v>0.25</v>
      </c>
      <c r="I13" s="27" t="s">
        <v>309</v>
      </c>
      <c r="J13" s="26" t="s">
        <v>354</v>
      </c>
      <c r="K13" s="187" t="s">
        <v>308</v>
      </c>
      <c r="L13" s="84"/>
      <c r="M13" s="84"/>
      <c r="O13" s="237"/>
    </row>
    <row r="14" spans="1:15" x14ac:dyDescent="0.25">
      <c r="A14" s="142">
        <v>1985</v>
      </c>
      <c r="B14" s="142">
        <v>1984</v>
      </c>
      <c r="C14" s="46">
        <v>0.25</v>
      </c>
      <c r="D14" s="84"/>
      <c r="E14" s="84"/>
      <c r="F14" s="186"/>
      <c r="G14" s="84"/>
      <c r="H14" s="46">
        <v>0.25</v>
      </c>
      <c r="I14" s="27" t="s">
        <v>309</v>
      </c>
      <c r="J14" s="26" t="s">
        <v>354</v>
      </c>
      <c r="K14" s="187" t="s">
        <v>308</v>
      </c>
      <c r="L14" s="84"/>
      <c r="M14" s="84"/>
      <c r="O14" s="237"/>
    </row>
    <row r="15" spans="1:15" x14ac:dyDescent="0.25">
      <c r="A15" s="142">
        <v>1980</v>
      </c>
      <c r="B15" s="142">
        <v>1979</v>
      </c>
      <c r="C15" s="84"/>
      <c r="D15" s="84"/>
      <c r="E15" s="84"/>
      <c r="F15" s="186"/>
      <c r="G15" s="84"/>
      <c r="H15" s="84"/>
      <c r="I15" s="84"/>
      <c r="J15" s="84"/>
      <c r="K15" s="84"/>
      <c r="L15" s="187" t="s">
        <v>355</v>
      </c>
      <c r="M15" s="26" t="s">
        <v>339</v>
      </c>
      <c r="N15"/>
      <c r="O15"/>
    </row>
    <row r="16" spans="1:15" x14ac:dyDescent="0.25">
      <c r="A16" s="142">
        <v>1979</v>
      </c>
      <c r="B16" s="142">
        <v>1978</v>
      </c>
      <c r="C16" s="84"/>
      <c r="D16" s="84"/>
      <c r="E16" s="84"/>
      <c r="F16" s="186"/>
      <c r="G16" s="84"/>
      <c r="H16" s="84"/>
      <c r="I16" s="84"/>
      <c r="J16" s="84"/>
      <c r="K16" s="84"/>
      <c r="L16" s="184"/>
      <c r="M16" s="184"/>
      <c r="N16"/>
      <c r="O16"/>
    </row>
    <row r="17" spans="1:15" x14ac:dyDescent="0.25">
      <c r="A17" s="202"/>
      <c r="B17" s="202"/>
      <c r="C17"/>
      <c r="D17"/>
      <c r="E17"/>
      <c r="F17"/>
      <c r="G17"/>
      <c r="H17"/>
      <c r="I17"/>
      <c r="J17"/>
      <c r="K17"/>
      <c r="L17"/>
      <c r="M17"/>
      <c r="N17"/>
      <c r="O17"/>
    </row>
    <row r="18" spans="1:15" x14ac:dyDescent="0.25">
      <c r="A18" s="202"/>
      <c r="B18" s="202"/>
      <c r="C18" s="78" t="s">
        <v>508</v>
      </c>
      <c r="D18"/>
      <c r="E18"/>
      <c r="F18"/>
      <c r="G18"/>
      <c r="H18"/>
      <c r="I18"/>
      <c r="J18"/>
      <c r="K18"/>
      <c r="L18"/>
      <c r="M18"/>
      <c r="N18"/>
      <c r="O18"/>
    </row>
    <row r="19" spans="1:15" x14ac:dyDescent="0.25">
      <c r="A19" s="202"/>
      <c r="B19" s="202"/>
      <c r="C19" s="312" t="s">
        <v>927</v>
      </c>
      <c r="D19"/>
      <c r="E19"/>
      <c r="F19"/>
      <c r="G19"/>
      <c r="H19"/>
      <c r="I19"/>
      <c r="J19"/>
      <c r="K19"/>
      <c r="L19"/>
      <c r="M19"/>
      <c r="N19"/>
      <c r="O19"/>
    </row>
    <row r="20" spans="1:15" x14ac:dyDescent="0.25">
      <c r="A20" s="202"/>
      <c r="B20" s="202"/>
      <c r="C20" s="312" t="s">
        <v>929</v>
      </c>
      <c r="D20"/>
      <c r="E20"/>
      <c r="F20"/>
      <c r="G20"/>
      <c r="H20"/>
      <c r="I20"/>
      <c r="J20"/>
      <c r="K20"/>
      <c r="L20"/>
      <c r="M20"/>
      <c r="N20"/>
      <c r="O20"/>
    </row>
    <row r="21" spans="1:15" x14ac:dyDescent="0.25">
      <c r="A21" s="202"/>
      <c r="B21" s="202"/>
      <c r="C21" s="312" t="s">
        <v>930</v>
      </c>
      <c r="D21"/>
      <c r="E21"/>
      <c r="F21"/>
      <c r="G21"/>
      <c r="H21"/>
      <c r="I21"/>
      <c r="J21"/>
      <c r="K21"/>
      <c r="L21"/>
      <c r="M21"/>
      <c r="N21"/>
      <c r="O21"/>
    </row>
    <row r="22" spans="1:15" x14ac:dyDescent="0.25">
      <c r="A22" s="202"/>
      <c r="B22" s="202"/>
      <c r="C22" s="373" t="s">
        <v>924</v>
      </c>
      <c r="D22"/>
      <c r="E22"/>
      <c r="F22"/>
      <c r="G22"/>
      <c r="H22"/>
      <c r="I22"/>
      <c r="J22"/>
      <c r="K22"/>
      <c r="L22"/>
      <c r="M22"/>
      <c r="N22"/>
      <c r="O22"/>
    </row>
    <row r="23" spans="1:15" x14ac:dyDescent="0.25">
      <c r="A23" s="202"/>
      <c r="B23" s="202"/>
      <c r="C23" s="374" t="s">
        <v>925</v>
      </c>
      <c r="D23"/>
      <c r="E23"/>
      <c r="F23"/>
      <c r="G23"/>
      <c r="H23"/>
      <c r="I23"/>
      <c r="J23"/>
      <c r="K23"/>
      <c r="L23"/>
      <c r="M23"/>
      <c r="N23"/>
      <c r="O23"/>
    </row>
    <row r="24" spans="1:15" x14ac:dyDescent="0.25">
      <c r="A24" s="202"/>
      <c r="B24" s="202"/>
      <c r="D24"/>
      <c r="E24"/>
      <c r="F24"/>
      <c r="G24"/>
      <c r="H24"/>
      <c r="I24"/>
      <c r="J24"/>
      <c r="K24"/>
      <c r="L24"/>
      <c r="M24"/>
      <c r="N24"/>
      <c r="O24"/>
    </row>
    <row r="25" spans="1:15" x14ac:dyDescent="0.25">
      <c r="A25" s="202"/>
      <c r="B25" s="202"/>
      <c r="D25"/>
      <c r="E25"/>
      <c r="F25"/>
      <c r="G25"/>
      <c r="H25"/>
      <c r="I25"/>
      <c r="J25"/>
      <c r="K25"/>
      <c r="L25"/>
      <c r="M25"/>
      <c r="N25"/>
      <c r="O25"/>
    </row>
    <row r="26" spans="1:15" x14ac:dyDescent="0.25">
      <c r="A26" s="202"/>
      <c r="B26" s="202"/>
      <c r="C26" s="371"/>
      <c r="D26"/>
      <c r="E26"/>
      <c r="F26"/>
      <c r="G26"/>
      <c r="H26"/>
      <c r="I26"/>
      <c r="J26"/>
      <c r="K26"/>
      <c r="L26"/>
      <c r="M26"/>
      <c r="N26"/>
      <c r="O26"/>
    </row>
    <row r="27" spans="1:15" x14ac:dyDescent="0.25">
      <c r="A27" s="202"/>
      <c r="B27" s="202"/>
      <c r="D27"/>
      <c r="E27"/>
      <c r="F27"/>
      <c r="G27"/>
      <c r="H27"/>
      <c r="I27"/>
      <c r="J27"/>
      <c r="K27"/>
      <c r="L27"/>
      <c r="M27"/>
      <c r="N27"/>
      <c r="O27"/>
    </row>
    <row r="28" spans="1:15" x14ac:dyDescent="0.25">
      <c r="A28" s="202"/>
      <c r="B28" s="202"/>
      <c r="D28"/>
      <c r="E28"/>
      <c r="F28"/>
      <c r="G28"/>
      <c r="H28"/>
      <c r="I28"/>
      <c r="J28"/>
      <c r="K28"/>
      <c r="L28"/>
      <c r="M28"/>
      <c r="N28"/>
      <c r="O28"/>
    </row>
    <row r="29" spans="1:15" x14ac:dyDescent="0.25">
      <c r="A29" s="202"/>
      <c r="B29" s="202"/>
      <c r="D29"/>
      <c r="E29"/>
      <c r="F29"/>
      <c r="G29"/>
      <c r="H29"/>
      <c r="I29"/>
      <c r="J29"/>
      <c r="K29"/>
      <c r="L29"/>
      <c r="M29"/>
      <c r="N29"/>
      <c r="O29"/>
    </row>
    <row r="30" spans="1:15" x14ac:dyDescent="0.25">
      <c r="A30" s="202"/>
      <c r="B30" s="202"/>
      <c r="D30"/>
      <c r="E30"/>
      <c r="F30"/>
      <c r="G30"/>
      <c r="H30"/>
      <c r="I30"/>
      <c r="J30"/>
      <c r="K30"/>
      <c r="L30"/>
      <c r="M30"/>
      <c r="N30"/>
      <c r="O30"/>
    </row>
    <row r="68" spans="1:2" x14ac:dyDescent="0.25">
      <c r="A68" s="97"/>
      <c r="B68" s="97"/>
    </row>
    <row r="69" spans="1:2" x14ac:dyDescent="0.25">
      <c r="A69" s="97"/>
      <c r="B69" s="97"/>
    </row>
    <row r="70" spans="1:2" x14ac:dyDescent="0.25">
      <c r="A70" s="97"/>
      <c r="B70" s="97"/>
    </row>
    <row r="71" spans="1:2" x14ac:dyDescent="0.25">
      <c r="A71" s="97"/>
      <c r="B71" s="97"/>
    </row>
    <row r="72" spans="1:2" x14ac:dyDescent="0.25">
      <c r="A72" s="97"/>
      <c r="B72" s="97"/>
    </row>
  </sheetData>
  <mergeCells count="7">
    <mergeCell ref="A2:B2"/>
    <mergeCell ref="C2:G2"/>
    <mergeCell ref="O2:O3"/>
    <mergeCell ref="N2:N3"/>
    <mergeCell ref="H2:I2"/>
    <mergeCell ref="J2:K2"/>
    <mergeCell ref="L2:M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C14" sqref="C14"/>
    </sheetView>
  </sheetViews>
  <sheetFormatPr baseColWidth="10" defaultRowHeight="15" x14ac:dyDescent="0.25"/>
  <cols>
    <col min="2" max="2" width="13.42578125" bestFit="1" customWidth="1"/>
    <col min="3" max="3" width="26.85546875" customWidth="1"/>
    <col min="4" max="4" width="25.28515625" customWidth="1"/>
    <col min="5" max="5" width="20.42578125" customWidth="1"/>
    <col min="6" max="6" width="40.28515625" bestFit="1" customWidth="1"/>
    <col min="7" max="7" width="95.5703125" bestFit="1" customWidth="1"/>
  </cols>
  <sheetData>
    <row r="1" spans="1:7" hidden="1" x14ac:dyDescent="0.25">
      <c r="A1" s="269" t="s">
        <v>1130</v>
      </c>
      <c r="B1" s="269" t="s">
        <v>1131</v>
      </c>
      <c r="C1" s="264" t="s">
        <v>199</v>
      </c>
      <c r="D1" s="264" t="s">
        <v>200</v>
      </c>
      <c r="E1" s="264" t="s">
        <v>201</v>
      </c>
      <c r="F1" s="264" t="s">
        <v>1135</v>
      </c>
      <c r="G1" s="3"/>
    </row>
    <row r="2" spans="1:7" ht="15" customHeight="1" x14ac:dyDescent="0.25">
      <c r="A2" s="486" t="s">
        <v>997</v>
      </c>
      <c r="B2" s="487"/>
      <c r="C2" s="521" t="s">
        <v>444</v>
      </c>
      <c r="D2" s="521"/>
      <c r="E2" s="521"/>
      <c r="F2" s="527" t="s">
        <v>588</v>
      </c>
      <c r="G2" s="543" t="s">
        <v>1</v>
      </c>
    </row>
    <row r="3" spans="1:7" ht="30" x14ac:dyDescent="0.25">
      <c r="A3" s="383" t="s">
        <v>214</v>
      </c>
      <c r="B3" s="383" t="s">
        <v>996</v>
      </c>
      <c r="C3" s="215" t="s">
        <v>379</v>
      </c>
      <c r="D3" s="215" t="s">
        <v>935</v>
      </c>
      <c r="E3" s="215" t="s">
        <v>445</v>
      </c>
      <c r="F3" s="528"/>
      <c r="G3" s="543"/>
    </row>
    <row r="4" spans="1:7" x14ac:dyDescent="0.25">
      <c r="A4" s="142">
        <v>2012</v>
      </c>
      <c r="B4" s="142">
        <v>2011</v>
      </c>
      <c r="C4" s="85"/>
      <c r="D4" s="81"/>
      <c r="E4" s="103"/>
      <c r="F4" s="103"/>
      <c r="G4" t="s">
        <v>933</v>
      </c>
    </row>
    <row r="5" spans="1:7" x14ac:dyDescent="0.25">
      <c r="A5" s="142">
        <v>2011</v>
      </c>
      <c r="B5" s="142">
        <v>2010</v>
      </c>
      <c r="C5" s="46">
        <v>0.4</v>
      </c>
      <c r="D5" s="59">
        <v>20000</v>
      </c>
      <c r="E5" s="100">
        <v>0.25</v>
      </c>
      <c r="F5" s="375" t="s">
        <v>931</v>
      </c>
      <c r="G5" s="62" t="s">
        <v>932</v>
      </c>
    </row>
    <row r="6" spans="1:7" x14ac:dyDescent="0.25">
      <c r="A6" s="142">
        <v>2011</v>
      </c>
      <c r="B6" s="142">
        <v>2010</v>
      </c>
      <c r="C6" s="46">
        <v>0.4</v>
      </c>
      <c r="D6" s="59">
        <v>20000</v>
      </c>
      <c r="E6" s="100">
        <v>0.25</v>
      </c>
      <c r="F6" s="100"/>
      <c r="G6" t="s">
        <v>942</v>
      </c>
    </row>
    <row r="7" spans="1:7" x14ac:dyDescent="0.25">
      <c r="A7" s="142">
        <v>2010</v>
      </c>
      <c r="B7" s="142">
        <v>2009</v>
      </c>
      <c r="C7" s="46">
        <v>0.4</v>
      </c>
      <c r="D7" s="59">
        <v>20000</v>
      </c>
      <c r="E7" s="100">
        <v>0.25</v>
      </c>
      <c r="F7" s="371" t="s">
        <v>936</v>
      </c>
      <c r="G7" s="66" t="s">
        <v>941</v>
      </c>
    </row>
    <row r="8" spans="1:7" x14ac:dyDescent="0.25">
      <c r="A8" s="142"/>
      <c r="B8" s="142"/>
      <c r="C8" s="85"/>
      <c r="D8" s="85"/>
      <c r="E8" s="85"/>
      <c r="F8" s="375"/>
      <c r="G8" s="370"/>
    </row>
    <row r="10" spans="1:7" x14ac:dyDescent="0.25">
      <c r="C10" s="78" t="s">
        <v>511</v>
      </c>
    </row>
    <row r="11" spans="1:7" x14ac:dyDescent="0.25">
      <c r="C11" s="370" t="s">
        <v>934</v>
      </c>
    </row>
    <row r="12" spans="1:7" x14ac:dyDescent="0.25">
      <c r="C12" s="63" t="s">
        <v>937</v>
      </c>
    </row>
    <row r="13" spans="1:7" x14ac:dyDescent="0.25">
      <c r="C13" s="370" t="s">
        <v>938</v>
      </c>
      <c r="D13" s="375"/>
    </row>
    <row r="14" spans="1:7" x14ac:dyDescent="0.25">
      <c r="C14" s="376" t="s">
        <v>939</v>
      </c>
      <c r="D14" s="375"/>
    </row>
    <row r="15" spans="1:7" x14ac:dyDescent="0.25">
      <c r="C15" s="376" t="s">
        <v>940</v>
      </c>
    </row>
  </sheetData>
  <mergeCells count="4">
    <mergeCell ref="C2:E2"/>
    <mergeCell ref="G2:G3"/>
    <mergeCell ref="F2:F3"/>
    <mergeCell ref="A2:B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8"/>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H3" sqref="H3"/>
    </sheetView>
  </sheetViews>
  <sheetFormatPr baseColWidth="10" defaultColWidth="20.7109375" defaultRowHeight="15" x14ac:dyDescent="0.25"/>
  <cols>
    <col min="1" max="1" width="7.5703125" style="50" bestFit="1" customWidth="1"/>
    <col min="2" max="2" width="13.42578125" style="50" bestFit="1" customWidth="1"/>
    <col min="3" max="3" width="27.140625" style="26" customWidth="1"/>
    <col min="4" max="4" width="26" style="26" customWidth="1"/>
    <col min="5" max="30" width="20.7109375" style="26"/>
    <col min="31" max="31" width="152.85546875" style="26" customWidth="1"/>
    <col min="32" max="16384" width="20.7109375" style="26"/>
  </cols>
  <sheetData>
    <row r="1" spans="1:31" hidden="1" x14ac:dyDescent="0.25">
      <c r="A1" s="269" t="s">
        <v>1130</v>
      </c>
      <c r="B1" s="269" t="s">
        <v>1131</v>
      </c>
      <c r="C1" s="432" t="s">
        <v>151</v>
      </c>
      <c r="D1" s="432" t="s">
        <v>152</v>
      </c>
      <c r="E1" s="433" t="s">
        <v>161</v>
      </c>
      <c r="F1" s="433" t="s">
        <v>162</v>
      </c>
      <c r="G1" s="433" t="s">
        <v>163</v>
      </c>
      <c r="H1" s="433" t="s">
        <v>164</v>
      </c>
      <c r="I1" s="433" t="s">
        <v>165</v>
      </c>
      <c r="J1" s="433" t="s">
        <v>166</v>
      </c>
      <c r="K1" s="433" t="s">
        <v>167</v>
      </c>
      <c r="L1" s="433" t="s">
        <v>169</v>
      </c>
      <c r="M1" s="433" t="s">
        <v>170</v>
      </c>
      <c r="N1" s="433" t="s">
        <v>173</v>
      </c>
      <c r="O1" s="433" t="s">
        <v>174</v>
      </c>
      <c r="P1" s="433" t="s">
        <v>175</v>
      </c>
      <c r="Q1" s="433" t="s">
        <v>183</v>
      </c>
      <c r="R1" s="433" t="s">
        <v>184</v>
      </c>
      <c r="S1" s="433" t="s">
        <v>185</v>
      </c>
      <c r="T1" s="433" t="s">
        <v>186</v>
      </c>
      <c r="U1" s="433" t="s">
        <v>187</v>
      </c>
      <c r="V1" s="433" t="s">
        <v>190</v>
      </c>
      <c r="W1" s="433" t="s">
        <v>191</v>
      </c>
      <c r="X1" s="433" t="s">
        <v>192</v>
      </c>
      <c r="Y1" s="433" t="s">
        <v>193</v>
      </c>
      <c r="Z1" s="429" t="s">
        <v>195</v>
      </c>
      <c r="AA1" s="429" t="s">
        <v>196</v>
      </c>
      <c r="AB1" s="433" t="s">
        <v>194</v>
      </c>
      <c r="AC1" s="433" t="s">
        <v>202</v>
      </c>
      <c r="AD1" s="433" t="s">
        <v>203</v>
      </c>
      <c r="AE1" s="3"/>
    </row>
    <row r="2" spans="1:31" ht="25.5" customHeight="1" x14ac:dyDescent="0.25">
      <c r="A2" s="486" t="s">
        <v>997</v>
      </c>
      <c r="B2" s="487"/>
      <c r="C2" s="544" t="s">
        <v>446</v>
      </c>
      <c r="D2" s="544"/>
      <c r="E2" s="545" t="s">
        <v>447</v>
      </c>
      <c r="F2" s="545"/>
      <c r="G2" s="545"/>
      <c r="H2" s="295" t="s">
        <v>1180</v>
      </c>
      <c r="I2" s="545" t="s">
        <v>1179</v>
      </c>
      <c r="J2" s="545"/>
      <c r="K2" s="545"/>
      <c r="L2" s="546" t="s">
        <v>449</v>
      </c>
      <c r="M2" s="546"/>
      <c r="N2" s="545" t="s">
        <v>450</v>
      </c>
      <c r="O2" s="545"/>
      <c r="P2" s="547" t="s">
        <v>1178</v>
      </c>
      <c r="Q2" s="548"/>
      <c r="R2" s="545" t="s">
        <v>1177</v>
      </c>
      <c r="S2" s="545"/>
      <c r="T2" s="545" t="s">
        <v>1176</v>
      </c>
      <c r="U2" s="545"/>
      <c r="V2" s="545" t="s">
        <v>1175</v>
      </c>
      <c r="W2" s="545"/>
      <c r="X2" s="545" t="s">
        <v>1174</v>
      </c>
      <c r="Y2" s="545"/>
      <c r="Z2" s="532" t="s">
        <v>1173</v>
      </c>
      <c r="AA2" s="532"/>
      <c r="AB2" s="532"/>
      <c r="AC2" s="546" t="s">
        <v>1172</v>
      </c>
      <c r="AD2" s="546"/>
      <c r="AE2" s="529" t="s">
        <v>1</v>
      </c>
    </row>
    <row r="3" spans="1:31" ht="25.5" x14ac:dyDescent="0.25">
      <c r="A3" s="383" t="s">
        <v>214</v>
      </c>
      <c r="B3" s="383" t="s">
        <v>996</v>
      </c>
      <c r="C3" s="239" t="s">
        <v>379</v>
      </c>
      <c r="D3" s="239" t="s">
        <v>391</v>
      </c>
      <c r="E3" s="295" t="s">
        <v>379</v>
      </c>
      <c r="F3" s="295" t="s">
        <v>391</v>
      </c>
      <c r="G3" s="295" t="s">
        <v>448</v>
      </c>
      <c r="H3" s="295" t="s">
        <v>413</v>
      </c>
      <c r="I3" s="295" t="s">
        <v>379</v>
      </c>
      <c r="J3" s="295" t="s">
        <v>391</v>
      </c>
      <c r="K3" s="295" t="s">
        <v>448</v>
      </c>
      <c r="L3" s="295" t="s">
        <v>379</v>
      </c>
      <c r="M3" s="295" t="s">
        <v>391</v>
      </c>
      <c r="N3" s="295" t="s">
        <v>379</v>
      </c>
      <c r="O3" s="295" t="s">
        <v>391</v>
      </c>
      <c r="P3" s="295" t="s">
        <v>379</v>
      </c>
      <c r="Q3" s="295" t="s">
        <v>391</v>
      </c>
      <c r="R3" s="295" t="s">
        <v>379</v>
      </c>
      <c r="S3" s="295" t="s">
        <v>391</v>
      </c>
      <c r="T3" s="295" t="s">
        <v>379</v>
      </c>
      <c r="U3" s="295" t="s">
        <v>391</v>
      </c>
      <c r="V3" s="295" t="s">
        <v>563</v>
      </c>
      <c r="W3" s="295" t="s">
        <v>564</v>
      </c>
      <c r="X3" s="295" t="s">
        <v>379</v>
      </c>
      <c r="Y3" s="295" t="s">
        <v>391</v>
      </c>
      <c r="Z3" s="296" t="s">
        <v>435</v>
      </c>
      <c r="AA3" s="296" t="s">
        <v>436</v>
      </c>
      <c r="AB3" s="295" t="s">
        <v>391</v>
      </c>
      <c r="AC3" s="295" t="s">
        <v>379</v>
      </c>
      <c r="AD3" s="295" t="s">
        <v>391</v>
      </c>
      <c r="AE3" s="529"/>
    </row>
    <row r="4" spans="1:31" x14ac:dyDescent="0.25">
      <c r="A4" s="142">
        <v>2013</v>
      </c>
      <c r="B4" s="142">
        <v>2012</v>
      </c>
      <c r="C4" s="98"/>
      <c r="D4" s="98"/>
      <c r="E4" s="98"/>
      <c r="F4" s="82"/>
      <c r="G4" s="82"/>
      <c r="H4" s="29">
        <v>915</v>
      </c>
      <c r="I4" s="33">
        <v>0.25</v>
      </c>
      <c r="J4" s="29">
        <v>1525</v>
      </c>
      <c r="K4" s="29">
        <v>300</v>
      </c>
      <c r="L4" s="98"/>
      <c r="M4" s="98"/>
      <c r="N4" s="98"/>
      <c r="O4" s="82"/>
      <c r="P4" s="98"/>
      <c r="Q4" s="82"/>
      <c r="R4" s="74">
        <v>0.25</v>
      </c>
      <c r="S4" s="60">
        <v>20000</v>
      </c>
      <c r="T4" s="74">
        <v>0.5</v>
      </c>
      <c r="U4" s="60">
        <v>5000</v>
      </c>
      <c r="V4" s="59">
        <v>1000</v>
      </c>
      <c r="W4" s="59">
        <v>400</v>
      </c>
      <c r="X4" s="74">
        <v>0.18</v>
      </c>
      <c r="Y4" s="60">
        <v>20000</v>
      </c>
      <c r="Z4" s="74">
        <v>0.22</v>
      </c>
      <c r="AA4" s="74">
        <v>0.3</v>
      </c>
      <c r="AB4" s="60">
        <v>100000</v>
      </c>
      <c r="AC4" s="67">
        <v>0.18</v>
      </c>
      <c r="AD4" s="72">
        <v>10000</v>
      </c>
      <c r="AE4" s="442" t="s">
        <v>1170</v>
      </c>
    </row>
    <row r="5" spans="1:31" x14ac:dyDescent="0.25">
      <c r="A5" s="142">
        <v>2012</v>
      </c>
      <c r="B5" s="142">
        <v>2011</v>
      </c>
      <c r="C5" s="98"/>
      <c r="D5" s="98"/>
      <c r="E5" s="98"/>
      <c r="F5" s="82"/>
      <c r="G5" s="82"/>
      <c r="H5" s="29">
        <v>915</v>
      </c>
      <c r="I5" s="33">
        <v>0.25</v>
      </c>
      <c r="J5" s="29">
        <v>1525</v>
      </c>
      <c r="K5" s="29">
        <v>300</v>
      </c>
      <c r="L5" s="98"/>
      <c r="M5" s="98"/>
      <c r="N5" s="98"/>
      <c r="O5" s="82"/>
      <c r="P5" s="98"/>
      <c r="Q5" s="82"/>
      <c r="R5" s="74">
        <v>0.25</v>
      </c>
      <c r="S5" s="60">
        <v>20000</v>
      </c>
      <c r="T5" s="74">
        <v>0.5</v>
      </c>
      <c r="U5" s="60">
        <v>5000</v>
      </c>
      <c r="V5" s="59">
        <v>1000</v>
      </c>
      <c r="W5" s="59">
        <v>400</v>
      </c>
      <c r="X5" s="74">
        <v>0.22</v>
      </c>
      <c r="Y5" s="60">
        <v>20000</v>
      </c>
      <c r="Z5" s="74">
        <v>0.27</v>
      </c>
      <c r="AA5" s="74">
        <v>0.36</v>
      </c>
      <c r="AB5" s="60">
        <v>100000</v>
      </c>
      <c r="AC5" s="67">
        <v>0.22</v>
      </c>
      <c r="AD5" s="72">
        <v>10000</v>
      </c>
      <c r="AE5" s="442" t="s">
        <v>1171</v>
      </c>
    </row>
    <row r="6" spans="1:31" s="50" customFormat="1" x14ac:dyDescent="0.25">
      <c r="A6" s="142">
        <v>2011</v>
      </c>
      <c r="B6" s="142">
        <v>2010</v>
      </c>
      <c r="C6" s="98"/>
      <c r="D6" s="98"/>
      <c r="E6" s="98"/>
      <c r="F6" s="82"/>
      <c r="G6" s="82"/>
      <c r="H6" s="29">
        <v>915</v>
      </c>
      <c r="I6" s="33">
        <v>0.25</v>
      </c>
      <c r="J6" s="29">
        <v>1525</v>
      </c>
      <c r="K6" s="29">
        <v>300</v>
      </c>
      <c r="L6" s="98"/>
      <c r="M6" s="98"/>
      <c r="N6" s="98"/>
      <c r="O6" s="82"/>
      <c r="P6" s="98"/>
      <c r="Q6" s="82"/>
      <c r="R6" s="74">
        <v>0.25</v>
      </c>
      <c r="S6" s="60">
        <v>20000</v>
      </c>
      <c r="T6" s="74">
        <v>0.5</v>
      </c>
      <c r="U6" s="60">
        <v>5000</v>
      </c>
      <c r="V6" s="60">
        <v>1000</v>
      </c>
      <c r="W6" s="60">
        <v>400</v>
      </c>
      <c r="X6" s="74">
        <v>0.25</v>
      </c>
      <c r="Y6" s="60">
        <v>20000</v>
      </c>
      <c r="Z6" s="74">
        <v>0.3</v>
      </c>
      <c r="AA6" s="74">
        <v>0.4</v>
      </c>
      <c r="AB6" s="60">
        <v>100000</v>
      </c>
      <c r="AC6" s="67">
        <v>0.25</v>
      </c>
      <c r="AD6" s="72">
        <v>10000</v>
      </c>
    </row>
    <row r="7" spans="1:31" s="50" customFormat="1" x14ac:dyDescent="0.25">
      <c r="A7" s="142">
        <v>2010</v>
      </c>
      <c r="B7" s="142">
        <v>2009</v>
      </c>
      <c r="C7" s="98"/>
      <c r="D7" s="98"/>
      <c r="E7" s="98"/>
      <c r="F7" s="115"/>
      <c r="G7" s="115"/>
      <c r="H7" s="30">
        <v>915</v>
      </c>
      <c r="I7" s="31">
        <v>0.25</v>
      </c>
      <c r="J7" s="30">
        <v>1525</v>
      </c>
      <c r="K7" s="30">
        <v>300</v>
      </c>
      <c r="L7" s="114"/>
      <c r="M7" s="114"/>
      <c r="N7" s="114"/>
      <c r="O7" s="115"/>
      <c r="P7" s="114"/>
      <c r="Q7" s="115"/>
      <c r="R7" s="100">
        <v>0.25</v>
      </c>
      <c r="S7" s="59">
        <v>20000</v>
      </c>
      <c r="T7" s="100">
        <v>0.5</v>
      </c>
      <c r="U7" s="59">
        <v>5000</v>
      </c>
      <c r="V7" s="59">
        <v>1000</v>
      </c>
      <c r="W7" s="59">
        <v>400</v>
      </c>
      <c r="X7" s="100">
        <v>0.25</v>
      </c>
      <c r="Y7" s="59">
        <v>20000</v>
      </c>
      <c r="Z7" s="100">
        <v>0.3</v>
      </c>
      <c r="AA7" s="100">
        <v>0.4</v>
      </c>
      <c r="AB7" s="59">
        <v>100000</v>
      </c>
      <c r="AC7" s="113"/>
      <c r="AD7" s="113"/>
    </row>
    <row r="8" spans="1:31" s="50" customFormat="1" x14ac:dyDescent="0.25">
      <c r="A8" s="142">
        <v>2009</v>
      </c>
      <c r="B8" s="142">
        <v>2008</v>
      </c>
      <c r="C8" s="98"/>
      <c r="D8" s="98"/>
      <c r="E8" s="98"/>
      <c r="F8" s="82"/>
      <c r="G8" s="82"/>
      <c r="H8" s="29">
        <v>915</v>
      </c>
      <c r="I8" s="33">
        <v>0.25</v>
      </c>
      <c r="J8" s="29">
        <v>1525</v>
      </c>
      <c r="K8" s="29">
        <v>300</v>
      </c>
      <c r="L8" s="98"/>
      <c r="M8" s="98"/>
      <c r="N8" s="98"/>
      <c r="O8" s="82"/>
      <c r="P8" s="98"/>
      <c r="Q8" s="82"/>
      <c r="R8" s="74">
        <v>0.25</v>
      </c>
      <c r="S8" s="60">
        <v>20000</v>
      </c>
      <c r="T8" s="74">
        <v>0.5</v>
      </c>
      <c r="U8" s="60">
        <v>5000</v>
      </c>
      <c r="V8" s="60">
        <v>1000</v>
      </c>
      <c r="W8" s="60">
        <v>400</v>
      </c>
      <c r="X8" s="74">
        <v>0.25</v>
      </c>
      <c r="Y8" s="60">
        <v>20000</v>
      </c>
      <c r="Z8" s="82"/>
      <c r="AA8" s="82"/>
      <c r="AB8" s="82"/>
      <c r="AC8" s="86"/>
      <c r="AD8" s="86"/>
    </row>
    <row r="9" spans="1:31" s="50" customFormat="1" x14ac:dyDescent="0.25">
      <c r="A9" s="142">
        <v>2007</v>
      </c>
      <c r="B9" s="142">
        <v>2006</v>
      </c>
      <c r="C9" s="98"/>
      <c r="D9" s="98"/>
      <c r="E9" s="98"/>
      <c r="F9" s="82"/>
      <c r="G9" s="82"/>
      <c r="H9" s="29">
        <v>915</v>
      </c>
      <c r="I9" s="33">
        <v>0.25</v>
      </c>
      <c r="J9" s="29">
        <v>1525</v>
      </c>
      <c r="K9" s="29">
        <v>300</v>
      </c>
      <c r="L9" s="98"/>
      <c r="M9" s="98"/>
      <c r="N9" s="98"/>
      <c r="O9" s="82"/>
      <c r="P9" s="98"/>
      <c r="Q9" s="82"/>
      <c r="R9" s="74">
        <v>0.25</v>
      </c>
      <c r="S9" s="60">
        <v>10000</v>
      </c>
      <c r="T9" s="74">
        <v>0.5</v>
      </c>
      <c r="U9" s="60">
        <v>5000</v>
      </c>
      <c r="V9" s="60">
        <v>1000</v>
      </c>
      <c r="W9" s="60">
        <v>400</v>
      </c>
      <c r="X9" s="82"/>
      <c r="Y9" s="82"/>
      <c r="Z9" s="82"/>
      <c r="AA9" s="82"/>
      <c r="AB9" s="82"/>
      <c r="AC9" s="86"/>
      <c r="AD9" s="86"/>
    </row>
    <row r="10" spans="1:31" s="50" customFormat="1" x14ac:dyDescent="0.25">
      <c r="A10" s="142">
        <v>2006</v>
      </c>
      <c r="B10" s="142">
        <v>2005</v>
      </c>
      <c r="C10" s="98"/>
      <c r="D10" s="98"/>
      <c r="E10" s="98"/>
      <c r="F10" s="82"/>
      <c r="G10" s="82"/>
      <c r="H10" s="29">
        <v>915</v>
      </c>
      <c r="I10" s="33">
        <v>0.25</v>
      </c>
      <c r="J10" s="29">
        <v>1525</v>
      </c>
      <c r="K10" s="29">
        <v>300</v>
      </c>
      <c r="L10" s="98"/>
      <c r="M10" s="98"/>
      <c r="N10" s="98"/>
      <c r="O10" s="82"/>
      <c r="P10" s="74">
        <v>0.25</v>
      </c>
      <c r="Q10" s="60">
        <v>600</v>
      </c>
      <c r="R10" s="74">
        <v>0.25</v>
      </c>
      <c r="S10" s="60">
        <v>10000</v>
      </c>
      <c r="T10" s="74">
        <v>0.5</v>
      </c>
      <c r="U10" s="60">
        <v>5000</v>
      </c>
      <c r="V10" s="82"/>
      <c r="W10" s="82"/>
      <c r="X10" s="82"/>
      <c r="Y10" s="82"/>
      <c r="Z10" s="82"/>
      <c r="AA10" s="82"/>
      <c r="AB10" s="82"/>
      <c r="AC10" s="86"/>
      <c r="AD10" s="86"/>
    </row>
    <row r="11" spans="1:31" s="50" customFormat="1" x14ac:dyDescent="0.25">
      <c r="A11" s="142">
        <v>2005</v>
      </c>
      <c r="B11" s="142">
        <v>2004</v>
      </c>
      <c r="C11" s="98"/>
      <c r="D11" s="98"/>
      <c r="E11" s="33">
        <v>0.25</v>
      </c>
      <c r="F11" s="29">
        <v>610</v>
      </c>
      <c r="G11" s="29">
        <v>150</v>
      </c>
      <c r="H11" s="29">
        <v>915</v>
      </c>
      <c r="I11" s="33">
        <v>0.25</v>
      </c>
      <c r="J11" s="29">
        <v>1525</v>
      </c>
      <c r="K11" s="29">
        <v>300</v>
      </c>
      <c r="L11" s="98"/>
      <c r="M11" s="98"/>
      <c r="N11" s="98"/>
      <c r="O11" s="82"/>
      <c r="P11" s="74">
        <v>0.25</v>
      </c>
      <c r="Q11" s="60">
        <v>600</v>
      </c>
      <c r="R11" s="74">
        <v>0.25</v>
      </c>
      <c r="S11" s="60">
        <v>10000</v>
      </c>
      <c r="T11" s="82"/>
      <c r="U11" s="82"/>
      <c r="V11" s="82"/>
      <c r="W11" s="82"/>
      <c r="X11" s="82"/>
      <c r="Y11" s="82"/>
      <c r="Z11" s="82"/>
      <c r="AA11" s="82"/>
      <c r="AB11" s="82"/>
      <c r="AC11" s="86"/>
      <c r="AD11" s="86"/>
    </row>
    <row r="12" spans="1:31" s="50" customFormat="1" x14ac:dyDescent="0.25">
      <c r="A12" s="142">
        <v>2002</v>
      </c>
      <c r="B12" s="142">
        <v>2001</v>
      </c>
      <c r="C12" s="98"/>
      <c r="D12" s="98"/>
      <c r="E12" s="33">
        <v>0.25</v>
      </c>
      <c r="F12" s="29">
        <v>610</v>
      </c>
      <c r="G12" s="29">
        <v>150</v>
      </c>
      <c r="H12" s="29">
        <v>915</v>
      </c>
      <c r="I12" s="33">
        <v>0.25</v>
      </c>
      <c r="J12" s="29">
        <v>1070</v>
      </c>
      <c r="K12" s="29">
        <v>230</v>
      </c>
      <c r="L12" s="98"/>
      <c r="M12" s="98"/>
      <c r="N12" s="98"/>
      <c r="O12" s="82"/>
      <c r="P12" s="98"/>
      <c r="Q12" s="98"/>
      <c r="R12" s="98"/>
      <c r="S12" s="98"/>
      <c r="T12" s="98"/>
      <c r="U12" s="98"/>
      <c r="V12" s="98"/>
      <c r="W12" s="98"/>
      <c r="X12" s="98"/>
      <c r="Y12" s="98"/>
      <c r="Z12" s="98"/>
      <c r="AA12" s="98"/>
      <c r="AB12" s="98"/>
      <c r="AC12" s="85"/>
      <c r="AD12" s="85"/>
      <c r="AE12" s="43"/>
    </row>
    <row r="13" spans="1:31" s="51" customFormat="1" x14ac:dyDescent="0.25">
      <c r="A13" s="142">
        <v>2001</v>
      </c>
      <c r="B13" s="142">
        <v>2000</v>
      </c>
      <c r="C13" s="98"/>
      <c r="D13" s="83"/>
      <c r="E13" s="33">
        <v>0.25</v>
      </c>
      <c r="F13" s="34">
        <v>4000</v>
      </c>
      <c r="G13" s="34">
        <v>1000</v>
      </c>
      <c r="H13" s="34">
        <v>6000</v>
      </c>
      <c r="I13" s="33">
        <v>0.25</v>
      </c>
      <c r="J13" s="34">
        <v>7000</v>
      </c>
      <c r="K13" s="34">
        <v>1500</v>
      </c>
      <c r="L13" s="98"/>
      <c r="M13" s="83"/>
      <c r="N13" s="98"/>
      <c r="O13" s="83"/>
      <c r="P13" s="98"/>
      <c r="Q13" s="98"/>
      <c r="R13" s="98"/>
      <c r="S13" s="98"/>
      <c r="T13" s="98"/>
      <c r="U13" s="98"/>
      <c r="V13" s="98"/>
      <c r="W13" s="98"/>
      <c r="X13" s="98"/>
      <c r="Y13" s="98"/>
      <c r="Z13" s="98"/>
      <c r="AA13" s="98"/>
      <c r="AB13" s="98"/>
      <c r="AC13" s="85"/>
      <c r="AD13" s="85"/>
      <c r="AE13" s="27"/>
    </row>
    <row r="14" spans="1:31" s="51" customFormat="1" x14ac:dyDescent="0.25">
      <c r="A14" s="142">
        <v>2000</v>
      </c>
      <c r="B14" s="142">
        <v>1999</v>
      </c>
      <c r="C14" s="98"/>
      <c r="D14" s="83"/>
      <c r="E14" s="33">
        <v>0.25</v>
      </c>
      <c r="F14" s="34">
        <v>4000</v>
      </c>
      <c r="G14" s="34">
        <v>1000</v>
      </c>
      <c r="H14" s="34">
        <v>6000</v>
      </c>
      <c r="I14" s="33">
        <v>0.25</v>
      </c>
      <c r="J14" s="34">
        <v>7000</v>
      </c>
      <c r="K14" s="34">
        <v>1500</v>
      </c>
      <c r="L14" s="33">
        <v>0.25</v>
      </c>
      <c r="M14" s="34">
        <v>40000</v>
      </c>
      <c r="N14" s="98"/>
      <c r="O14" s="83"/>
      <c r="P14" s="98"/>
      <c r="Q14" s="98"/>
      <c r="R14" s="98"/>
      <c r="S14" s="98"/>
      <c r="T14" s="98"/>
      <c r="U14" s="98"/>
      <c r="V14" s="98"/>
      <c r="W14" s="98"/>
      <c r="X14" s="98"/>
      <c r="Y14" s="98"/>
      <c r="Z14" s="98"/>
      <c r="AA14" s="98"/>
      <c r="AB14" s="98"/>
      <c r="AC14" s="85"/>
      <c r="AD14" s="85"/>
      <c r="AE14" s="48"/>
    </row>
    <row r="15" spans="1:31" s="51" customFormat="1" x14ac:dyDescent="0.25">
      <c r="A15" s="142">
        <v>1999</v>
      </c>
      <c r="B15" s="142">
        <v>1998</v>
      </c>
      <c r="C15" s="98"/>
      <c r="D15" s="83"/>
      <c r="E15" s="33">
        <v>0.25</v>
      </c>
      <c r="F15" s="34">
        <v>4000</v>
      </c>
      <c r="G15" s="34">
        <v>1000</v>
      </c>
      <c r="H15" s="34">
        <v>6000</v>
      </c>
      <c r="I15" s="33">
        <v>0.25</v>
      </c>
      <c r="J15" s="34">
        <v>7000</v>
      </c>
      <c r="K15" s="34">
        <v>1500</v>
      </c>
      <c r="L15" s="33">
        <v>0.25</v>
      </c>
      <c r="M15" s="34">
        <v>40000</v>
      </c>
      <c r="N15" s="98"/>
      <c r="O15" s="83"/>
      <c r="P15" s="98"/>
      <c r="Q15" s="98"/>
      <c r="R15" s="98"/>
      <c r="S15" s="98"/>
      <c r="T15" s="98"/>
      <c r="U15" s="98"/>
      <c r="V15" s="98"/>
      <c r="W15" s="98"/>
      <c r="X15" s="98"/>
      <c r="Y15" s="98"/>
      <c r="Z15" s="98"/>
      <c r="AA15" s="98"/>
      <c r="AB15" s="98"/>
      <c r="AC15" s="85"/>
      <c r="AD15" s="85"/>
      <c r="AE15" s="56"/>
    </row>
    <row r="16" spans="1:31" s="51" customFormat="1" x14ac:dyDescent="0.25">
      <c r="A16" s="142">
        <v>1998</v>
      </c>
      <c r="B16" s="142">
        <v>1997</v>
      </c>
      <c r="C16" s="98"/>
      <c r="D16" s="83"/>
      <c r="E16" s="33">
        <v>0.25</v>
      </c>
      <c r="F16" s="34">
        <v>4000</v>
      </c>
      <c r="G16" s="34">
        <v>1000</v>
      </c>
      <c r="H16" s="34">
        <v>6000</v>
      </c>
      <c r="I16" s="33">
        <v>0.25</v>
      </c>
      <c r="J16" s="34">
        <v>7000</v>
      </c>
      <c r="K16" s="34">
        <v>1500</v>
      </c>
      <c r="L16" s="33">
        <v>0.25</v>
      </c>
      <c r="M16" s="34">
        <v>40000</v>
      </c>
      <c r="N16" s="98"/>
      <c r="O16" s="34">
        <v>5000</v>
      </c>
      <c r="P16" s="33">
        <v>0.25</v>
      </c>
      <c r="Q16" s="98"/>
      <c r="R16" s="98"/>
      <c r="S16" s="98"/>
      <c r="T16" s="98"/>
      <c r="U16" s="98"/>
      <c r="V16" s="98"/>
      <c r="W16" s="98"/>
      <c r="X16" s="98"/>
      <c r="Y16" s="98"/>
      <c r="Z16" s="98"/>
      <c r="AA16" s="98"/>
      <c r="AB16" s="98"/>
      <c r="AC16" s="85"/>
      <c r="AD16" s="85"/>
      <c r="AE16" s="56"/>
    </row>
    <row r="17" spans="1:31" s="51" customFormat="1" x14ac:dyDescent="0.25">
      <c r="A17" s="142">
        <v>1997</v>
      </c>
      <c r="B17" s="142">
        <v>1996</v>
      </c>
      <c r="C17" s="33">
        <v>0.35</v>
      </c>
      <c r="D17" s="76">
        <v>5000</v>
      </c>
      <c r="E17" s="33">
        <v>0.25</v>
      </c>
      <c r="F17" s="34">
        <v>4000</v>
      </c>
      <c r="G17" s="34">
        <v>1000</v>
      </c>
      <c r="H17" s="34">
        <v>6000</v>
      </c>
      <c r="I17" s="33">
        <v>0.25</v>
      </c>
      <c r="J17" s="34">
        <v>7000</v>
      </c>
      <c r="K17" s="34">
        <v>1500</v>
      </c>
      <c r="L17" s="33">
        <v>0.25</v>
      </c>
      <c r="M17" s="34">
        <v>40000</v>
      </c>
      <c r="N17" s="33">
        <v>0.25</v>
      </c>
      <c r="O17" s="34">
        <v>5000</v>
      </c>
      <c r="P17" s="33">
        <v>0.25</v>
      </c>
      <c r="Q17" s="98"/>
      <c r="R17" s="98"/>
      <c r="S17" s="98"/>
      <c r="T17" s="98"/>
      <c r="U17" s="98"/>
      <c r="V17" s="98"/>
      <c r="W17" s="98"/>
      <c r="X17" s="98"/>
      <c r="Y17" s="98"/>
      <c r="Z17" s="98"/>
      <c r="AA17" s="98"/>
      <c r="AB17" s="98"/>
      <c r="AC17" s="85"/>
      <c r="AD17" s="85"/>
      <c r="AE17" s="71" t="s">
        <v>547</v>
      </c>
    </row>
    <row r="18" spans="1:31" s="51" customFormat="1" x14ac:dyDescent="0.25">
      <c r="A18" s="142">
        <v>1995</v>
      </c>
      <c r="B18" s="142">
        <v>1994</v>
      </c>
      <c r="C18" s="33">
        <v>0.35</v>
      </c>
      <c r="D18" s="76">
        <v>5000</v>
      </c>
      <c r="E18" s="33">
        <v>0.25</v>
      </c>
      <c r="F18" s="34">
        <v>4000</v>
      </c>
      <c r="G18" s="34">
        <v>1000</v>
      </c>
      <c r="H18" s="34" t="s">
        <v>285</v>
      </c>
      <c r="I18" s="33">
        <v>0.25</v>
      </c>
      <c r="J18" s="34">
        <v>7000</v>
      </c>
      <c r="K18" s="34">
        <v>1500</v>
      </c>
      <c r="L18" s="33">
        <v>0.25</v>
      </c>
      <c r="M18" s="34">
        <v>40000</v>
      </c>
      <c r="N18" s="98"/>
      <c r="O18" s="83"/>
      <c r="P18" s="98"/>
      <c r="Q18" s="98"/>
      <c r="R18" s="98"/>
      <c r="S18" s="98"/>
      <c r="T18" s="98"/>
      <c r="U18" s="98"/>
      <c r="V18" s="98"/>
      <c r="W18" s="98"/>
      <c r="X18" s="98"/>
      <c r="Y18" s="98"/>
      <c r="Z18" s="98"/>
      <c r="AA18" s="98"/>
      <c r="AB18" s="98"/>
      <c r="AC18" s="85"/>
      <c r="AD18" s="85"/>
      <c r="AE18" s="40" t="s">
        <v>548</v>
      </c>
    </row>
    <row r="19" spans="1:31" x14ac:dyDescent="0.25">
      <c r="A19" s="142">
        <v>1993</v>
      </c>
      <c r="B19" s="142">
        <v>1992</v>
      </c>
      <c r="C19" s="33">
        <v>0.35</v>
      </c>
      <c r="D19" s="75" t="s">
        <v>286</v>
      </c>
      <c r="E19" s="33">
        <v>0.25</v>
      </c>
      <c r="F19" s="34">
        <v>4000</v>
      </c>
      <c r="G19" s="34">
        <v>1000</v>
      </c>
      <c r="H19" s="27" t="s">
        <v>291</v>
      </c>
      <c r="I19" s="33">
        <v>0.25</v>
      </c>
      <c r="J19" s="34">
        <v>7000</v>
      </c>
      <c r="K19" s="34">
        <v>1500</v>
      </c>
      <c r="L19" s="33">
        <v>0.25</v>
      </c>
      <c r="M19" s="34">
        <v>40000</v>
      </c>
      <c r="N19" s="98"/>
      <c r="O19" s="83"/>
      <c r="P19" s="98"/>
      <c r="Q19" s="98"/>
      <c r="R19" s="98"/>
      <c r="S19" s="98"/>
      <c r="T19" s="98"/>
      <c r="U19" s="98"/>
      <c r="V19" s="98"/>
      <c r="W19" s="98"/>
      <c r="X19" s="98"/>
      <c r="Y19" s="98"/>
      <c r="Z19" s="98"/>
      <c r="AA19" s="98"/>
      <c r="AB19" s="98"/>
      <c r="AC19" s="85"/>
      <c r="AD19" s="85"/>
      <c r="AE19" s="40"/>
    </row>
    <row r="20" spans="1:31" x14ac:dyDescent="0.25">
      <c r="A20" s="142">
        <v>1988</v>
      </c>
      <c r="B20" s="142">
        <v>1987</v>
      </c>
      <c r="C20" s="186"/>
      <c r="D20" s="186"/>
      <c r="E20" s="33">
        <v>0.25</v>
      </c>
      <c r="F20" s="34">
        <v>4000</v>
      </c>
      <c r="G20" s="34">
        <v>1000</v>
      </c>
      <c r="H20" s="27" t="s">
        <v>287</v>
      </c>
      <c r="I20" s="33">
        <v>0.25</v>
      </c>
      <c r="J20" s="34">
        <v>7000</v>
      </c>
      <c r="K20" s="34">
        <v>1500</v>
      </c>
      <c r="L20" s="46">
        <v>0</v>
      </c>
      <c r="M20" s="27" t="s">
        <v>321</v>
      </c>
      <c r="N20" s="98"/>
      <c r="O20" s="83"/>
      <c r="P20" s="98"/>
      <c r="Q20" s="98"/>
      <c r="R20" s="98"/>
      <c r="S20" s="98"/>
      <c r="T20" s="98"/>
      <c r="U20" s="98"/>
      <c r="V20" s="98"/>
      <c r="W20" s="98"/>
      <c r="X20" s="98"/>
      <c r="Y20" s="98"/>
      <c r="Z20" s="98"/>
      <c r="AA20" s="98"/>
      <c r="AB20" s="98"/>
      <c r="AC20" s="85"/>
      <c r="AD20" s="85"/>
      <c r="AE20" s="40"/>
    </row>
    <row r="21" spans="1:31" x14ac:dyDescent="0.25">
      <c r="A21" s="142">
        <v>1984</v>
      </c>
      <c r="B21" s="142">
        <v>1983</v>
      </c>
      <c r="C21" s="186"/>
      <c r="D21" s="186"/>
      <c r="E21" s="46">
        <v>0.2</v>
      </c>
      <c r="F21" s="26" t="s">
        <v>291</v>
      </c>
      <c r="G21" s="26" t="s">
        <v>339</v>
      </c>
      <c r="H21" s="26" t="s">
        <v>287</v>
      </c>
      <c r="I21" s="33">
        <v>0.25</v>
      </c>
      <c r="J21" s="34">
        <v>7000</v>
      </c>
      <c r="K21" s="34">
        <v>1500</v>
      </c>
      <c r="L21" s="186"/>
      <c r="M21" s="186"/>
      <c r="N21" s="98"/>
      <c r="O21" s="83"/>
      <c r="P21" s="98"/>
      <c r="Q21" s="98"/>
      <c r="R21" s="98"/>
      <c r="S21" s="98"/>
      <c r="T21" s="98"/>
      <c r="U21" s="98"/>
      <c r="V21" s="98"/>
      <c r="W21" s="98"/>
      <c r="X21" s="98"/>
      <c r="Y21" s="98"/>
      <c r="Z21" s="98"/>
      <c r="AA21" s="98"/>
      <c r="AB21" s="98"/>
      <c r="AC21" s="85"/>
      <c r="AD21" s="85"/>
      <c r="AE21" s="96" t="s">
        <v>639</v>
      </c>
    </row>
    <row r="22" spans="1:31" x14ac:dyDescent="0.25">
      <c r="A22" s="142">
        <v>1983</v>
      </c>
      <c r="B22" s="142">
        <v>1982</v>
      </c>
      <c r="C22" s="186"/>
      <c r="D22" s="186"/>
      <c r="E22" s="46">
        <v>0</v>
      </c>
      <c r="F22" s="26" t="s">
        <v>340</v>
      </c>
      <c r="G22" s="26" t="s">
        <v>341</v>
      </c>
      <c r="H22" s="188" t="s">
        <v>287</v>
      </c>
      <c r="I22" s="46">
        <v>0</v>
      </c>
      <c r="J22" s="26" t="s">
        <v>340</v>
      </c>
      <c r="K22" s="26" t="s">
        <v>341</v>
      </c>
      <c r="L22" s="186"/>
      <c r="M22" s="186"/>
      <c r="N22" s="98"/>
      <c r="O22" s="83"/>
      <c r="P22" s="98"/>
      <c r="Q22" s="98"/>
      <c r="R22" s="98"/>
      <c r="S22" s="98"/>
      <c r="T22" s="98"/>
      <c r="U22" s="98"/>
      <c r="V22" s="98"/>
      <c r="W22" s="98"/>
      <c r="X22" s="98"/>
      <c r="Y22" s="98"/>
      <c r="Z22" s="98"/>
      <c r="AA22" s="98"/>
      <c r="AB22" s="98"/>
      <c r="AC22" s="85"/>
      <c r="AD22" s="85"/>
    </row>
    <row r="23" spans="1:31" x14ac:dyDescent="0.25">
      <c r="A23" s="142">
        <v>1979</v>
      </c>
      <c r="B23" s="142">
        <v>1978</v>
      </c>
      <c r="C23" s="186"/>
      <c r="D23" s="186"/>
      <c r="E23" s="46">
        <v>0</v>
      </c>
      <c r="F23" s="26" t="s">
        <v>342</v>
      </c>
      <c r="G23" s="26" t="s">
        <v>341</v>
      </c>
      <c r="H23" s="84"/>
      <c r="I23" s="46">
        <v>0</v>
      </c>
      <c r="J23" s="26" t="s">
        <v>342</v>
      </c>
      <c r="K23" s="26" t="s">
        <v>341</v>
      </c>
      <c r="L23" s="186"/>
      <c r="M23" s="186"/>
      <c r="N23" s="98"/>
      <c r="O23" s="83"/>
      <c r="P23" s="98"/>
      <c r="Q23" s="98"/>
      <c r="R23" s="98"/>
      <c r="S23" s="98"/>
      <c r="T23" s="98"/>
      <c r="U23" s="98"/>
      <c r="V23" s="98"/>
      <c r="W23" s="98"/>
      <c r="X23" s="98"/>
      <c r="Y23" s="98"/>
      <c r="Z23" s="98"/>
      <c r="AA23" s="98"/>
      <c r="AB23" s="98"/>
      <c r="AC23" s="85"/>
      <c r="AD23" s="85"/>
    </row>
    <row r="24" spans="1:31" x14ac:dyDescent="0.25">
      <c r="A24" s="142">
        <v>1978</v>
      </c>
      <c r="B24" s="142">
        <v>1977</v>
      </c>
      <c r="C24" s="186"/>
      <c r="D24" s="186"/>
      <c r="E24" s="84"/>
      <c r="F24" s="84"/>
      <c r="G24" s="84"/>
      <c r="H24" s="84"/>
      <c r="I24" s="84"/>
      <c r="J24" s="84"/>
      <c r="K24" s="84"/>
      <c r="L24" s="186"/>
      <c r="M24" s="186"/>
      <c r="N24" s="98"/>
      <c r="O24" s="83"/>
      <c r="P24" s="98"/>
      <c r="Q24" s="98"/>
      <c r="R24" s="98"/>
      <c r="S24" s="98"/>
      <c r="T24" s="98"/>
      <c r="U24" s="98"/>
      <c r="V24" s="98"/>
      <c r="W24" s="98"/>
      <c r="X24" s="98"/>
      <c r="Y24" s="98"/>
      <c r="Z24" s="98"/>
      <c r="AA24" s="98"/>
      <c r="AB24" s="98"/>
      <c r="AC24" s="85"/>
      <c r="AD24" s="85"/>
    </row>
    <row r="26" spans="1:31" x14ac:dyDescent="0.25">
      <c r="C26" s="289" t="s">
        <v>549</v>
      </c>
    </row>
    <row r="27" spans="1:31" x14ac:dyDescent="0.25">
      <c r="C27" s="285" t="s">
        <v>561</v>
      </c>
    </row>
    <row r="28" spans="1:31" x14ac:dyDescent="0.25">
      <c r="C28" s="284" t="s">
        <v>550</v>
      </c>
    </row>
    <row r="29" spans="1:31" x14ac:dyDescent="0.25">
      <c r="C29" s="285" t="s">
        <v>551</v>
      </c>
    </row>
    <row r="30" spans="1:31" x14ac:dyDescent="0.25">
      <c r="C30" s="297" t="s">
        <v>567</v>
      </c>
    </row>
    <row r="31" spans="1:31" x14ac:dyDescent="0.25">
      <c r="C31" s="285" t="s">
        <v>552</v>
      </c>
    </row>
    <row r="32" spans="1:31" x14ac:dyDescent="0.25">
      <c r="C32" s="297" t="s">
        <v>566</v>
      </c>
    </row>
    <row r="33" spans="3:3" x14ac:dyDescent="0.25">
      <c r="C33" s="285" t="s">
        <v>553</v>
      </c>
    </row>
    <row r="34" spans="3:3" x14ac:dyDescent="0.25">
      <c r="C34" s="285" t="s">
        <v>554</v>
      </c>
    </row>
    <row r="35" spans="3:3" x14ac:dyDescent="0.25">
      <c r="C35" s="285" t="s">
        <v>555</v>
      </c>
    </row>
    <row r="36" spans="3:3" x14ac:dyDescent="0.25">
      <c r="C36" s="297" t="s">
        <v>558</v>
      </c>
    </row>
    <row r="37" spans="3:3" x14ac:dyDescent="0.25">
      <c r="C37" s="285" t="s">
        <v>557</v>
      </c>
    </row>
    <row r="38" spans="3:3" x14ac:dyDescent="0.25">
      <c r="C38" s="297" t="s">
        <v>560</v>
      </c>
    </row>
    <row r="39" spans="3:3" x14ac:dyDescent="0.25">
      <c r="C39" s="285" t="s">
        <v>556</v>
      </c>
    </row>
    <row r="40" spans="3:3" x14ac:dyDescent="0.25">
      <c r="C40" s="297" t="s">
        <v>559</v>
      </c>
    </row>
    <row r="41" spans="3:3" x14ac:dyDescent="0.25">
      <c r="C41" s="285" t="s">
        <v>562</v>
      </c>
    </row>
    <row r="42" spans="3:3" x14ac:dyDescent="0.25">
      <c r="C42" s="297" t="s">
        <v>565</v>
      </c>
    </row>
    <row r="43" spans="3:3" x14ac:dyDescent="0.25">
      <c r="C43" s="285" t="s">
        <v>1168</v>
      </c>
    </row>
    <row r="44" spans="3:3" x14ac:dyDescent="0.25">
      <c r="C44" s="285" t="s">
        <v>1169</v>
      </c>
    </row>
    <row r="45" spans="3:3" x14ac:dyDescent="0.25">
      <c r="C45" s="285" t="s">
        <v>1167</v>
      </c>
    </row>
    <row r="51" spans="3:3" x14ac:dyDescent="0.25">
      <c r="C51" s="285"/>
    </row>
    <row r="74" spans="1:2" x14ac:dyDescent="0.25">
      <c r="A74" s="97"/>
      <c r="B74" s="97"/>
    </row>
    <row r="75" spans="1:2" x14ac:dyDescent="0.25">
      <c r="A75" s="97"/>
      <c r="B75" s="97"/>
    </row>
    <row r="76" spans="1:2" x14ac:dyDescent="0.25">
      <c r="A76" s="97"/>
      <c r="B76" s="97"/>
    </row>
    <row r="77" spans="1:2" x14ac:dyDescent="0.25">
      <c r="A77" s="97"/>
      <c r="B77" s="97"/>
    </row>
    <row r="78" spans="1:2" x14ac:dyDescent="0.25">
      <c r="A78" s="97"/>
      <c r="B78" s="97"/>
    </row>
  </sheetData>
  <mergeCells count="14">
    <mergeCell ref="A2:B2"/>
    <mergeCell ref="AE2:AE3"/>
    <mergeCell ref="C2:D2"/>
    <mergeCell ref="E2:G2"/>
    <mergeCell ref="I2:K2"/>
    <mergeCell ref="L2:M2"/>
    <mergeCell ref="N2:O2"/>
    <mergeCell ref="AC2:AD2"/>
    <mergeCell ref="P2:Q2"/>
    <mergeCell ref="R2:S2"/>
    <mergeCell ref="T2:U2"/>
    <mergeCell ref="V2:W2"/>
    <mergeCell ref="X2:Y2"/>
    <mergeCell ref="Z2:AB2"/>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abSelected="1" workbookViewId="0">
      <pane xSplit="2" ySplit="3" topLeftCell="C4" activePane="bottomRight" state="frozen"/>
      <selection activeCell="C3" sqref="C3:E3"/>
      <selection pane="topRight" activeCell="C3" sqref="C3:E3"/>
      <selection pane="bottomLeft" activeCell="C3" sqref="C3:E3"/>
      <selection pane="bottomRight" activeCell="C18" sqref="C18"/>
    </sheetView>
  </sheetViews>
  <sheetFormatPr baseColWidth="10" defaultColWidth="9.140625" defaultRowHeight="15" x14ac:dyDescent="0.25"/>
  <cols>
    <col min="1" max="1" width="7.5703125" style="50" bestFit="1" customWidth="1"/>
    <col min="2" max="2" width="12.85546875" style="50" bestFit="1" customWidth="1"/>
    <col min="3" max="3" width="9.7109375" bestFit="1" customWidth="1"/>
    <col min="4" max="4" width="19.85546875" customWidth="1"/>
    <col min="5" max="5" width="29.7109375" bestFit="1" customWidth="1"/>
    <col min="6" max="6" width="99.42578125" style="54" customWidth="1"/>
  </cols>
  <sheetData>
    <row r="1" spans="1:6" hidden="1" x14ac:dyDescent="0.25">
      <c r="A1" s="269" t="s">
        <v>1130</v>
      </c>
      <c r="B1" s="269" t="s">
        <v>1131</v>
      </c>
      <c r="C1" s="429" t="s">
        <v>64</v>
      </c>
      <c r="D1" s="429" t="s">
        <v>65</v>
      </c>
      <c r="E1" s="428" t="s">
        <v>1135</v>
      </c>
      <c r="F1" s="3"/>
    </row>
    <row r="2" spans="1:6" ht="28.5" customHeight="1" x14ac:dyDescent="0.25">
      <c r="A2" s="486" t="s">
        <v>997</v>
      </c>
      <c r="B2" s="487"/>
      <c r="C2" s="549" t="s">
        <v>569</v>
      </c>
      <c r="D2" s="550"/>
      <c r="E2" s="530" t="s">
        <v>588</v>
      </c>
      <c r="F2" s="530" t="s">
        <v>1</v>
      </c>
    </row>
    <row r="3" spans="1:6" ht="25.5" x14ac:dyDescent="0.25">
      <c r="A3" s="383" t="s">
        <v>214</v>
      </c>
      <c r="B3" s="383" t="s">
        <v>996</v>
      </c>
      <c r="C3" s="296" t="s">
        <v>379</v>
      </c>
      <c r="D3" s="296" t="s">
        <v>391</v>
      </c>
      <c r="E3" s="530"/>
      <c r="F3" s="530"/>
    </row>
    <row r="4" spans="1:6" x14ac:dyDescent="0.25">
      <c r="A4" s="142">
        <v>2007</v>
      </c>
      <c r="B4" s="142">
        <v>2006</v>
      </c>
      <c r="C4" s="46">
        <v>0.5</v>
      </c>
      <c r="D4" s="13">
        <f>2300</f>
        <v>2300</v>
      </c>
      <c r="E4" s="63"/>
      <c r="F4" s="53" t="s">
        <v>86</v>
      </c>
    </row>
    <row r="5" spans="1:6" x14ac:dyDescent="0.25">
      <c r="A5" s="142">
        <v>2006</v>
      </c>
      <c r="B5" s="142">
        <v>2005</v>
      </c>
      <c r="C5" s="46">
        <v>0.25</v>
      </c>
      <c r="D5" s="13">
        <f>2300</f>
        <v>2300</v>
      </c>
      <c r="E5" s="221" t="s">
        <v>85</v>
      </c>
      <c r="F5" s="53" t="s">
        <v>762</v>
      </c>
    </row>
    <row r="6" spans="1:6" x14ac:dyDescent="0.25">
      <c r="A6" s="142">
        <v>2002</v>
      </c>
      <c r="B6" s="142">
        <v>2001</v>
      </c>
      <c r="C6" s="46">
        <v>0.25</v>
      </c>
      <c r="D6" s="13">
        <v>2300</v>
      </c>
    </row>
    <row r="7" spans="1:6" x14ac:dyDescent="0.25">
      <c r="A7" s="142">
        <v>1993</v>
      </c>
      <c r="B7" s="142">
        <v>1992</v>
      </c>
      <c r="C7" s="46">
        <f>25%</f>
        <v>0.25</v>
      </c>
      <c r="D7" s="17">
        <v>15000</v>
      </c>
      <c r="F7" s="531" t="s">
        <v>943</v>
      </c>
    </row>
    <row r="8" spans="1:6" x14ac:dyDescent="0.25">
      <c r="A8" s="142">
        <v>1992</v>
      </c>
      <c r="B8" s="142">
        <v>1991</v>
      </c>
      <c r="C8" s="46">
        <f>25%</f>
        <v>0.25</v>
      </c>
      <c r="D8" s="17">
        <v>15000</v>
      </c>
      <c r="F8" s="531"/>
    </row>
    <row r="9" spans="1:6" x14ac:dyDescent="0.25">
      <c r="A9" s="142">
        <v>1989</v>
      </c>
      <c r="B9" s="142">
        <v>1988</v>
      </c>
      <c r="C9" s="185">
        <v>0.25</v>
      </c>
      <c r="D9" s="187" t="s">
        <v>260</v>
      </c>
      <c r="E9" t="s">
        <v>947</v>
      </c>
      <c r="F9" s="531" t="s">
        <v>948</v>
      </c>
    </row>
    <row r="10" spans="1:6" x14ac:dyDescent="0.25">
      <c r="A10" s="142">
        <v>1988</v>
      </c>
      <c r="B10" s="142">
        <v>1987</v>
      </c>
      <c r="C10" s="185">
        <v>0</v>
      </c>
      <c r="D10" s="187" t="s">
        <v>319</v>
      </c>
      <c r="F10" s="531"/>
    </row>
    <row r="11" spans="1:6" x14ac:dyDescent="0.25">
      <c r="A11" s="142">
        <v>1987</v>
      </c>
      <c r="B11" s="142">
        <v>1986</v>
      </c>
      <c r="C11" s="185">
        <v>0</v>
      </c>
      <c r="D11" s="187" t="s">
        <v>319</v>
      </c>
    </row>
    <row r="12" spans="1:6" x14ac:dyDescent="0.25">
      <c r="A12" s="142">
        <v>1986</v>
      </c>
      <c r="B12" s="142">
        <v>1985</v>
      </c>
      <c r="C12" s="185">
        <v>0</v>
      </c>
      <c r="D12" s="187" t="s">
        <v>286</v>
      </c>
    </row>
    <row r="13" spans="1:6" x14ac:dyDescent="0.25">
      <c r="A13" s="142">
        <v>1985</v>
      </c>
      <c r="B13" s="142">
        <v>1984</v>
      </c>
      <c r="C13" s="185">
        <v>0</v>
      </c>
      <c r="D13" s="187" t="s">
        <v>338</v>
      </c>
    </row>
    <row r="14" spans="1:6" x14ac:dyDescent="0.25">
      <c r="A14" s="142">
        <v>1984</v>
      </c>
      <c r="B14" s="142">
        <v>1983</v>
      </c>
      <c r="C14" s="185">
        <v>0</v>
      </c>
      <c r="D14" s="187" t="s">
        <v>291</v>
      </c>
    </row>
    <row r="15" spans="1:6" x14ac:dyDescent="0.25">
      <c r="A15" s="142">
        <v>1979</v>
      </c>
      <c r="B15" s="142">
        <v>1978</v>
      </c>
      <c r="C15" s="185">
        <v>0</v>
      </c>
      <c r="D15" s="187" t="s">
        <v>310</v>
      </c>
      <c r="F15" s="531" t="s">
        <v>337</v>
      </c>
    </row>
    <row r="16" spans="1:6" x14ac:dyDescent="0.25">
      <c r="A16" s="142">
        <v>1978</v>
      </c>
      <c r="B16" s="142">
        <v>1977</v>
      </c>
      <c r="C16" s="184"/>
      <c r="D16" s="184"/>
      <c r="F16" s="531"/>
    </row>
    <row r="17" spans="3:6" x14ac:dyDescent="0.25">
      <c r="C17" s="377" t="s">
        <v>511</v>
      </c>
      <c r="D17" s="73"/>
    </row>
    <row r="18" spans="3:6" x14ac:dyDescent="0.25">
      <c r="C18" s="371" t="s">
        <v>1183</v>
      </c>
    </row>
    <row r="19" spans="3:6" x14ac:dyDescent="0.25">
      <c r="C19" t="s">
        <v>944</v>
      </c>
    </row>
    <row r="20" spans="3:6" ht="15" customHeight="1" x14ac:dyDescent="0.25">
      <c r="C20" t="s">
        <v>945</v>
      </c>
      <c r="F20" s="231"/>
    </row>
    <row r="21" spans="3:6" x14ac:dyDescent="0.25">
      <c r="C21" t="s">
        <v>946</v>
      </c>
      <c r="F21" s="231"/>
    </row>
    <row r="22" spans="3:6" x14ac:dyDescent="0.25">
      <c r="F22" s="231"/>
    </row>
    <row r="23" spans="3:6" x14ac:dyDescent="0.25">
      <c r="F23" s="231"/>
    </row>
    <row r="24" spans="3:6" x14ac:dyDescent="0.25">
      <c r="F24" s="231"/>
    </row>
    <row r="25" spans="3:6" x14ac:dyDescent="0.25">
      <c r="F25" s="231"/>
    </row>
    <row r="26" spans="3:6" x14ac:dyDescent="0.25">
      <c r="F26" s="63"/>
    </row>
    <row r="65" spans="1:2" x14ac:dyDescent="0.25">
      <c r="A65" s="97"/>
      <c r="B65" s="97"/>
    </row>
    <row r="66" spans="1:2" x14ac:dyDescent="0.25">
      <c r="A66" s="97"/>
      <c r="B66" s="97"/>
    </row>
    <row r="67" spans="1:2" x14ac:dyDescent="0.25">
      <c r="A67" s="97"/>
      <c r="B67" s="97"/>
    </row>
    <row r="68" spans="1:2" x14ac:dyDescent="0.25">
      <c r="A68" s="97"/>
      <c r="B68" s="97"/>
    </row>
    <row r="69" spans="1:2" x14ac:dyDescent="0.25">
      <c r="A69" s="97"/>
      <c r="B69" s="97"/>
    </row>
  </sheetData>
  <mergeCells count="7">
    <mergeCell ref="A2:B2"/>
    <mergeCell ref="F15:F16"/>
    <mergeCell ref="C2:D2"/>
    <mergeCell ref="E2:E3"/>
    <mergeCell ref="F2:F3"/>
    <mergeCell ref="F9:F10"/>
    <mergeCell ref="F7:F8"/>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pane xSplit="2" ySplit="3" topLeftCell="G4" activePane="bottomRight" state="frozen"/>
      <selection activeCell="C3" sqref="C3:E3"/>
      <selection pane="topRight" activeCell="C3" sqref="C3:E3"/>
      <selection pane="bottomLeft" activeCell="C3" sqref="C3:E3"/>
      <selection pane="bottomRight" activeCell="H8" sqref="H8"/>
    </sheetView>
  </sheetViews>
  <sheetFormatPr baseColWidth="10" defaultColWidth="9.140625" defaultRowHeight="15" x14ac:dyDescent="0.25"/>
  <cols>
    <col min="1" max="1" width="9.28515625" style="50" bestFit="1" customWidth="1"/>
    <col min="2" max="2" width="15.140625" style="63" bestFit="1" customWidth="1"/>
    <col min="3" max="3" width="15" style="63" customWidth="1"/>
    <col min="4" max="5" width="15.140625" style="63" customWidth="1"/>
    <col min="6" max="6" width="45.85546875" style="63" bestFit="1" customWidth="1"/>
    <col min="7" max="7" width="27.42578125" style="63" bestFit="1" customWidth="1"/>
    <col min="8" max="8" width="117" style="53" customWidth="1"/>
    <col min="9" max="16384" width="9.140625" style="63"/>
  </cols>
  <sheetData>
    <row r="1" spans="1:8" hidden="1" x14ac:dyDescent="0.25">
      <c r="A1" s="269" t="s">
        <v>1130</v>
      </c>
      <c r="B1" s="269" t="s">
        <v>1131</v>
      </c>
      <c r="C1" s="432" t="s">
        <v>118</v>
      </c>
      <c r="D1" s="432" t="s">
        <v>119</v>
      </c>
      <c r="E1" s="432" t="s">
        <v>1162</v>
      </c>
      <c r="F1" s="430" t="s">
        <v>1135</v>
      </c>
      <c r="G1" s="430"/>
      <c r="H1" s="224"/>
    </row>
    <row r="2" spans="1:8" x14ac:dyDescent="0.25">
      <c r="A2" s="486" t="s">
        <v>997</v>
      </c>
      <c r="B2" s="487"/>
      <c r="C2" s="551" t="s">
        <v>466</v>
      </c>
      <c r="D2" s="552"/>
      <c r="E2" s="553"/>
      <c r="F2" s="533" t="s">
        <v>588</v>
      </c>
      <c r="G2" s="537" t="s">
        <v>667</v>
      </c>
      <c r="H2" s="533" t="s">
        <v>1</v>
      </c>
    </row>
    <row r="3" spans="1:8" x14ac:dyDescent="0.25">
      <c r="A3" s="383" t="s">
        <v>214</v>
      </c>
      <c r="B3" s="383" t="s">
        <v>996</v>
      </c>
      <c r="C3" s="314" t="s">
        <v>379</v>
      </c>
      <c r="D3" s="314" t="s">
        <v>399</v>
      </c>
      <c r="E3" s="441" t="s">
        <v>1159</v>
      </c>
      <c r="F3" s="533"/>
      <c r="G3" s="538"/>
      <c r="H3" s="533"/>
    </row>
    <row r="4" spans="1:8" x14ac:dyDescent="0.25">
      <c r="A4" s="142">
        <v>2014</v>
      </c>
      <c r="B4" s="142">
        <v>2013</v>
      </c>
      <c r="C4" s="46">
        <v>0</v>
      </c>
      <c r="D4" s="13">
        <v>10000</v>
      </c>
      <c r="E4" s="13">
        <v>8000</v>
      </c>
      <c r="F4" s="63" t="s">
        <v>644</v>
      </c>
      <c r="G4" s="1" t="s">
        <v>1158</v>
      </c>
      <c r="H4" s="53" t="s">
        <v>1161</v>
      </c>
    </row>
    <row r="5" spans="1:8" x14ac:dyDescent="0.25">
      <c r="A5" s="142">
        <v>2013</v>
      </c>
      <c r="B5" s="142">
        <v>2012</v>
      </c>
      <c r="C5" s="46">
        <v>0.04</v>
      </c>
      <c r="D5" s="13">
        <v>18000</v>
      </c>
      <c r="E5" s="86"/>
      <c r="F5" s="63" t="s">
        <v>644</v>
      </c>
      <c r="H5" s="312"/>
    </row>
    <row r="6" spans="1:8" x14ac:dyDescent="0.25">
      <c r="A6" s="142">
        <v>2012</v>
      </c>
      <c r="B6" s="142">
        <v>2011</v>
      </c>
      <c r="C6" s="46">
        <v>0.06</v>
      </c>
      <c r="D6" s="13">
        <v>18000</v>
      </c>
      <c r="E6" s="86"/>
      <c r="F6" s="63" t="s">
        <v>645</v>
      </c>
    </row>
    <row r="7" spans="1:8" x14ac:dyDescent="0.25">
      <c r="A7" s="142">
        <v>2011</v>
      </c>
      <c r="B7" s="142">
        <v>2010</v>
      </c>
      <c r="C7" s="46">
        <v>0.08</v>
      </c>
      <c r="D7" s="13">
        <v>20000</v>
      </c>
      <c r="E7" s="86"/>
      <c r="F7" t="s">
        <v>646</v>
      </c>
      <c r="G7"/>
    </row>
    <row r="8" spans="1:8" x14ac:dyDescent="0.25">
      <c r="A8" s="142">
        <v>2010</v>
      </c>
      <c r="B8" s="142">
        <v>2009</v>
      </c>
      <c r="C8" s="67">
        <v>0.1</v>
      </c>
      <c r="D8" s="72">
        <v>25000</v>
      </c>
      <c r="E8" s="86"/>
      <c r="F8" s="63" t="s">
        <v>1160</v>
      </c>
      <c r="H8" s="63"/>
    </row>
    <row r="9" spans="1:8" x14ac:dyDescent="0.25">
      <c r="A9" s="142">
        <v>2009</v>
      </c>
      <c r="B9" s="142">
        <v>2008</v>
      </c>
      <c r="C9" s="67">
        <v>0.1</v>
      </c>
      <c r="D9" s="72">
        <v>25000</v>
      </c>
      <c r="E9" s="86"/>
      <c r="F9" s="63" t="s">
        <v>647</v>
      </c>
    </row>
    <row r="10" spans="1:8" x14ac:dyDescent="0.25">
      <c r="A10" s="142">
        <v>2008</v>
      </c>
      <c r="B10" s="142">
        <v>2007</v>
      </c>
      <c r="C10" s="85"/>
      <c r="D10" s="86"/>
      <c r="E10" s="86"/>
    </row>
    <row r="12" spans="1:8" x14ac:dyDescent="0.25">
      <c r="C12" s="298" t="s">
        <v>511</v>
      </c>
    </row>
    <row r="13" spans="1:8" x14ac:dyDescent="0.25">
      <c r="C13" s="63" t="s">
        <v>579</v>
      </c>
    </row>
    <row r="14" spans="1:8" x14ac:dyDescent="0.25">
      <c r="C14" s="53" t="s">
        <v>580</v>
      </c>
    </row>
    <row r="15" spans="1:8" x14ac:dyDescent="0.25">
      <c r="C15" s="63" t="s">
        <v>1166</v>
      </c>
      <c r="E15" s="1" t="s">
        <v>1163</v>
      </c>
    </row>
    <row r="16" spans="1:8" x14ac:dyDescent="0.25">
      <c r="C16" s="63" t="s">
        <v>1164</v>
      </c>
      <c r="E16" s="1" t="s">
        <v>1165</v>
      </c>
    </row>
    <row r="65" spans="1:1" x14ac:dyDescent="0.25">
      <c r="A65" s="97"/>
    </row>
    <row r="66" spans="1:1" x14ac:dyDescent="0.25">
      <c r="A66" s="97"/>
    </row>
    <row r="67" spans="1:1" x14ac:dyDescent="0.25">
      <c r="A67" s="97"/>
    </row>
    <row r="68" spans="1:1" x14ac:dyDescent="0.25">
      <c r="A68" s="97"/>
    </row>
    <row r="69" spans="1:1" x14ac:dyDescent="0.25">
      <c r="A69" s="97"/>
    </row>
  </sheetData>
  <mergeCells count="5">
    <mergeCell ref="H2:H3"/>
    <mergeCell ref="F2:F3"/>
    <mergeCell ref="A2:B2"/>
    <mergeCell ref="C2:E2"/>
    <mergeCell ref="G2:G3"/>
  </mergeCells>
  <hyperlinks>
    <hyperlink ref="G4" r:id="rId1"/>
    <hyperlink ref="E15" r:id="rId2"/>
    <hyperlink ref="E16" r:id="rId3"/>
  </hyperlinks>
  <pageMargins left="0.7" right="0.7" top="0.75" bottom="0.75" header="0.3" footer="0.3"/>
  <pageSetup paperSize="9"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I32" sqref="I32"/>
    </sheetView>
  </sheetViews>
  <sheetFormatPr baseColWidth="10" defaultColWidth="20.7109375" defaultRowHeight="15" x14ac:dyDescent="0.25"/>
  <cols>
    <col min="1" max="1" width="7.5703125" style="50" bestFit="1" customWidth="1"/>
    <col min="2" max="2" width="12.85546875" style="50" bestFit="1" customWidth="1"/>
    <col min="5" max="5" width="23.28515625" customWidth="1"/>
    <col min="7" max="7" width="29" customWidth="1"/>
    <col min="8" max="8" width="19.5703125" customWidth="1"/>
    <col min="9" max="9" width="24.140625" customWidth="1"/>
    <col min="10" max="10" width="23.42578125" customWidth="1"/>
    <col min="18" max="18" width="15.5703125" customWidth="1"/>
    <col min="19" max="19" width="27.7109375" bestFit="1" customWidth="1"/>
    <col min="20" max="20" width="14.5703125" bestFit="1" customWidth="1"/>
    <col min="21" max="21" width="31" bestFit="1" customWidth="1"/>
    <col min="22" max="22" width="60.42578125" style="24" customWidth="1"/>
  </cols>
  <sheetData>
    <row r="1" spans="1:26" hidden="1" x14ac:dyDescent="0.25">
      <c r="A1" s="269" t="s">
        <v>1130</v>
      </c>
      <c r="B1" s="269" t="s">
        <v>1131</v>
      </c>
      <c r="C1" s="428" t="s">
        <v>25</v>
      </c>
      <c r="D1" s="428" t="s">
        <v>26</v>
      </c>
      <c r="E1" s="428" t="s">
        <v>27</v>
      </c>
      <c r="F1" s="432" t="s">
        <v>28</v>
      </c>
      <c r="G1" s="263" t="s">
        <v>29</v>
      </c>
      <c r="H1" s="263" t="s">
        <v>30</v>
      </c>
      <c r="I1" s="263" t="s">
        <v>31</v>
      </c>
      <c r="J1" s="263" t="s">
        <v>32</v>
      </c>
      <c r="K1" s="263" t="s">
        <v>33</v>
      </c>
      <c r="L1" s="263" t="s">
        <v>34</v>
      </c>
      <c r="M1" s="263" t="s">
        <v>35</v>
      </c>
      <c r="N1" s="263" t="s">
        <v>38</v>
      </c>
      <c r="O1" s="262" t="s">
        <v>39</v>
      </c>
      <c r="P1" s="263" t="s">
        <v>36</v>
      </c>
      <c r="Q1" s="263" t="s">
        <v>37</v>
      </c>
      <c r="R1" s="432" t="s">
        <v>40</v>
      </c>
      <c r="S1" s="428" t="s">
        <v>1135</v>
      </c>
      <c r="T1" s="428" t="s">
        <v>1134</v>
      </c>
      <c r="U1" s="2"/>
      <c r="V1" s="3"/>
      <c r="W1" s="14"/>
      <c r="X1" s="14"/>
      <c r="Y1" s="14"/>
      <c r="Z1" s="14"/>
    </row>
    <row r="2" spans="1:26" ht="27" customHeight="1" x14ac:dyDescent="0.25">
      <c r="A2" s="486" t="s">
        <v>997</v>
      </c>
      <c r="B2" s="487"/>
      <c r="C2" s="530" t="s">
        <v>455</v>
      </c>
      <c r="D2" s="530"/>
      <c r="E2" s="530"/>
      <c r="F2" s="530"/>
      <c r="G2" s="530"/>
      <c r="H2" s="530"/>
      <c r="I2" s="530"/>
      <c r="J2" s="530"/>
      <c r="K2" s="493" t="s">
        <v>462</v>
      </c>
      <c r="L2" s="493"/>
      <c r="M2" s="493"/>
      <c r="N2" s="492" t="s">
        <v>229</v>
      </c>
      <c r="O2" s="492"/>
      <c r="P2" s="507" t="s">
        <v>451</v>
      </c>
      <c r="Q2" s="507"/>
      <c r="R2" s="238" t="s">
        <v>454</v>
      </c>
      <c r="S2" s="543" t="s">
        <v>588</v>
      </c>
      <c r="T2" s="527" t="s">
        <v>0</v>
      </c>
      <c r="U2" s="543" t="s">
        <v>667</v>
      </c>
      <c r="V2" s="529" t="s">
        <v>1</v>
      </c>
      <c r="W2" s="14"/>
      <c r="X2" s="14"/>
      <c r="Y2" s="14"/>
      <c r="Z2" s="14"/>
    </row>
    <row r="3" spans="1:26" ht="75" x14ac:dyDescent="0.25">
      <c r="A3" s="383" t="s">
        <v>214</v>
      </c>
      <c r="B3" s="383" t="s">
        <v>996</v>
      </c>
      <c r="C3" s="240" t="s">
        <v>458</v>
      </c>
      <c r="D3" s="240" t="s">
        <v>457</v>
      </c>
      <c r="E3" s="240" t="s">
        <v>641</v>
      </c>
      <c r="F3" s="239" t="s">
        <v>459</v>
      </c>
      <c r="G3" s="168" t="s">
        <v>456</v>
      </c>
      <c r="H3" s="168" t="s">
        <v>642</v>
      </c>
      <c r="I3" s="168" t="s">
        <v>460</v>
      </c>
      <c r="J3" s="168" t="s">
        <v>461</v>
      </c>
      <c r="K3" s="168" t="s">
        <v>464</v>
      </c>
      <c r="L3" s="168" t="s">
        <v>463</v>
      </c>
      <c r="M3" s="168" t="s">
        <v>465</v>
      </c>
      <c r="N3" s="168" t="s">
        <v>435</v>
      </c>
      <c r="O3" s="167" t="s">
        <v>436</v>
      </c>
      <c r="P3" s="168" t="s">
        <v>452</v>
      </c>
      <c r="Q3" s="168" t="s">
        <v>453</v>
      </c>
      <c r="R3" s="239" t="s">
        <v>413</v>
      </c>
      <c r="S3" s="543"/>
      <c r="T3" s="528"/>
      <c r="U3" s="543"/>
      <c r="V3" s="529"/>
      <c r="W3" s="14"/>
      <c r="X3" s="14"/>
      <c r="Y3" s="14"/>
      <c r="Z3" s="14"/>
    </row>
    <row r="4" spans="1:26" x14ac:dyDescent="0.25">
      <c r="A4" s="142">
        <v>2008</v>
      </c>
      <c r="B4" s="142">
        <v>2007</v>
      </c>
      <c r="C4" s="29">
        <v>16251</v>
      </c>
      <c r="D4" s="29">
        <v>32498</v>
      </c>
      <c r="E4" s="29">
        <v>4490</v>
      </c>
      <c r="F4" s="29">
        <v>3743</v>
      </c>
      <c r="G4" s="29">
        <v>12475</v>
      </c>
      <c r="H4" s="29">
        <v>17451</v>
      </c>
      <c r="I4" s="29">
        <v>24950</v>
      </c>
      <c r="J4" s="29">
        <v>26572</v>
      </c>
      <c r="K4" s="37">
        <v>7.6999999999999999E-2</v>
      </c>
      <c r="L4" s="37">
        <v>0.193</v>
      </c>
      <c r="M4" s="37">
        <v>5.0999999999999997E-2</v>
      </c>
      <c r="N4" s="33">
        <v>0.85</v>
      </c>
      <c r="O4" s="33">
        <v>0.15</v>
      </c>
      <c r="P4" s="29">
        <v>83</v>
      </c>
      <c r="Q4" s="29">
        <v>36</v>
      </c>
      <c r="R4" s="29">
        <v>30</v>
      </c>
      <c r="S4" s="365" t="s">
        <v>838</v>
      </c>
      <c r="T4" s="218">
        <v>39443</v>
      </c>
      <c r="U4" s="282" t="s">
        <v>230</v>
      </c>
      <c r="V4" s="43"/>
      <c r="W4" s="36"/>
      <c r="X4" s="12"/>
      <c r="Y4" s="12"/>
      <c r="Z4" s="12"/>
    </row>
    <row r="5" spans="1:26" x14ac:dyDescent="0.25">
      <c r="A5" s="142">
        <v>2007</v>
      </c>
      <c r="B5" s="142">
        <v>2006</v>
      </c>
      <c r="C5" s="29">
        <v>16042</v>
      </c>
      <c r="D5" s="29">
        <v>32081</v>
      </c>
      <c r="E5" s="29">
        <v>4432</v>
      </c>
      <c r="F5" s="29">
        <v>3695</v>
      </c>
      <c r="G5" s="29">
        <v>12315</v>
      </c>
      <c r="H5" s="29">
        <v>17227</v>
      </c>
      <c r="I5" s="29">
        <v>24630</v>
      </c>
      <c r="J5" s="29">
        <v>26231</v>
      </c>
      <c r="K5" s="37">
        <v>7.6999999999999999E-2</v>
      </c>
      <c r="L5" s="37">
        <v>0.193</v>
      </c>
      <c r="M5" s="37">
        <v>5.0999999999999997E-2</v>
      </c>
      <c r="N5" s="33">
        <v>0.85</v>
      </c>
      <c r="O5" s="33">
        <v>0.15</v>
      </c>
      <c r="P5" s="29">
        <v>82</v>
      </c>
      <c r="Q5" s="29">
        <v>36</v>
      </c>
      <c r="R5" s="29">
        <v>30</v>
      </c>
      <c r="S5" s="212" t="s">
        <v>839</v>
      </c>
      <c r="T5" s="218">
        <v>39078</v>
      </c>
      <c r="U5" s="212" t="s">
        <v>231</v>
      </c>
      <c r="V5" s="43"/>
      <c r="W5" s="36"/>
      <c r="X5" s="12"/>
      <c r="Y5" s="12"/>
      <c r="Z5" s="12"/>
    </row>
    <row r="6" spans="1:26" x14ac:dyDescent="0.25">
      <c r="A6" s="142">
        <v>2006</v>
      </c>
      <c r="B6" s="142">
        <v>2005</v>
      </c>
      <c r="C6" s="29">
        <v>12606</v>
      </c>
      <c r="D6" s="29">
        <v>25211</v>
      </c>
      <c r="E6" s="29">
        <v>3483</v>
      </c>
      <c r="F6" s="29">
        <v>3570</v>
      </c>
      <c r="G6" s="29">
        <v>11899</v>
      </c>
      <c r="H6" s="29">
        <v>16659</v>
      </c>
      <c r="I6" s="29">
        <v>23798</v>
      </c>
      <c r="J6" s="29">
        <v>25376</v>
      </c>
      <c r="K6" s="38">
        <f>6.8/100</f>
        <v>6.8000000000000005E-2</v>
      </c>
      <c r="L6" s="37">
        <v>0.17</v>
      </c>
      <c r="M6" s="37">
        <v>5.5E-2</v>
      </c>
      <c r="N6" s="33">
        <v>0.65</v>
      </c>
      <c r="O6" s="33">
        <v>0.35</v>
      </c>
      <c r="P6" s="29">
        <v>81</v>
      </c>
      <c r="Q6" s="29">
        <v>35</v>
      </c>
      <c r="R6" s="29">
        <v>30</v>
      </c>
      <c r="S6" s="212" t="s">
        <v>840</v>
      </c>
      <c r="T6" s="218">
        <v>38717</v>
      </c>
      <c r="U6" s="212" t="s">
        <v>232</v>
      </c>
      <c r="V6" s="43"/>
      <c r="W6" s="28"/>
    </row>
    <row r="7" spans="1:26" x14ac:dyDescent="0.25">
      <c r="A7" s="142">
        <v>2005</v>
      </c>
      <c r="B7" s="142">
        <v>2004</v>
      </c>
      <c r="C7" s="29">
        <v>12383</v>
      </c>
      <c r="D7" s="29">
        <v>24765</v>
      </c>
      <c r="E7" s="29">
        <v>3421</v>
      </c>
      <c r="F7" s="29">
        <v>3507</v>
      </c>
      <c r="G7" s="29">
        <v>11869</v>
      </c>
      <c r="H7" s="29">
        <v>16364</v>
      </c>
      <c r="I7" s="29">
        <v>23377</v>
      </c>
      <c r="J7" s="29">
        <v>24927</v>
      </c>
      <c r="K7" s="37">
        <v>4.5999999999999999E-2</v>
      </c>
      <c r="L7" s="37">
        <v>0.115</v>
      </c>
      <c r="M7" s="37">
        <v>5.5E-2</v>
      </c>
      <c r="N7" s="33">
        <v>0.45</v>
      </c>
      <c r="O7" s="33">
        <v>0.55000000000000004</v>
      </c>
      <c r="P7" s="29">
        <v>81</v>
      </c>
      <c r="Q7" s="29">
        <v>34</v>
      </c>
      <c r="R7" s="29">
        <v>25</v>
      </c>
      <c r="S7" s="212" t="s">
        <v>951</v>
      </c>
      <c r="T7" s="218">
        <v>38352</v>
      </c>
      <c r="U7" s="212" t="s">
        <v>233</v>
      </c>
      <c r="V7" s="43"/>
      <c r="W7" s="28"/>
    </row>
    <row r="8" spans="1:26" x14ac:dyDescent="0.25">
      <c r="A8" s="142">
        <v>2004</v>
      </c>
      <c r="B8" s="142">
        <v>2003</v>
      </c>
      <c r="C8" s="29">
        <v>12176</v>
      </c>
      <c r="D8" s="29">
        <v>24351</v>
      </c>
      <c r="E8" s="29">
        <v>3364</v>
      </c>
      <c r="F8" s="29">
        <v>3372</v>
      </c>
      <c r="G8" s="29">
        <v>11239</v>
      </c>
      <c r="H8" s="29">
        <v>15735</v>
      </c>
      <c r="I8" s="29">
        <v>22478</v>
      </c>
      <c r="J8" s="29">
        <v>23968</v>
      </c>
      <c r="K8" s="37">
        <v>4.5999999999999999E-2</v>
      </c>
      <c r="L8" s="37">
        <v>0.115</v>
      </c>
      <c r="M8" s="37">
        <v>5.5E-2</v>
      </c>
      <c r="N8" s="33">
        <v>0.45</v>
      </c>
      <c r="O8" s="33">
        <v>0.55000000000000004</v>
      </c>
      <c r="P8" s="29">
        <v>80</v>
      </c>
      <c r="Q8" s="29">
        <v>33</v>
      </c>
      <c r="R8" s="29">
        <v>25</v>
      </c>
      <c r="S8" s="212" t="s">
        <v>842</v>
      </c>
      <c r="T8" s="218">
        <v>37986</v>
      </c>
      <c r="U8" s="212" t="s">
        <v>234</v>
      </c>
      <c r="V8" s="43"/>
      <c r="W8" s="28"/>
    </row>
    <row r="9" spans="1:26" x14ac:dyDescent="0.25">
      <c r="A9" s="142">
        <v>2003</v>
      </c>
      <c r="B9" s="142">
        <v>2002</v>
      </c>
      <c r="C9" s="29">
        <v>11972</v>
      </c>
      <c r="D9" s="29">
        <v>23944</v>
      </c>
      <c r="E9" s="29">
        <v>3308</v>
      </c>
      <c r="F9" s="29">
        <v>3265</v>
      </c>
      <c r="G9" s="29">
        <v>10882</v>
      </c>
      <c r="H9" s="29">
        <v>15235</v>
      </c>
      <c r="I9" s="29">
        <v>21764</v>
      </c>
      <c r="J9" s="29">
        <v>23207</v>
      </c>
      <c r="K9" s="37">
        <f>4.4/100</f>
        <v>4.4000000000000004E-2</v>
      </c>
      <c r="L9" s="37">
        <f>11/100</f>
        <v>0.11</v>
      </c>
      <c r="M9" s="37">
        <v>5.5E-2</v>
      </c>
      <c r="N9" s="33">
        <v>0.45</v>
      </c>
      <c r="O9" s="33">
        <v>0.55000000000000004</v>
      </c>
      <c r="P9" s="29">
        <v>79</v>
      </c>
      <c r="Q9" s="29">
        <v>32</v>
      </c>
      <c r="R9" s="29">
        <v>25</v>
      </c>
      <c r="S9" s="212" t="s">
        <v>843</v>
      </c>
      <c r="T9" s="218">
        <v>37621</v>
      </c>
      <c r="U9" s="212" t="s">
        <v>235</v>
      </c>
      <c r="V9" s="310" t="s">
        <v>643</v>
      </c>
      <c r="W9" s="28"/>
    </row>
    <row r="10" spans="1:26" x14ac:dyDescent="0.25">
      <c r="A10" s="142">
        <v>2002</v>
      </c>
      <c r="B10" s="142">
        <v>2001</v>
      </c>
      <c r="C10" s="29">
        <v>11772</v>
      </c>
      <c r="D10" s="29">
        <v>23544</v>
      </c>
      <c r="E10" s="29">
        <v>3253</v>
      </c>
      <c r="F10" s="29">
        <v>3187</v>
      </c>
      <c r="G10" s="29">
        <f>10623</f>
        <v>10623</v>
      </c>
      <c r="H10" s="29">
        <v>14872</v>
      </c>
      <c r="I10" s="29">
        <f>21246</f>
        <v>21246</v>
      </c>
      <c r="J10" s="29">
        <v>22654</v>
      </c>
      <c r="K10" s="37">
        <f>4.4/100</f>
        <v>4.4000000000000004E-2</v>
      </c>
      <c r="L10" s="37">
        <f>11/100</f>
        <v>0.11</v>
      </c>
      <c r="M10" s="37">
        <v>5.5E-2</v>
      </c>
      <c r="N10" s="82"/>
      <c r="O10" s="82"/>
      <c r="P10" s="29">
        <v>78</v>
      </c>
      <c r="Q10" s="29">
        <v>31</v>
      </c>
      <c r="R10" s="29">
        <v>25</v>
      </c>
      <c r="S10" s="212" t="s">
        <v>949</v>
      </c>
      <c r="T10" s="218"/>
      <c r="U10" s="212" t="s">
        <v>236</v>
      </c>
      <c r="V10" s="338"/>
      <c r="W10" s="28"/>
    </row>
    <row r="11" spans="1:26" x14ac:dyDescent="0.25">
      <c r="A11" s="142">
        <v>2001</v>
      </c>
      <c r="B11" s="142">
        <v>2000</v>
      </c>
      <c r="C11" s="34">
        <v>76000</v>
      </c>
      <c r="D11" s="34">
        <v>152000</v>
      </c>
      <c r="E11" s="34">
        <v>21000</v>
      </c>
      <c r="F11" s="34">
        <v>20575</v>
      </c>
      <c r="G11" s="34">
        <v>68583</v>
      </c>
      <c r="H11" s="34">
        <v>96016</v>
      </c>
      <c r="I11" s="34">
        <v>137166</v>
      </c>
      <c r="J11" s="34">
        <v>146257</v>
      </c>
      <c r="K11" s="37">
        <v>2.2000000000000002E-2</v>
      </c>
      <c r="L11" s="37">
        <v>5.5E-2</v>
      </c>
      <c r="M11" s="37">
        <v>5.5E-2</v>
      </c>
      <c r="N11" s="83"/>
      <c r="O11" s="83"/>
      <c r="P11" s="35">
        <v>500</v>
      </c>
      <c r="Q11" s="34">
        <v>200</v>
      </c>
      <c r="R11" s="34">
        <v>160</v>
      </c>
      <c r="S11" s="212" t="s">
        <v>950</v>
      </c>
      <c r="T11" s="218">
        <v>36891</v>
      </c>
      <c r="U11" s="212" t="s">
        <v>237</v>
      </c>
      <c r="V11" s="282" t="s">
        <v>763</v>
      </c>
      <c r="W11" s="28"/>
    </row>
    <row r="12" spans="1:26" x14ac:dyDescent="0.25">
      <c r="A12" s="142">
        <v>2000</v>
      </c>
      <c r="B12" s="142">
        <v>1999</v>
      </c>
      <c r="C12" s="83"/>
      <c r="D12" s="189"/>
      <c r="E12" s="189"/>
      <c r="F12" s="189"/>
      <c r="G12" s="83"/>
      <c r="H12" s="189"/>
      <c r="I12" s="189"/>
      <c r="J12" s="189"/>
      <c r="K12" s="83"/>
      <c r="L12" s="189"/>
      <c r="M12" s="189"/>
      <c r="N12" s="189"/>
      <c r="O12" s="83"/>
      <c r="P12" s="189"/>
      <c r="Q12" s="189"/>
      <c r="R12" s="189"/>
      <c r="S12" s="204"/>
      <c r="T12" s="218"/>
      <c r="U12" s="204"/>
      <c r="V12" s="96"/>
      <c r="W12" s="28"/>
    </row>
    <row r="13" spans="1:26" x14ac:dyDescent="0.25">
      <c r="C13" s="25"/>
      <c r="D13" s="16"/>
      <c r="E13" s="16"/>
      <c r="F13" s="16"/>
      <c r="G13" s="16"/>
      <c r="H13" s="19"/>
      <c r="I13" s="19"/>
      <c r="J13" s="19"/>
      <c r="K13" s="19"/>
      <c r="L13" s="19"/>
      <c r="M13" s="16"/>
      <c r="N13" s="16"/>
      <c r="O13" s="16"/>
      <c r="P13" s="16"/>
      <c r="Q13" s="16"/>
      <c r="R13" s="16"/>
      <c r="S13" s="5"/>
      <c r="T13" s="6"/>
      <c r="U13" s="5"/>
      <c r="V13" s="22"/>
    </row>
    <row r="14" spans="1:26" x14ac:dyDescent="0.25">
      <c r="C14" s="328" t="s">
        <v>508</v>
      </c>
      <c r="D14" s="16"/>
      <c r="E14" s="16"/>
      <c r="F14" s="16"/>
      <c r="G14" s="16"/>
      <c r="H14" s="19"/>
      <c r="I14" s="19"/>
      <c r="J14" s="19"/>
      <c r="K14" s="19"/>
      <c r="L14" s="19"/>
      <c r="M14" s="16"/>
      <c r="N14" s="16"/>
      <c r="O14" s="16"/>
      <c r="P14" s="16"/>
      <c r="Q14" s="16"/>
      <c r="R14" s="16"/>
      <c r="S14" s="5"/>
      <c r="T14" s="6"/>
      <c r="U14" s="5"/>
      <c r="V14" s="22"/>
    </row>
    <row r="15" spans="1:26" x14ac:dyDescent="0.25">
      <c r="C15" s="329" t="s">
        <v>578</v>
      </c>
      <c r="D15" s="16"/>
      <c r="E15" s="16"/>
      <c r="F15" s="16"/>
      <c r="G15" s="16"/>
      <c r="H15" s="19"/>
      <c r="I15" s="19"/>
      <c r="J15" s="19"/>
      <c r="K15" s="19"/>
      <c r="L15" s="19"/>
      <c r="M15" s="16"/>
      <c r="N15" s="16"/>
      <c r="O15" s="16"/>
      <c r="P15" s="16"/>
      <c r="Q15" s="16"/>
      <c r="R15" s="16"/>
      <c r="S15" s="5"/>
      <c r="T15" s="6"/>
      <c r="U15" s="5"/>
      <c r="V15" s="22"/>
    </row>
    <row r="16" spans="1:26" x14ac:dyDescent="0.25">
      <c r="C16" s="330"/>
      <c r="D16" s="16"/>
      <c r="E16" s="16"/>
      <c r="F16" s="16"/>
      <c r="G16" s="16"/>
      <c r="H16" s="19"/>
      <c r="I16" s="19"/>
      <c r="J16" s="19"/>
      <c r="K16" s="19"/>
      <c r="L16" s="19"/>
      <c r="M16" s="16"/>
      <c r="N16" s="16"/>
      <c r="O16" s="16"/>
      <c r="P16" s="16"/>
      <c r="Q16" s="16"/>
      <c r="R16" s="16"/>
      <c r="S16" s="5"/>
      <c r="T16" s="6"/>
      <c r="U16" s="5"/>
      <c r="V16" s="22"/>
    </row>
    <row r="17" spans="3:22" x14ac:dyDescent="0.25">
      <c r="C17" s="25"/>
      <c r="D17" s="16"/>
      <c r="E17" s="16"/>
      <c r="F17" s="16"/>
      <c r="G17" s="16"/>
      <c r="H17" s="19"/>
      <c r="I17" s="19"/>
      <c r="J17" s="19"/>
      <c r="K17" s="19"/>
      <c r="L17" s="19"/>
      <c r="M17" s="16"/>
      <c r="N17" s="16"/>
      <c r="O17" s="16"/>
      <c r="P17" s="16"/>
      <c r="Q17" s="16"/>
      <c r="R17" s="16"/>
      <c r="S17" s="5"/>
      <c r="T17" s="6"/>
      <c r="U17" s="5"/>
      <c r="V17" s="22"/>
    </row>
    <row r="18" spans="3:22" x14ac:dyDescent="0.25">
      <c r="C18" s="25"/>
      <c r="D18" s="16"/>
      <c r="E18" s="16"/>
      <c r="F18" s="16"/>
      <c r="G18" s="16"/>
      <c r="H18" s="19"/>
      <c r="I18" s="19"/>
      <c r="J18" s="19"/>
      <c r="K18" s="19"/>
      <c r="L18" s="19"/>
      <c r="M18" s="16"/>
      <c r="N18" s="16"/>
      <c r="O18" s="16"/>
      <c r="P18" s="16"/>
      <c r="Q18" s="16"/>
      <c r="R18" s="16"/>
      <c r="S18" s="5"/>
      <c r="T18" s="6"/>
      <c r="U18" s="5"/>
      <c r="V18" s="22"/>
    </row>
    <row r="19" spans="3:22" x14ac:dyDescent="0.25">
      <c r="C19" s="25"/>
      <c r="D19" s="16"/>
      <c r="E19" s="16"/>
      <c r="F19" s="16"/>
      <c r="G19" s="16"/>
      <c r="H19" s="19"/>
      <c r="I19" s="19"/>
      <c r="J19" s="19"/>
      <c r="K19" s="19"/>
      <c r="L19" s="19"/>
      <c r="M19" s="16"/>
      <c r="N19" s="16"/>
      <c r="O19" s="16"/>
      <c r="P19" s="16"/>
      <c r="Q19" s="16"/>
      <c r="R19" s="16"/>
      <c r="S19" s="5"/>
      <c r="T19" s="6"/>
      <c r="U19" s="5"/>
      <c r="V19" s="22"/>
    </row>
    <row r="20" spans="3:22" x14ac:dyDescent="0.25">
      <c r="C20" s="25"/>
      <c r="D20" s="16"/>
      <c r="E20" s="16"/>
      <c r="F20" s="16"/>
      <c r="G20" s="16"/>
      <c r="H20" s="19"/>
      <c r="I20" s="19"/>
      <c r="J20" s="19"/>
      <c r="K20" s="19"/>
      <c r="L20" s="19"/>
      <c r="M20" s="16"/>
      <c r="N20" s="16"/>
      <c r="O20" s="16"/>
      <c r="P20" s="16"/>
      <c r="Q20" s="16"/>
      <c r="R20" s="16"/>
      <c r="S20" s="5"/>
      <c r="T20" s="6"/>
      <c r="U20" s="5"/>
      <c r="V20" s="22"/>
    </row>
    <row r="21" spans="3:22" x14ac:dyDescent="0.25">
      <c r="C21" s="25"/>
      <c r="D21" s="16"/>
      <c r="E21" s="16"/>
      <c r="F21" s="16"/>
      <c r="G21" s="16"/>
      <c r="H21" s="19"/>
      <c r="I21" s="19"/>
      <c r="J21" s="19"/>
      <c r="K21" s="19"/>
      <c r="L21" s="19"/>
      <c r="M21" s="16"/>
      <c r="N21" s="16"/>
      <c r="O21" s="16"/>
      <c r="P21" s="16"/>
      <c r="Q21" s="16"/>
      <c r="R21" s="16"/>
      <c r="S21" s="5"/>
      <c r="T21" s="6"/>
      <c r="U21" s="5"/>
      <c r="V21" s="22"/>
    </row>
    <row r="22" spans="3:22" x14ac:dyDescent="0.25">
      <c r="C22" s="25"/>
      <c r="D22" s="16"/>
      <c r="E22" s="16"/>
      <c r="F22" s="16"/>
      <c r="G22" s="16"/>
      <c r="H22" s="19"/>
      <c r="I22" s="19"/>
      <c r="J22" s="19"/>
      <c r="K22" s="19"/>
      <c r="L22" s="19"/>
      <c r="M22" s="16"/>
      <c r="N22" s="16"/>
      <c r="O22" s="16"/>
      <c r="P22" s="16"/>
      <c r="Q22" s="16"/>
      <c r="R22" s="16"/>
      <c r="S22" s="5"/>
      <c r="T22" s="6"/>
      <c r="U22" s="5"/>
      <c r="V22" s="22"/>
    </row>
    <row r="23" spans="3:22" x14ac:dyDescent="0.25">
      <c r="C23" s="25"/>
      <c r="D23" s="16"/>
      <c r="E23" s="16"/>
      <c r="F23" s="16"/>
      <c r="G23" s="16"/>
      <c r="H23" s="19"/>
      <c r="I23" s="19"/>
      <c r="J23" s="19"/>
      <c r="K23" s="19"/>
      <c r="L23" s="19"/>
      <c r="M23" s="16"/>
      <c r="N23" s="16"/>
      <c r="O23" s="16"/>
      <c r="P23" s="16"/>
      <c r="Q23" s="16"/>
      <c r="R23" s="16"/>
      <c r="S23" s="5"/>
      <c r="T23" s="6"/>
      <c r="U23" s="5"/>
      <c r="V23" s="22"/>
    </row>
    <row r="24" spans="3:22" x14ac:dyDescent="0.25">
      <c r="C24" s="25"/>
      <c r="D24" s="16"/>
      <c r="E24" s="16"/>
      <c r="F24" s="16"/>
      <c r="G24" s="16"/>
      <c r="H24" s="19"/>
      <c r="I24" s="19"/>
      <c r="J24" s="19"/>
      <c r="K24" s="19"/>
      <c r="L24" s="19"/>
      <c r="M24" s="16"/>
      <c r="N24" s="16"/>
      <c r="O24" s="16"/>
      <c r="P24" s="16"/>
      <c r="Q24" s="16"/>
      <c r="R24" s="16"/>
      <c r="S24" s="5"/>
      <c r="T24" s="6"/>
      <c r="U24" s="5"/>
      <c r="V24" s="22"/>
    </row>
    <row r="25" spans="3:22" x14ac:dyDescent="0.25">
      <c r="C25" s="25"/>
      <c r="D25" s="16"/>
      <c r="E25" s="16"/>
      <c r="F25" s="16"/>
      <c r="G25" s="16"/>
      <c r="H25" s="19"/>
      <c r="I25" s="19"/>
      <c r="J25" s="19"/>
      <c r="K25" s="19"/>
      <c r="L25" s="19"/>
      <c r="M25" s="16"/>
      <c r="N25" s="16"/>
      <c r="O25" s="16"/>
      <c r="P25" s="16"/>
      <c r="Q25" s="16"/>
      <c r="R25" s="16"/>
      <c r="S25" s="5"/>
      <c r="T25" s="6"/>
      <c r="U25" s="5"/>
      <c r="V25" s="22"/>
    </row>
    <row r="26" spans="3:22" x14ac:dyDescent="0.25">
      <c r="C26" s="25"/>
      <c r="D26" s="16"/>
      <c r="E26" s="16"/>
      <c r="F26" s="16"/>
      <c r="G26" s="16"/>
      <c r="H26" s="19"/>
      <c r="I26" s="19"/>
      <c r="J26" s="19"/>
      <c r="K26" s="19"/>
      <c r="L26" s="19"/>
      <c r="M26" s="16"/>
      <c r="N26" s="16"/>
      <c r="O26" s="16"/>
      <c r="P26" s="16"/>
      <c r="Q26" s="16"/>
      <c r="R26" s="16"/>
      <c r="S26" s="5"/>
      <c r="T26" s="6"/>
      <c r="U26" s="5"/>
      <c r="V26" s="22"/>
    </row>
    <row r="27" spans="3:22" x14ac:dyDescent="0.25">
      <c r="C27" s="25"/>
      <c r="D27" s="16"/>
      <c r="E27" s="16"/>
      <c r="F27" s="16"/>
      <c r="G27" s="16"/>
      <c r="H27" s="19"/>
      <c r="I27" s="19"/>
      <c r="J27" s="19"/>
      <c r="K27" s="19"/>
      <c r="L27" s="19"/>
      <c r="M27" s="16"/>
      <c r="N27" s="16"/>
      <c r="O27" s="16"/>
      <c r="P27" s="16"/>
      <c r="Q27" s="16"/>
      <c r="R27" s="16"/>
      <c r="S27" s="5"/>
      <c r="T27" s="6"/>
      <c r="U27" s="5"/>
      <c r="V27" s="22"/>
    </row>
    <row r="28" spans="3:22" x14ac:dyDescent="0.25">
      <c r="C28" s="25"/>
      <c r="D28" s="16"/>
      <c r="E28" s="16"/>
      <c r="F28" s="16"/>
      <c r="G28" s="16"/>
      <c r="H28" s="19"/>
      <c r="I28" s="19"/>
      <c r="J28" s="19"/>
      <c r="K28" s="19"/>
      <c r="L28" s="19"/>
      <c r="M28" s="16"/>
      <c r="N28" s="16"/>
      <c r="O28" s="16"/>
      <c r="P28" s="16"/>
      <c r="Q28" s="16"/>
      <c r="R28" s="16"/>
      <c r="S28" s="5"/>
      <c r="T28" s="6"/>
      <c r="U28" s="5"/>
      <c r="V28" s="22"/>
    </row>
    <row r="29" spans="3:22" x14ac:dyDescent="0.25">
      <c r="C29" s="25"/>
      <c r="D29" s="16"/>
      <c r="E29" s="16"/>
      <c r="F29" s="16"/>
      <c r="G29" s="16"/>
      <c r="H29" s="19"/>
      <c r="I29" s="19"/>
      <c r="J29" s="19"/>
      <c r="K29" s="19"/>
      <c r="L29" s="19"/>
      <c r="M29" s="16"/>
      <c r="N29" s="16"/>
      <c r="O29" s="16"/>
      <c r="P29" s="16"/>
      <c r="Q29" s="16"/>
      <c r="R29" s="16"/>
      <c r="S29" s="5"/>
      <c r="T29" s="6"/>
      <c r="U29" s="5"/>
      <c r="V29" s="22"/>
    </row>
    <row r="30" spans="3:22" x14ac:dyDescent="0.25">
      <c r="C30" s="25"/>
      <c r="D30" s="16"/>
      <c r="E30" s="16"/>
      <c r="F30" s="16"/>
      <c r="G30" s="16"/>
      <c r="H30" s="19"/>
      <c r="I30" s="19"/>
      <c r="J30" s="19"/>
      <c r="K30" s="19"/>
      <c r="L30" s="19"/>
      <c r="M30" s="16"/>
      <c r="N30" s="16"/>
      <c r="O30" s="16"/>
      <c r="P30" s="16"/>
      <c r="Q30" s="16"/>
      <c r="R30" s="16"/>
      <c r="S30" s="5"/>
      <c r="T30" s="6"/>
      <c r="U30" s="5"/>
      <c r="V30" s="22"/>
    </row>
    <row r="31" spans="3:22" x14ac:dyDescent="0.25">
      <c r="C31" s="25"/>
      <c r="D31" s="16"/>
      <c r="E31" s="16"/>
      <c r="F31" s="16"/>
      <c r="G31" s="16"/>
      <c r="H31" s="19"/>
      <c r="I31" s="19"/>
      <c r="J31" s="19"/>
      <c r="K31" s="19"/>
      <c r="L31" s="19"/>
      <c r="M31" s="16"/>
      <c r="N31" s="16"/>
      <c r="O31" s="16"/>
      <c r="P31" s="16"/>
      <c r="Q31" s="16"/>
      <c r="R31" s="16"/>
      <c r="S31" s="5"/>
      <c r="T31" s="6"/>
      <c r="U31" s="5"/>
      <c r="V31" s="22"/>
    </row>
    <row r="32" spans="3:22" x14ac:dyDescent="0.25">
      <c r="C32" s="25"/>
      <c r="D32" s="16"/>
      <c r="E32" s="16"/>
      <c r="F32" s="16"/>
      <c r="G32" s="16"/>
      <c r="H32" s="19"/>
      <c r="I32" s="19"/>
      <c r="J32" s="19"/>
      <c r="K32" s="19"/>
      <c r="L32" s="19"/>
      <c r="M32" s="16"/>
      <c r="N32" s="16"/>
      <c r="O32" s="16"/>
      <c r="P32" s="16"/>
      <c r="Q32" s="16"/>
      <c r="R32" s="16"/>
      <c r="S32" s="5"/>
      <c r="T32" s="6"/>
      <c r="U32" s="5"/>
      <c r="V32" s="22"/>
    </row>
    <row r="33" spans="3:22" x14ac:dyDescent="0.25">
      <c r="C33" s="25"/>
      <c r="D33" s="16"/>
      <c r="E33" s="16"/>
      <c r="F33" s="16"/>
      <c r="G33" s="16"/>
      <c r="H33" s="19"/>
      <c r="I33" s="19"/>
      <c r="J33" s="19"/>
      <c r="K33" s="19"/>
      <c r="L33" s="19"/>
      <c r="M33" s="16"/>
      <c r="N33" s="16"/>
      <c r="O33" s="16"/>
      <c r="P33" s="16"/>
      <c r="Q33" s="16"/>
      <c r="R33" s="16"/>
      <c r="S33" s="5"/>
      <c r="T33" s="6"/>
      <c r="U33" s="5"/>
      <c r="V33" s="23"/>
    </row>
    <row r="34" spans="3:22" x14ac:dyDescent="0.25">
      <c r="C34" s="25"/>
      <c r="D34" s="16"/>
      <c r="E34" s="16"/>
      <c r="F34" s="16"/>
      <c r="G34" s="16"/>
      <c r="H34" s="19"/>
      <c r="I34" s="19"/>
      <c r="J34" s="19"/>
      <c r="K34" s="19"/>
      <c r="L34" s="19"/>
      <c r="M34" s="16"/>
      <c r="N34" s="16"/>
      <c r="O34" s="16"/>
      <c r="P34" s="16"/>
      <c r="Q34" s="16"/>
      <c r="R34" s="16"/>
      <c r="S34" s="8"/>
      <c r="T34" s="9"/>
      <c r="U34" s="8"/>
      <c r="V34" s="23"/>
    </row>
    <row r="35" spans="3:22" x14ac:dyDescent="0.25">
      <c r="C35" s="25"/>
      <c r="D35" s="16"/>
      <c r="E35" s="16"/>
      <c r="F35" s="16"/>
      <c r="G35" s="16"/>
      <c r="H35" s="19"/>
      <c r="I35" s="19"/>
      <c r="J35" s="19"/>
      <c r="K35" s="19"/>
      <c r="L35" s="19"/>
      <c r="M35" s="16"/>
      <c r="N35" s="16"/>
      <c r="O35" s="16"/>
      <c r="P35" s="16"/>
      <c r="Q35" s="16"/>
      <c r="R35" s="16"/>
      <c r="S35" s="8"/>
      <c r="T35" s="8"/>
      <c r="U35" s="8"/>
      <c r="V35" s="23"/>
    </row>
    <row r="36" spans="3:22" x14ac:dyDescent="0.25">
      <c r="C36" s="25"/>
      <c r="D36" s="16"/>
      <c r="E36" s="16"/>
      <c r="F36" s="16"/>
      <c r="G36" s="16"/>
      <c r="H36" s="19"/>
      <c r="I36" s="19"/>
      <c r="J36" s="19"/>
      <c r="K36" s="19"/>
      <c r="L36" s="19"/>
      <c r="M36" s="16"/>
      <c r="N36" s="16"/>
      <c r="O36" s="16"/>
      <c r="P36" s="16"/>
      <c r="Q36" s="16"/>
      <c r="R36" s="16"/>
      <c r="S36" s="8"/>
      <c r="T36" s="8"/>
      <c r="U36" s="8"/>
      <c r="V36" s="23"/>
    </row>
    <row r="37" spans="3:22" x14ac:dyDescent="0.25">
      <c r="C37" s="25"/>
      <c r="D37" s="16"/>
      <c r="E37" s="16"/>
      <c r="F37" s="16"/>
      <c r="G37" s="16"/>
      <c r="H37" s="19"/>
      <c r="I37" s="19"/>
      <c r="J37" s="19"/>
      <c r="K37" s="19"/>
      <c r="L37" s="19"/>
      <c r="M37" s="16"/>
      <c r="N37" s="16"/>
      <c r="O37" s="16"/>
      <c r="P37" s="16"/>
      <c r="Q37" s="16"/>
      <c r="R37" s="16"/>
      <c r="S37" s="8"/>
      <c r="T37" s="8"/>
      <c r="U37" s="8"/>
      <c r="V37" s="23"/>
    </row>
    <row r="38" spans="3:22" x14ac:dyDescent="0.25">
      <c r="C38" s="25"/>
      <c r="D38" s="16"/>
      <c r="E38" s="16"/>
      <c r="F38" s="16"/>
      <c r="G38" s="16"/>
      <c r="H38" s="19"/>
      <c r="I38" s="19"/>
      <c r="J38" s="19"/>
      <c r="K38" s="19"/>
      <c r="L38" s="19"/>
      <c r="M38" s="16"/>
      <c r="N38" s="16"/>
      <c r="O38" s="16"/>
      <c r="P38" s="16"/>
      <c r="Q38" s="16"/>
      <c r="R38" s="16"/>
      <c r="S38" s="8"/>
      <c r="T38" s="8"/>
      <c r="U38" s="8"/>
      <c r="V38" s="23"/>
    </row>
    <row r="39" spans="3:22" x14ac:dyDescent="0.25">
      <c r="C39" s="25"/>
      <c r="D39" s="16"/>
      <c r="E39" s="16"/>
      <c r="F39" s="16"/>
      <c r="G39" s="16"/>
      <c r="H39" s="19"/>
      <c r="I39" s="19"/>
      <c r="J39" s="19"/>
      <c r="K39" s="19"/>
      <c r="L39" s="19"/>
      <c r="M39" s="16"/>
      <c r="N39" s="16"/>
      <c r="O39" s="16"/>
      <c r="P39" s="16"/>
      <c r="Q39" s="16"/>
      <c r="R39" s="16"/>
      <c r="S39" s="8"/>
      <c r="T39" s="8"/>
      <c r="U39" s="8"/>
      <c r="V39" s="23"/>
    </row>
    <row r="40" spans="3:22" x14ac:dyDescent="0.25">
      <c r="C40" s="25"/>
      <c r="D40" s="16"/>
      <c r="E40" s="16"/>
      <c r="F40" s="16"/>
      <c r="G40" s="16"/>
      <c r="H40" s="19"/>
      <c r="I40" s="19"/>
      <c r="J40" s="19"/>
      <c r="K40" s="19"/>
      <c r="L40" s="19"/>
      <c r="M40" s="16"/>
      <c r="N40" s="16"/>
      <c r="O40" s="16"/>
      <c r="P40" s="16"/>
      <c r="Q40" s="16"/>
      <c r="R40" s="16"/>
      <c r="S40" s="8"/>
      <c r="T40" s="8"/>
      <c r="U40" s="8"/>
      <c r="V40" s="23"/>
    </row>
    <row r="41" spans="3:22" x14ac:dyDescent="0.25">
      <c r="C41" s="25"/>
      <c r="D41" s="16"/>
      <c r="E41" s="16"/>
      <c r="F41" s="16"/>
      <c r="G41" s="16"/>
      <c r="H41" s="19"/>
      <c r="I41" s="19"/>
      <c r="J41" s="19"/>
      <c r="K41" s="19"/>
      <c r="L41" s="19"/>
      <c r="M41" s="16"/>
      <c r="N41" s="16"/>
      <c r="O41" s="16"/>
      <c r="P41" s="16"/>
      <c r="Q41" s="16"/>
      <c r="R41" s="16"/>
      <c r="S41" s="8"/>
      <c r="T41" s="8"/>
      <c r="U41" s="8"/>
      <c r="V41" s="23"/>
    </row>
    <row r="42" spans="3:22" x14ac:dyDescent="0.25">
      <c r="C42" s="25"/>
      <c r="D42" s="16"/>
      <c r="E42" s="16"/>
      <c r="F42" s="16"/>
      <c r="G42" s="16"/>
      <c r="H42" s="19"/>
      <c r="I42" s="19"/>
      <c r="J42" s="19"/>
      <c r="K42" s="19"/>
      <c r="L42" s="19"/>
      <c r="M42" s="16"/>
      <c r="N42" s="16"/>
      <c r="O42" s="16"/>
      <c r="P42" s="16"/>
      <c r="Q42" s="16"/>
      <c r="R42" s="16"/>
      <c r="S42" s="8"/>
      <c r="T42" s="8"/>
      <c r="U42" s="8"/>
      <c r="V42" s="23"/>
    </row>
    <row r="43" spans="3:22" x14ac:dyDescent="0.25">
      <c r="C43" s="25"/>
      <c r="D43" s="16"/>
      <c r="E43" s="16"/>
      <c r="F43" s="16"/>
      <c r="G43" s="16"/>
      <c r="H43" s="19"/>
      <c r="I43" s="19"/>
      <c r="J43" s="19"/>
      <c r="K43" s="19"/>
      <c r="L43" s="19"/>
      <c r="M43" s="16"/>
      <c r="N43" s="16"/>
      <c r="O43" s="16"/>
      <c r="P43" s="16"/>
      <c r="Q43" s="16"/>
      <c r="R43" s="16"/>
      <c r="S43" s="8"/>
      <c r="T43" s="8"/>
      <c r="U43" s="8"/>
      <c r="V43" s="23"/>
    </row>
    <row r="44" spans="3:22" x14ac:dyDescent="0.25">
      <c r="C44" s="25"/>
      <c r="D44" s="16"/>
      <c r="E44" s="16"/>
      <c r="F44" s="16"/>
      <c r="G44" s="16"/>
      <c r="H44" s="19"/>
      <c r="I44" s="19"/>
      <c r="J44" s="19"/>
      <c r="K44" s="19"/>
      <c r="L44" s="19"/>
      <c r="M44" s="16"/>
      <c r="N44" s="16"/>
      <c r="O44" s="16"/>
      <c r="P44" s="16"/>
      <c r="Q44" s="16"/>
      <c r="R44" s="16"/>
      <c r="S44" s="8"/>
      <c r="T44" s="8"/>
      <c r="U44" s="8"/>
      <c r="V44" s="23"/>
    </row>
    <row r="45" spans="3:22" x14ac:dyDescent="0.25">
      <c r="C45" s="25"/>
      <c r="D45" s="16"/>
      <c r="E45" s="16"/>
      <c r="F45" s="16"/>
      <c r="G45" s="16"/>
      <c r="H45" s="19"/>
      <c r="I45" s="19"/>
      <c r="J45" s="19"/>
      <c r="K45" s="19"/>
      <c r="L45" s="19"/>
      <c r="M45" s="16"/>
      <c r="N45" s="16"/>
      <c r="O45" s="16"/>
      <c r="P45" s="16"/>
      <c r="Q45" s="16"/>
      <c r="R45" s="16"/>
      <c r="S45" s="8"/>
      <c r="T45" s="8"/>
      <c r="U45" s="8"/>
      <c r="V45" s="23"/>
    </row>
    <row r="46" spans="3:22" x14ac:dyDescent="0.25">
      <c r="C46" s="25"/>
      <c r="D46" s="16"/>
      <c r="E46" s="16"/>
      <c r="F46" s="16"/>
      <c r="G46" s="16"/>
      <c r="H46" s="19"/>
      <c r="I46" s="19"/>
      <c r="J46" s="19"/>
      <c r="K46" s="19"/>
      <c r="L46" s="19"/>
      <c r="M46" s="16"/>
      <c r="N46" s="16"/>
      <c r="O46" s="16"/>
      <c r="P46" s="16"/>
      <c r="Q46" s="16"/>
      <c r="R46" s="16"/>
      <c r="S46" s="8"/>
      <c r="T46" s="8"/>
      <c r="U46" s="8"/>
      <c r="V46" s="23"/>
    </row>
    <row r="47" spans="3:22" x14ac:dyDescent="0.25">
      <c r="C47" s="25"/>
      <c r="D47" s="16"/>
      <c r="E47" s="16"/>
      <c r="F47" s="16"/>
      <c r="G47" s="16"/>
      <c r="H47" s="19"/>
      <c r="I47" s="19"/>
      <c r="J47" s="19"/>
      <c r="K47" s="19"/>
      <c r="L47" s="19"/>
      <c r="M47" s="16"/>
      <c r="N47" s="16"/>
      <c r="O47" s="16"/>
      <c r="P47" s="16"/>
      <c r="Q47" s="16"/>
      <c r="R47" s="16"/>
      <c r="S47" s="8"/>
      <c r="T47" s="8"/>
      <c r="U47" s="8"/>
      <c r="V47" s="22"/>
    </row>
    <row r="48" spans="3:22" x14ac:dyDescent="0.25">
      <c r="C48" s="25"/>
      <c r="D48" s="16"/>
      <c r="E48" s="16"/>
      <c r="F48" s="16"/>
      <c r="G48" s="16"/>
      <c r="H48" s="19"/>
      <c r="I48" s="19"/>
      <c r="J48" s="19"/>
      <c r="K48" s="19"/>
      <c r="L48" s="19"/>
      <c r="M48" s="16"/>
      <c r="N48" s="16"/>
      <c r="O48" s="16"/>
      <c r="P48" s="16"/>
      <c r="Q48" s="16"/>
      <c r="R48" s="16"/>
      <c r="S48" s="8"/>
      <c r="T48" s="8"/>
      <c r="U48" s="8"/>
      <c r="V48" s="23"/>
    </row>
    <row r="49" spans="3:22" x14ac:dyDescent="0.25">
      <c r="C49" s="25"/>
      <c r="D49" s="16"/>
      <c r="E49" s="16"/>
      <c r="F49" s="16"/>
      <c r="G49" s="16"/>
      <c r="H49" s="19"/>
      <c r="I49" s="19"/>
      <c r="J49" s="19"/>
      <c r="K49" s="19"/>
      <c r="L49" s="19"/>
      <c r="M49" s="16"/>
      <c r="N49" s="16"/>
      <c r="O49" s="16"/>
      <c r="P49" s="16"/>
      <c r="Q49" s="16"/>
      <c r="R49" s="16"/>
      <c r="S49" s="8"/>
      <c r="T49" s="8"/>
      <c r="U49" s="8"/>
      <c r="V49" s="23"/>
    </row>
    <row r="50" spans="3:22" x14ac:dyDescent="0.25">
      <c r="C50" s="25"/>
      <c r="D50" s="16"/>
      <c r="E50" s="16"/>
      <c r="F50" s="16"/>
      <c r="G50" s="16"/>
      <c r="H50" s="19"/>
      <c r="I50" s="19"/>
      <c r="J50" s="19"/>
      <c r="K50" s="19"/>
      <c r="L50" s="19"/>
      <c r="M50" s="16"/>
      <c r="N50" s="16"/>
      <c r="O50" s="16"/>
      <c r="P50" s="16"/>
      <c r="Q50" s="16"/>
      <c r="R50" s="16"/>
      <c r="S50" s="8"/>
      <c r="T50" s="8"/>
      <c r="U50" s="8"/>
      <c r="V50" s="23"/>
    </row>
    <row r="51" spans="3:22" x14ac:dyDescent="0.25">
      <c r="C51" s="25"/>
      <c r="D51" s="16"/>
      <c r="E51" s="16"/>
      <c r="F51" s="16"/>
      <c r="G51" s="16"/>
      <c r="H51" s="19"/>
      <c r="I51" s="19"/>
      <c r="J51" s="19"/>
      <c r="K51" s="19"/>
      <c r="L51" s="19"/>
      <c r="M51" s="16"/>
      <c r="N51" s="16"/>
      <c r="O51" s="16"/>
      <c r="P51" s="16"/>
      <c r="Q51" s="16"/>
      <c r="R51" s="16"/>
      <c r="S51" s="8"/>
      <c r="T51" s="8"/>
      <c r="U51" s="8"/>
      <c r="V51" s="23"/>
    </row>
    <row r="52" spans="3:22" x14ac:dyDescent="0.25">
      <c r="C52" s="25"/>
      <c r="D52" s="18"/>
      <c r="E52" s="18"/>
      <c r="F52" s="18"/>
      <c r="G52" s="18"/>
      <c r="H52" s="20"/>
      <c r="I52" s="20"/>
      <c r="J52" s="20"/>
      <c r="K52" s="20"/>
      <c r="L52" s="20"/>
      <c r="M52" s="18"/>
      <c r="N52" s="18"/>
      <c r="O52" s="18"/>
      <c r="P52" s="18"/>
      <c r="Q52" s="18"/>
      <c r="R52" s="18"/>
      <c r="S52" s="8"/>
      <c r="T52" s="8"/>
      <c r="U52" s="8"/>
      <c r="V52" s="23"/>
    </row>
    <row r="53" spans="3:22" x14ac:dyDescent="0.25">
      <c r="C53" s="25"/>
      <c r="D53" s="18"/>
      <c r="E53" s="18"/>
      <c r="F53" s="18"/>
      <c r="G53" s="18"/>
      <c r="H53" s="20"/>
      <c r="I53" s="20"/>
      <c r="J53" s="20"/>
      <c r="K53" s="20"/>
      <c r="L53" s="20"/>
      <c r="M53" s="18"/>
      <c r="N53" s="18"/>
      <c r="O53" s="18"/>
      <c r="P53" s="18"/>
      <c r="Q53" s="18"/>
      <c r="R53" s="18"/>
      <c r="S53" s="8"/>
      <c r="T53" s="8"/>
      <c r="U53" s="8"/>
      <c r="V53" s="23"/>
    </row>
    <row r="54" spans="3:22" x14ac:dyDescent="0.25">
      <c r="C54" s="25"/>
      <c r="D54" s="18"/>
      <c r="E54" s="18"/>
      <c r="F54" s="18"/>
      <c r="G54" s="18"/>
      <c r="H54" s="20"/>
      <c r="I54" s="20"/>
      <c r="J54" s="20"/>
      <c r="K54" s="20"/>
      <c r="L54" s="20"/>
      <c r="M54" s="18"/>
      <c r="N54" s="18"/>
      <c r="O54" s="18"/>
      <c r="P54" s="18"/>
      <c r="Q54" s="18"/>
      <c r="R54" s="18"/>
      <c r="S54" s="8"/>
      <c r="T54" s="8"/>
      <c r="U54" s="8"/>
      <c r="V54" s="23"/>
    </row>
    <row r="55" spans="3:22" x14ac:dyDescent="0.25">
      <c r="C55" s="25"/>
      <c r="D55" s="18"/>
      <c r="E55" s="18"/>
      <c r="F55" s="18"/>
      <c r="G55" s="18"/>
      <c r="H55" s="20"/>
      <c r="I55" s="20"/>
      <c r="J55" s="20"/>
      <c r="K55" s="20"/>
      <c r="L55" s="20"/>
      <c r="M55" s="18"/>
      <c r="N55" s="18"/>
      <c r="O55" s="18"/>
      <c r="P55" s="18"/>
      <c r="Q55" s="18"/>
      <c r="R55" s="18"/>
      <c r="S55" s="8"/>
      <c r="T55" s="8"/>
      <c r="U55" s="8"/>
      <c r="V55" s="23"/>
    </row>
    <row r="56" spans="3:22" x14ac:dyDescent="0.25">
      <c r="C56" s="25"/>
      <c r="D56" s="18"/>
      <c r="E56" s="18"/>
      <c r="F56" s="18"/>
      <c r="G56" s="18"/>
      <c r="H56" s="20"/>
      <c r="I56" s="20"/>
      <c r="J56" s="20"/>
      <c r="K56" s="20"/>
      <c r="L56" s="20"/>
      <c r="M56" s="18"/>
      <c r="N56" s="18"/>
      <c r="O56" s="18"/>
      <c r="P56" s="18"/>
      <c r="Q56" s="18"/>
      <c r="R56" s="18"/>
      <c r="S56" s="8"/>
      <c r="T56" s="8"/>
      <c r="U56" s="8"/>
      <c r="V56" s="23"/>
    </row>
    <row r="57" spans="3:22" x14ac:dyDescent="0.25">
      <c r="C57" s="25"/>
      <c r="D57" s="18"/>
      <c r="E57" s="18"/>
      <c r="F57" s="18"/>
      <c r="G57" s="18"/>
      <c r="H57" s="20"/>
      <c r="I57" s="20"/>
      <c r="J57" s="20"/>
      <c r="K57" s="20"/>
      <c r="L57" s="20"/>
      <c r="M57" s="18"/>
      <c r="N57" s="18"/>
      <c r="O57" s="18"/>
      <c r="P57" s="18"/>
      <c r="Q57" s="18"/>
      <c r="R57" s="18"/>
      <c r="S57" s="8"/>
      <c r="T57" s="8"/>
      <c r="U57" s="8"/>
      <c r="V57" s="23"/>
    </row>
    <row r="58" spans="3:22" x14ac:dyDescent="0.25">
      <c r="C58" s="25"/>
      <c r="D58" s="18"/>
      <c r="E58" s="18"/>
      <c r="F58" s="18"/>
      <c r="G58" s="18"/>
      <c r="H58" s="20"/>
      <c r="I58" s="20"/>
      <c r="J58" s="20"/>
      <c r="K58" s="20"/>
      <c r="L58" s="20"/>
      <c r="M58" s="18"/>
      <c r="N58" s="18"/>
      <c r="O58" s="18"/>
      <c r="P58" s="18"/>
      <c r="Q58" s="18"/>
      <c r="R58" s="18"/>
      <c r="S58" s="8"/>
      <c r="T58" s="8"/>
      <c r="U58" s="8"/>
      <c r="V58" s="23"/>
    </row>
    <row r="59" spans="3:22" x14ac:dyDescent="0.25">
      <c r="C59" s="25"/>
      <c r="D59" s="18"/>
      <c r="E59" s="18"/>
      <c r="F59" s="18"/>
      <c r="G59" s="18"/>
      <c r="H59" s="20"/>
      <c r="I59" s="20"/>
      <c r="J59" s="20"/>
      <c r="K59" s="20"/>
      <c r="L59" s="20"/>
      <c r="M59" s="18"/>
      <c r="N59" s="18"/>
      <c r="O59" s="18"/>
      <c r="P59" s="18"/>
      <c r="Q59" s="18"/>
      <c r="R59" s="18"/>
      <c r="S59" s="8"/>
      <c r="T59" s="8"/>
      <c r="U59" s="8"/>
      <c r="V59" s="23"/>
    </row>
    <row r="60" spans="3:22" x14ac:dyDescent="0.25">
      <c r="C60" s="25"/>
      <c r="D60" s="18"/>
      <c r="E60" s="18"/>
      <c r="F60" s="18"/>
      <c r="G60" s="18"/>
      <c r="H60" s="20"/>
      <c r="I60" s="20"/>
      <c r="J60" s="20"/>
      <c r="K60" s="20"/>
      <c r="L60" s="20"/>
      <c r="M60" s="18"/>
      <c r="N60" s="18"/>
      <c r="O60" s="18"/>
      <c r="P60" s="18"/>
      <c r="Q60" s="18"/>
      <c r="R60" s="18"/>
      <c r="S60" s="8"/>
      <c r="T60" s="8"/>
      <c r="U60" s="8"/>
      <c r="V60" s="23"/>
    </row>
    <row r="61" spans="3:22" x14ac:dyDescent="0.25">
      <c r="C61" s="25"/>
      <c r="D61" s="18"/>
      <c r="E61" s="18"/>
      <c r="F61" s="18"/>
      <c r="G61" s="18"/>
      <c r="H61" s="20"/>
      <c r="I61" s="20"/>
      <c r="J61" s="20"/>
      <c r="K61" s="20"/>
      <c r="L61" s="20"/>
      <c r="M61" s="18"/>
      <c r="N61" s="18"/>
      <c r="O61" s="18"/>
      <c r="P61" s="18"/>
      <c r="Q61" s="18"/>
      <c r="R61" s="18"/>
      <c r="S61" s="8"/>
      <c r="T61" s="8"/>
      <c r="U61" s="8"/>
      <c r="V61" s="23"/>
    </row>
    <row r="62" spans="3:22" x14ac:dyDescent="0.25">
      <c r="C62" s="25"/>
      <c r="D62" s="18"/>
      <c r="E62" s="18"/>
      <c r="F62" s="18"/>
      <c r="G62" s="18"/>
      <c r="H62" s="20"/>
      <c r="I62" s="20"/>
      <c r="J62" s="20"/>
      <c r="K62" s="20"/>
      <c r="L62" s="20"/>
      <c r="M62" s="18"/>
      <c r="N62" s="18"/>
      <c r="O62" s="18"/>
      <c r="P62" s="18"/>
      <c r="Q62" s="18"/>
      <c r="R62" s="18"/>
      <c r="S62" s="8"/>
      <c r="T62" s="8"/>
      <c r="U62" s="8"/>
      <c r="V62" s="23"/>
    </row>
    <row r="63" spans="3:22" x14ac:dyDescent="0.25">
      <c r="C63" s="25"/>
      <c r="D63" s="18"/>
      <c r="E63" s="18"/>
      <c r="F63" s="18"/>
      <c r="G63" s="18"/>
      <c r="H63" s="20"/>
      <c r="I63" s="20"/>
      <c r="J63" s="20"/>
      <c r="K63" s="20"/>
      <c r="L63" s="20"/>
      <c r="M63" s="18"/>
      <c r="N63" s="18"/>
      <c r="O63" s="18"/>
      <c r="P63" s="18"/>
      <c r="Q63" s="18"/>
      <c r="R63" s="18"/>
      <c r="S63" s="8"/>
      <c r="T63" s="8"/>
      <c r="U63" s="8"/>
      <c r="V63" s="23"/>
    </row>
    <row r="64" spans="3:22" x14ac:dyDescent="0.25">
      <c r="C64" s="25"/>
      <c r="D64" s="18"/>
      <c r="E64" s="18"/>
      <c r="F64" s="18"/>
      <c r="G64" s="18"/>
      <c r="H64" s="20"/>
      <c r="I64" s="20"/>
      <c r="J64" s="20"/>
      <c r="K64" s="20"/>
      <c r="L64" s="20"/>
      <c r="M64" s="18"/>
      <c r="N64" s="18"/>
      <c r="O64" s="18"/>
      <c r="P64" s="18"/>
      <c r="Q64" s="18"/>
      <c r="R64" s="18"/>
      <c r="S64" s="8"/>
      <c r="T64" s="8"/>
      <c r="U64" s="8"/>
      <c r="V64" s="23"/>
    </row>
    <row r="65" spans="1:22" x14ac:dyDescent="0.25">
      <c r="C65" s="25"/>
      <c r="D65" s="18"/>
      <c r="E65" s="18"/>
      <c r="F65" s="18"/>
      <c r="G65" s="18"/>
      <c r="H65" s="20"/>
      <c r="I65" s="20"/>
      <c r="J65" s="20"/>
      <c r="K65" s="20"/>
      <c r="L65" s="20"/>
      <c r="M65" s="18"/>
      <c r="N65" s="18"/>
      <c r="O65" s="18"/>
      <c r="P65" s="18"/>
      <c r="Q65" s="18"/>
      <c r="R65" s="18"/>
      <c r="S65" s="8"/>
      <c r="T65" s="8"/>
      <c r="U65" s="8"/>
      <c r="V65" s="23"/>
    </row>
    <row r="66" spans="1:22" x14ac:dyDescent="0.25">
      <c r="C66" s="25"/>
      <c r="D66" s="18"/>
      <c r="E66" s="18"/>
      <c r="F66" s="18"/>
      <c r="G66" s="18"/>
      <c r="H66" s="20"/>
      <c r="I66" s="20"/>
      <c r="J66" s="20"/>
      <c r="K66" s="20"/>
      <c r="L66" s="20"/>
      <c r="M66" s="18"/>
      <c r="N66" s="18"/>
      <c r="O66" s="18"/>
      <c r="P66" s="18"/>
      <c r="Q66" s="18"/>
      <c r="R66" s="18"/>
      <c r="S66" s="8"/>
      <c r="T66" s="8"/>
      <c r="U66" s="8"/>
      <c r="V66" s="23"/>
    </row>
    <row r="67" spans="1:22" x14ac:dyDescent="0.25">
      <c r="A67" s="97"/>
      <c r="B67" s="97"/>
      <c r="C67" s="25"/>
      <c r="D67" s="18"/>
      <c r="E67" s="18"/>
      <c r="F67" s="18"/>
      <c r="G67" s="18"/>
      <c r="H67" s="20"/>
      <c r="I67" s="20"/>
      <c r="J67" s="20"/>
      <c r="K67" s="20"/>
      <c r="L67" s="20"/>
      <c r="M67" s="18"/>
      <c r="N67" s="18"/>
      <c r="O67" s="18"/>
      <c r="P67" s="18"/>
      <c r="Q67" s="18"/>
      <c r="R67" s="18"/>
      <c r="S67" s="8"/>
      <c r="T67" s="8"/>
      <c r="U67" s="8"/>
      <c r="V67" s="23"/>
    </row>
    <row r="68" spans="1:22" x14ac:dyDescent="0.25">
      <c r="A68" s="97"/>
      <c r="B68" s="97"/>
      <c r="C68" s="25"/>
      <c r="D68" s="18"/>
      <c r="E68" s="18"/>
      <c r="F68" s="18"/>
      <c r="G68" s="18"/>
      <c r="H68" s="20"/>
      <c r="I68" s="20"/>
      <c r="J68" s="20"/>
      <c r="K68" s="20"/>
      <c r="L68" s="20"/>
      <c r="M68" s="18"/>
      <c r="N68" s="18"/>
      <c r="O68" s="18"/>
      <c r="P68" s="18"/>
      <c r="Q68" s="18"/>
      <c r="R68" s="18"/>
      <c r="S68" s="8"/>
      <c r="T68" s="8"/>
      <c r="U68" s="8"/>
      <c r="V68" s="23"/>
    </row>
    <row r="69" spans="1:22" x14ac:dyDescent="0.25">
      <c r="A69" s="97"/>
      <c r="B69" s="97"/>
      <c r="C69" s="25"/>
      <c r="D69" s="18"/>
      <c r="E69" s="18"/>
      <c r="F69" s="18"/>
      <c r="G69" s="18"/>
      <c r="H69" s="20"/>
      <c r="I69" s="20"/>
      <c r="J69" s="20"/>
      <c r="K69" s="20"/>
      <c r="L69" s="20"/>
      <c r="M69" s="18"/>
      <c r="N69" s="18"/>
      <c r="O69" s="18"/>
      <c r="P69" s="18"/>
      <c r="Q69" s="18"/>
      <c r="R69" s="18"/>
      <c r="S69" s="8"/>
      <c r="T69" s="8"/>
      <c r="U69" s="8"/>
      <c r="V69" s="23"/>
    </row>
    <row r="70" spans="1:22" x14ac:dyDescent="0.25">
      <c r="A70" s="97"/>
      <c r="B70" s="97"/>
      <c r="C70" s="25"/>
      <c r="D70" s="18"/>
      <c r="E70" s="18"/>
      <c r="F70" s="18"/>
      <c r="G70" s="18"/>
      <c r="H70" s="20"/>
      <c r="I70" s="20"/>
      <c r="J70" s="20"/>
      <c r="K70" s="20"/>
      <c r="L70" s="20"/>
      <c r="M70" s="18"/>
      <c r="N70" s="18"/>
      <c r="O70" s="18"/>
      <c r="P70" s="18"/>
      <c r="Q70" s="18"/>
      <c r="R70" s="18"/>
      <c r="S70" s="8"/>
      <c r="T70" s="8"/>
      <c r="U70" s="8"/>
      <c r="V70" s="23"/>
    </row>
    <row r="71" spans="1:22" x14ac:dyDescent="0.25">
      <c r="A71" s="97"/>
      <c r="B71" s="97"/>
      <c r="C71" s="25"/>
      <c r="D71" s="18"/>
      <c r="E71" s="18"/>
      <c r="F71" s="18"/>
      <c r="G71" s="18"/>
      <c r="H71" s="20"/>
      <c r="I71" s="20"/>
      <c r="J71" s="20"/>
      <c r="K71" s="20"/>
      <c r="L71" s="20"/>
      <c r="M71" s="18"/>
      <c r="N71" s="18"/>
      <c r="O71" s="18"/>
      <c r="P71" s="18"/>
      <c r="Q71" s="18"/>
      <c r="R71" s="18"/>
      <c r="S71" s="8"/>
      <c r="T71" s="8"/>
      <c r="U71" s="8"/>
      <c r="V71" s="23"/>
    </row>
    <row r="72" spans="1:22" x14ac:dyDescent="0.25">
      <c r="C72" s="25"/>
      <c r="D72" s="18"/>
      <c r="E72" s="18"/>
      <c r="F72" s="18"/>
      <c r="G72" s="18"/>
      <c r="H72" s="20"/>
      <c r="I72" s="20"/>
      <c r="J72" s="20"/>
      <c r="K72" s="20"/>
      <c r="L72" s="20"/>
      <c r="M72" s="18"/>
      <c r="N72" s="18"/>
      <c r="O72" s="18"/>
      <c r="P72" s="18"/>
      <c r="Q72" s="18"/>
      <c r="R72" s="18"/>
      <c r="S72" s="11"/>
      <c r="T72" s="8"/>
      <c r="U72" s="11"/>
      <c r="V72" s="23"/>
    </row>
    <row r="73" spans="1:22" x14ac:dyDescent="0.25">
      <c r="C73" s="25"/>
      <c r="D73" s="18"/>
      <c r="E73" s="18"/>
      <c r="F73" s="18"/>
      <c r="G73" s="18"/>
      <c r="H73" s="20"/>
      <c r="I73" s="20"/>
      <c r="J73" s="20"/>
      <c r="K73" s="20"/>
      <c r="L73" s="20"/>
      <c r="M73" s="18"/>
      <c r="N73" s="18"/>
      <c r="O73" s="18"/>
      <c r="P73" s="18"/>
      <c r="Q73" s="18"/>
      <c r="R73" s="18"/>
      <c r="S73" s="8"/>
      <c r="T73" s="8"/>
      <c r="U73" s="8"/>
      <c r="V73" s="23"/>
    </row>
    <row r="74" spans="1:22" x14ac:dyDescent="0.25">
      <c r="C74" s="25"/>
      <c r="D74" s="18"/>
      <c r="E74" s="18"/>
      <c r="F74" s="18"/>
      <c r="G74" s="18"/>
      <c r="H74" s="20"/>
      <c r="I74" s="20"/>
      <c r="J74" s="20"/>
      <c r="K74" s="20"/>
      <c r="L74" s="20"/>
      <c r="M74" s="18"/>
      <c r="N74" s="18"/>
      <c r="O74" s="18"/>
      <c r="P74" s="18"/>
      <c r="Q74" s="18"/>
      <c r="R74" s="18"/>
      <c r="S74" s="8"/>
      <c r="T74" s="8"/>
      <c r="U74" s="8"/>
      <c r="V74" s="23"/>
    </row>
    <row r="75" spans="1:22" x14ac:dyDescent="0.25">
      <c r="C75" s="25"/>
      <c r="D75" s="18"/>
      <c r="E75" s="18"/>
      <c r="F75" s="18"/>
      <c r="G75" s="18"/>
      <c r="H75" s="20"/>
      <c r="I75" s="20"/>
      <c r="J75" s="20"/>
      <c r="K75" s="20"/>
      <c r="L75" s="20"/>
      <c r="M75" s="18"/>
      <c r="N75" s="18"/>
      <c r="O75" s="18"/>
      <c r="P75" s="18"/>
      <c r="Q75" s="18"/>
      <c r="R75" s="18"/>
      <c r="S75" s="8"/>
      <c r="T75" s="8"/>
      <c r="U75" s="8"/>
      <c r="V75" s="23"/>
    </row>
    <row r="76" spans="1:22" x14ac:dyDescent="0.25">
      <c r="C76" s="25"/>
      <c r="D76" s="18"/>
      <c r="E76" s="18"/>
      <c r="F76" s="18"/>
      <c r="G76" s="18"/>
      <c r="H76" s="20"/>
      <c r="I76" s="20"/>
      <c r="J76" s="20"/>
      <c r="K76" s="20"/>
      <c r="L76" s="20"/>
      <c r="M76" s="18"/>
      <c r="N76" s="18"/>
      <c r="O76" s="18"/>
      <c r="P76" s="18"/>
      <c r="Q76" s="18"/>
      <c r="R76" s="18"/>
      <c r="S76" s="8"/>
      <c r="T76" s="8"/>
      <c r="U76" s="8"/>
      <c r="V76" s="23"/>
    </row>
    <row r="77" spans="1:22" x14ac:dyDescent="0.25">
      <c r="C77" s="25"/>
      <c r="D77" s="18"/>
      <c r="E77" s="18"/>
      <c r="F77" s="18"/>
      <c r="G77" s="18"/>
      <c r="H77" s="20"/>
      <c r="I77" s="20"/>
      <c r="J77" s="20"/>
      <c r="K77" s="20"/>
      <c r="L77" s="20"/>
      <c r="M77" s="18"/>
      <c r="N77" s="18"/>
      <c r="O77" s="18"/>
      <c r="P77" s="18"/>
      <c r="Q77" s="18"/>
      <c r="R77" s="18"/>
      <c r="S77" s="8"/>
      <c r="T77" s="8"/>
      <c r="U77" s="8"/>
      <c r="V77" s="23"/>
    </row>
    <row r="78" spans="1:22" x14ac:dyDescent="0.25">
      <c r="C78" s="25"/>
      <c r="D78" s="18"/>
      <c r="E78" s="18"/>
      <c r="F78" s="18"/>
      <c r="G78" s="18"/>
      <c r="H78" s="20"/>
      <c r="I78" s="20"/>
      <c r="J78" s="20"/>
      <c r="K78" s="20"/>
      <c r="L78" s="20"/>
      <c r="M78" s="18"/>
      <c r="N78" s="18"/>
      <c r="O78" s="18"/>
      <c r="P78" s="18"/>
      <c r="Q78" s="18"/>
      <c r="R78" s="18"/>
      <c r="S78" s="8"/>
      <c r="T78" s="8"/>
      <c r="U78" s="8"/>
      <c r="V78" s="23"/>
    </row>
    <row r="79" spans="1:22" x14ac:dyDescent="0.25">
      <c r="C79" s="25"/>
      <c r="D79" s="18"/>
      <c r="E79" s="18"/>
      <c r="F79" s="18"/>
      <c r="G79" s="18"/>
      <c r="H79" s="20"/>
      <c r="I79" s="20"/>
      <c r="J79" s="20"/>
      <c r="K79" s="20"/>
      <c r="L79" s="20"/>
      <c r="M79" s="18"/>
      <c r="N79" s="18"/>
      <c r="O79" s="18"/>
      <c r="P79" s="18"/>
      <c r="Q79" s="18"/>
      <c r="R79" s="18"/>
      <c r="S79" s="8"/>
      <c r="T79" s="8"/>
      <c r="U79" s="8"/>
      <c r="V79" s="23"/>
    </row>
    <row r="80" spans="1:22" x14ac:dyDescent="0.25">
      <c r="C80" s="25"/>
      <c r="D80" s="18"/>
      <c r="E80" s="18"/>
      <c r="F80" s="18"/>
      <c r="G80" s="18"/>
      <c r="H80" s="20"/>
      <c r="I80" s="20"/>
      <c r="J80" s="20"/>
      <c r="K80" s="20"/>
      <c r="L80" s="20"/>
      <c r="M80" s="18"/>
      <c r="N80" s="18"/>
      <c r="O80" s="18"/>
      <c r="P80" s="18"/>
      <c r="Q80" s="18"/>
      <c r="R80" s="18"/>
      <c r="S80" s="8"/>
      <c r="T80" s="8"/>
      <c r="U80" s="8"/>
      <c r="V80" s="23"/>
    </row>
    <row r="81" spans="3:22" x14ac:dyDescent="0.25">
      <c r="C81" s="25"/>
      <c r="D81" s="18"/>
      <c r="E81" s="18"/>
      <c r="F81" s="18"/>
      <c r="G81" s="18"/>
      <c r="H81" s="20"/>
      <c r="I81" s="20"/>
      <c r="J81" s="20"/>
      <c r="K81" s="20"/>
      <c r="L81" s="20"/>
      <c r="M81" s="18"/>
      <c r="N81" s="18"/>
      <c r="O81" s="18"/>
      <c r="P81" s="18"/>
      <c r="Q81" s="18"/>
      <c r="R81" s="18"/>
      <c r="S81" s="8"/>
      <c r="T81" s="8"/>
      <c r="U81" s="8"/>
      <c r="V81" s="23"/>
    </row>
    <row r="82" spans="3:22" x14ac:dyDescent="0.25">
      <c r="C82" s="25"/>
      <c r="D82" s="18"/>
      <c r="E82" s="18"/>
      <c r="F82" s="18"/>
      <c r="G82" s="18"/>
      <c r="H82" s="20"/>
      <c r="I82" s="20"/>
      <c r="J82" s="20"/>
      <c r="K82" s="20"/>
      <c r="L82" s="20"/>
      <c r="M82" s="18"/>
      <c r="N82" s="18"/>
      <c r="O82" s="18"/>
      <c r="P82" s="18"/>
      <c r="Q82" s="18"/>
      <c r="R82" s="18"/>
      <c r="S82" s="8"/>
      <c r="T82" s="8"/>
      <c r="U82" s="8"/>
      <c r="V82" s="23"/>
    </row>
    <row r="83" spans="3:22" x14ac:dyDescent="0.25">
      <c r="C83" s="25"/>
      <c r="D83" s="18"/>
      <c r="E83" s="18"/>
      <c r="F83" s="18"/>
      <c r="G83" s="18"/>
      <c r="H83" s="20"/>
      <c r="I83" s="20"/>
      <c r="J83" s="20"/>
      <c r="K83" s="20"/>
      <c r="L83" s="20"/>
      <c r="M83" s="18"/>
      <c r="N83" s="18"/>
      <c r="O83" s="18"/>
      <c r="P83" s="18"/>
      <c r="Q83" s="18"/>
      <c r="R83" s="18"/>
      <c r="S83" s="8"/>
      <c r="T83" s="8"/>
      <c r="U83" s="8"/>
      <c r="V83" s="23"/>
    </row>
    <row r="84" spans="3:22" x14ac:dyDescent="0.25">
      <c r="C84" s="25"/>
      <c r="D84" s="18"/>
      <c r="E84" s="18"/>
      <c r="F84" s="18"/>
      <c r="G84" s="18"/>
      <c r="H84" s="20"/>
      <c r="I84" s="20"/>
      <c r="J84" s="20"/>
      <c r="K84" s="20"/>
      <c r="L84" s="20"/>
      <c r="M84" s="18"/>
      <c r="N84" s="18"/>
      <c r="O84" s="18"/>
      <c r="P84" s="18"/>
      <c r="Q84" s="18"/>
      <c r="R84" s="18"/>
      <c r="S84" s="8"/>
      <c r="T84" s="8"/>
      <c r="U84" s="8"/>
      <c r="V84" s="23"/>
    </row>
    <row r="85" spans="3:22" x14ac:dyDescent="0.25">
      <c r="C85" s="25"/>
      <c r="D85" s="18"/>
      <c r="E85" s="18"/>
      <c r="F85" s="18"/>
      <c r="G85" s="18"/>
      <c r="H85" s="20"/>
      <c r="I85" s="20"/>
      <c r="J85" s="20"/>
      <c r="K85" s="20"/>
      <c r="L85" s="20"/>
      <c r="M85" s="18"/>
      <c r="N85" s="18"/>
      <c r="O85" s="18"/>
      <c r="P85" s="18"/>
      <c r="Q85" s="18"/>
      <c r="R85" s="18"/>
      <c r="S85" s="8"/>
      <c r="T85" s="8"/>
      <c r="U85" s="8"/>
      <c r="V85" s="23"/>
    </row>
    <row r="86" spans="3:22" x14ac:dyDescent="0.25">
      <c r="C86" s="25"/>
      <c r="D86" s="18"/>
      <c r="E86" s="18"/>
      <c r="F86" s="18"/>
      <c r="G86" s="18"/>
      <c r="H86" s="20"/>
      <c r="I86" s="20"/>
      <c r="J86" s="20"/>
      <c r="K86" s="20"/>
      <c r="L86" s="20"/>
      <c r="M86" s="18"/>
      <c r="N86" s="18"/>
      <c r="O86" s="18"/>
      <c r="P86" s="18"/>
      <c r="Q86" s="18"/>
      <c r="R86" s="18"/>
      <c r="S86" s="8"/>
      <c r="T86" s="8"/>
      <c r="U86" s="8"/>
      <c r="V86" s="23"/>
    </row>
    <row r="87" spans="3:22" x14ac:dyDescent="0.25">
      <c r="C87" s="25"/>
      <c r="D87" s="18"/>
      <c r="E87" s="18"/>
      <c r="F87" s="18"/>
      <c r="G87" s="18"/>
      <c r="H87" s="20"/>
      <c r="I87" s="20"/>
      <c r="J87" s="20"/>
      <c r="K87" s="20"/>
      <c r="L87" s="20"/>
      <c r="M87" s="18"/>
      <c r="N87" s="18"/>
      <c r="O87" s="18"/>
      <c r="P87" s="18"/>
      <c r="Q87" s="18"/>
      <c r="R87" s="18"/>
      <c r="S87" s="8"/>
      <c r="T87" s="8"/>
      <c r="U87" s="8"/>
      <c r="V87" s="23"/>
    </row>
    <row r="88" spans="3:22" x14ac:dyDescent="0.25">
      <c r="C88" s="25"/>
      <c r="D88" s="18"/>
      <c r="E88" s="18"/>
      <c r="F88" s="18"/>
      <c r="G88" s="18"/>
      <c r="H88" s="20"/>
      <c r="I88" s="20"/>
      <c r="J88" s="20"/>
      <c r="K88" s="20"/>
      <c r="L88" s="20"/>
      <c r="M88" s="18"/>
      <c r="N88" s="18"/>
      <c r="O88" s="18"/>
      <c r="P88" s="18"/>
      <c r="Q88" s="18"/>
      <c r="R88" s="18"/>
      <c r="S88" s="8"/>
      <c r="T88" s="8"/>
      <c r="U88" s="8"/>
      <c r="V88" s="23"/>
    </row>
    <row r="89" spans="3:22" x14ac:dyDescent="0.25">
      <c r="C89" s="25"/>
      <c r="D89" s="18"/>
      <c r="E89" s="18"/>
      <c r="F89" s="18"/>
      <c r="G89" s="18"/>
      <c r="H89" s="20"/>
      <c r="I89" s="20"/>
      <c r="J89" s="20"/>
      <c r="K89" s="20"/>
      <c r="L89" s="20"/>
      <c r="M89" s="18"/>
      <c r="N89" s="18"/>
      <c r="O89" s="18"/>
      <c r="P89" s="18"/>
      <c r="Q89" s="18"/>
      <c r="R89" s="18"/>
      <c r="S89" s="8"/>
      <c r="T89" s="8"/>
      <c r="U89" s="8"/>
      <c r="V89" s="23"/>
    </row>
    <row r="90" spans="3:22" x14ac:dyDescent="0.25">
      <c r="C90" s="25"/>
      <c r="D90" s="18"/>
      <c r="E90" s="18"/>
      <c r="F90" s="18"/>
      <c r="G90" s="18"/>
      <c r="H90" s="20"/>
      <c r="I90" s="20"/>
      <c r="J90" s="20"/>
      <c r="K90" s="20"/>
      <c r="L90" s="20"/>
      <c r="M90" s="18"/>
      <c r="N90" s="18"/>
      <c r="O90" s="18"/>
      <c r="P90" s="18"/>
      <c r="Q90" s="18"/>
      <c r="R90" s="18"/>
      <c r="S90" s="8"/>
      <c r="T90" s="8"/>
      <c r="U90" s="8"/>
      <c r="V90" s="23"/>
    </row>
    <row r="91" spans="3:22" x14ac:dyDescent="0.25">
      <c r="C91" s="25"/>
      <c r="D91" s="18"/>
      <c r="E91" s="18"/>
      <c r="F91" s="18"/>
      <c r="G91" s="18"/>
      <c r="H91" s="20"/>
      <c r="I91" s="20"/>
      <c r="J91" s="20"/>
      <c r="K91" s="20"/>
      <c r="L91" s="20"/>
      <c r="M91" s="18"/>
      <c r="N91" s="18"/>
      <c r="O91" s="18"/>
      <c r="P91" s="18"/>
      <c r="Q91" s="18"/>
      <c r="R91" s="18"/>
      <c r="S91" s="8"/>
      <c r="T91" s="8"/>
      <c r="U91" s="8"/>
      <c r="V91" s="23"/>
    </row>
    <row r="92" spans="3:22" x14ac:dyDescent="0.25">
      <c r="C92" s="25"/>
      <c r="D92" s="18"/>
      <c r="E92" s="18"/>
      <c r="F92" s="18"/>
      <c r="G92" s="18"/>
      <c r="H92" s="20"/>
      <c r="I92" s="20"/>
      <c r="J92" s="20"/>
      <c r="K92" s="20"/>
      <c r="L92" s="20"/>
      <c r="M92" s="18"/>
      <c r="N92" s="18"/>
      <c r="O92" s="18"/>
      <c r="P92" s="18"/>
      <c r="Q92" s="18"/>
      <c r="R92" s="18"/>
      <c r="S92" s="8"/>
      <c r="T92" s="8"/>
      <c r="U92" s="8"/>
      <c r="V92" s="23"/>
    </row>
    <row r="93" spans="3:22" x14ac:dyDescent="0.25">
      <c r="C93" s="25"/>
      <c r="D93" s="18"/>
      <c r="E93" s="18"/>
      <c r="F93" s="18"/>
      <c r="G93" s="18"/>
      <c r="H93" s="20"/>
      <c r="I93" s="20"/>
      <c r="J93" s="20"/>
      <c r="K93" s="20"/>
      <c r="L93" s="20"/>
      <c r="M93" s="18"/>
      <c r="N93" s="18"/>
      <c r="O93" s="18"/>
      <c r="P93" s="18"/>
      <c r="Q93" s="18"/>
      <c r="R93" s="18"/>
      <c r="S93" s="8"/>
      <c r="T93" s="8"/>
      <c r="U93" s="8"/>
      <c r="V93" s="23"/>
    </row>
    <row r="94" spans="3:22" x14ac:dyDescent="0.25">
      <c r="C94" s="25"/>
    </row>
  </sheetData>
  <mergeCells count="9">
    <mergeCell ref="A2:B2"/>
    <mergeCell ref="C2:J2"/>
    <mergeCell ref="K2:M2"/>
    <mergeCell ref="V2:V3"/>
    <mergeCell ref="T2:T3"/>
    <mergeCell ref="U2:U3"/>
    <mergeCell ref="P2:Q2"/>
    <mergeCell ref="N2:O2"/>
    <mergeCell ref="S2: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9"/>
  <sheetViews>
    <sheetView zoomScale="85" zoomScaleNormal="85" workbookViewId="0">
      <pane xSplit="2" ySplit="3" topLeftCell="C4" activePane="bottomRight" state="frozen"/>
      <selection activeCell="A2" sqref="A2"/>
      <selection pane="topRight" activeCell="C2" sqref="C2"/>
      <selection pane="bottomLeft" activeCell="A4" sqref="A4"/>
      <selection pane="bottomRight" activeCell="C11" sqref="C11"/>
    </sheetView>
  </sheetViews>
  <sheetFormatPr baseColWidth="10" defaultColWidth="9.140625" defaultRowHeight="15" x14ac:dyDescent="0.25"/>
  <cols>
    <col min="1" max="1" width="8.7109375" style="26" customWidth="1"/>
    <col min="2" max="2" width="9.7109375" style="26" customWidth="1"/>
    <col min="3" max="16" width="15.7109375" customWidth="1"/>
    <col min="17" max="21" width="15.7109375" style="21" customWidth="1"/>
    <col min="22" max="33" width="15.7109375" customWidth="1"/>
    <col min="34" max="34" width="40.42578125" bestFit="1" customWidth="1"/>
    <col min="35" max="35" width="15.85546875" bestFit="1" customWidth="1"/>
    <col min="36" max="36" width="31.140625" bestFit="1" customWidth="1"/>
    <col min="37" max="37" width="174.7109375" bestFit="1" customWidth="1"/>
  </cols>
  <sheetData>
    <row r="1" spans="1:40" s="148" customFormat="1" hidden="1" x14ac:dyDescent="0.25">
      <c r="A1" s="262" t="s">
        <v>1130</v>
      </c>
      <c r="B1" s="262" t="s">
        <v>1131</v>
      </c>
      <c r="C1" s="262" t="s">
        <v>2</v>
      </c>
      <c r="D1" s="262" t="s">
        <v>3</v>
      </c>
      <c r="E1" s="262" t="s">
        <v>4</v>
      </c>
      <c r="F1" s="262" t="s">
        <v>5</v>
      </c>
      <c r="G1" s="262" t="s">
        <v>6</v>
      </c>
      <c r="H1" s="262" t="s">
        <v>126</v>
      </c>
      <c r="I1" s="262" t="s">
        <v>127</v>
      </c>
      <c r="J1" s="262" t="s">
        <v>128</v>
      </c>
      <c r="K1" s="262" t="s">
        <v>129</v>
      </c>
      <c r="L1" s="262" t="s">
        <v>130</v>
      </c>
      <c r="M1" s="262" t="s">
        <v>131</v>
      </c>
      <c r="N1" s="262" t="s">
        <v>132</v>
      </c>
      <c r="O1" s="262" t="s">
        <v>133</v>
      </c>
      <c r="P1" s="262" t="s">
        <v>134</v>
      </c>
      <c r="Q1" s="262" t="s">
        <v>7</v>
      </c>
      <c r="R1" s="262" t="s">
        <v>8</v>
      </c>
      <c r="S1" s="262" t="s">
        <v>9</v>
      </c>
      <c r="T1" s="262" t="s">
        <v>10</v>
      </c>
      <c r="U1" s="262" t="s">
        <v>11</v>
      </c>
      <c r="V1" s="262" t="s">
        <v>12</v>
      </c>
      <c r="W1" s="262" t="s">
        <v>13</v>
      </c>
      <c r="X1" s="262" t="s">
        <v>120</v>
      </c>
      <c r="Y1" s="262" t="s">
        <v>121</v>
      </c>
      <c r="Z1" s="262" t="s">
        <v>122</v>
      </c>
      <c r="AA1" s="262" t="s">
        <v>123</v>
      </c>
      <c r="AB1" s="262" t="s">
        <v>124</v>
      </c>
      <c r="AC1" s="262" t="s">
        <v>125</v>
      </c>
      <c r="AD1" s="262" t="s">
        <v>135</v>
      </c>
      <c r="AE1" s="262" t="s">
        <v>470</v>
      </c>
      <c r="AF1" s="262" t="s">
        <v>1132</v>
      </c>
      <c r="AG1" s="262" t="s">
        <v>1133</v>
      </c>
      <c r="AH1" s="262" t="s">
        <v>1135</v>
      </c>
      <c r="AI1" s="262" t="s">
        <v>1134</v>
      </c>
      <c r="AJ1" s="387"/>
      <c r="AK1" s="388" t="s">
        <v>1</v>
      </c>
    </row>
    <row r="2" spans="1:40" s="391" customFormat="1" ht="45" customHeight="1" x14ac:dyDescent="0.25">
      <c r="A2" s="462" t="s">
        <v>997</v>
      </c>
      <c r="B2" s="463"/>
      <c r="C2" s="456" t="s">
        <v>967</v>
      </c>
      <c r="D2" s="457"/>
      <c r="E2" s="457"/>
      <c r="F2" s="457"/>
      <c r="G2" s="457"/>
      <c r="H2" s="457"/>
      <c r="I2" s="457"/>
      <c r="J2" s="457"/>
      <c r="K2" s="457"/>
      <c r="L2" s="457"/>
      <c r="M2" s="457"/>
      <c r="N2" s="457"/>
      <c r="O2" s="457"/>
      <c r="P2" s="458"/>
      <c r="Q2" s="459" t="s">
        <v>968</v>
      </c>
      <c r="R2" s="460"/>
      <c r="S2" s="460"/>
      <c r="T2" s="460"/>
      <c r="U2" s="460"/>
      <c r="V2" s="460"/>
      <c r="W2" s="460"/>
      <c r="X2" s="460"/>
      <c r="Y2" s="460"/>
      <c r="Z2" s="460"/>
      <c r="AA2" s="460"/>
      <c r="AB2" s="460"/>
      <c r="AC2" s="460"/>
      <c r="AD2" s="461"/>
      <c r="AE2" s="455" t="s">
        <v>611</v>
      </c>
      <c r="AF2" s="455" t="s">
        <v>742</v>
      </c>
      <c r="AG2" s="455" t="s">
        <v>743</v>
      </c>
      <c r="AH2" s="454" t="s">
        <v>588</v>
      </c>
      <c r="AI2" s="454" t="s">
        <v>750</v>
      </c>
      <c r="AJ2" s="454" t="s">
        <v>667</v>
      </c>
      <c r="AK2" s="454" t="s">
        <v>1</v>
      </c>
      <c r="AL2" s="390"/>
    </row>
    <row r="3" spans="1:40" s="392" customFormat="1" ht="25.5" x14ac:dyDescent="0.25">
      <c r="A3" s="393" t="s">
        <v>214</v>
      </c>
      <c r="B3" s="393" t="s">
        <v>996</v>
      </c>
      <c r="C3" s="213" t="s">
        <v>953</v>
      </c>
      <c r="D3" s="213" t="s">
        <v>954</v>
      </c>
      <c r="E3" s="213" t="s">
        <v>955</v>
      </c>
      <c r="F3" s="213" t="s">
        <v>956</v>
      </c>
      <c r="G3" s="213" t="s">
        <v>957</v>
      </c>
      <c r="H3" s="213" t="s">
        <v>958</v>
      </c>
      <c r="I3" s="213" t="s">
        <v>959</v>
      </c>
      <c r="J3" s="213" t="s">
        <v>960</v>
      </c>
      <c r="K3" s="213" t="s">
        <v>961</v>
      </c>
      <c r="L3" s="213" t="s">
        <v>962</v>
      </c>
      <c r="M3" s="213" t="s">
        <v>963</v>
      </c>
      <c r="N3" s="213" t="s">
        <v>964</v>
      </c>
      <c r="O3" s="213" t="s">
        <v>965</v>
      </c>
      <c r="P3" s="213" t="s">
        <v>966</v>
      </c>
      <c r="Q3" s="213" t="s">
        <v>953</v>
      </c>
      <c r="R3" s="213" t="s">
        <v>954</v>
      </c>
      <c r="S3" s="213" t="s">
        <v>955</v>
      </c>
      <c r="T3" s="213" t="s">
        <v>956</v>
      </c>
      <c r="U3" s="213" t="s">
        <v>957</v>
      </c>
      <c r="V3" s="213" t="s">
        <v>958</v>
      </c>
      <c r="W3" s="213" t="s">
        <v>959</v>
      </c>
      <c r="X3" s="213" t="s">
        <v>960</v>
      </c>
      <c r="Y3" s="213" t="s">
        <v>961</v>
      </c>
      <c r="Z3" s="213" t="s">
        <v>962</v>
      </c>
      <c r="AA3" s="213" t="s">
        <v>963</v>
      </c>
      <c r="AB3" s="213" t="s">
        <v>964</v>
      </c>
      <c r="AC3" s="213" t="s">
        <v>965</v>
      </c>
      <c r="AD3" s="213" t="s">
        <v>966</v>
      </c>
      <c r="AE3" s="455"/>
      <c r="AF3" s="455"/>
      <c r="AG3" s="455"/>
      <c r="AH3" s="454"/>
      <c r="AI3" s="454"/>
      <c r="AJ3" s="454"/>
      <c r="AK3" s="454"/>
    </row>
    <row r="4" spans="1:40" s="73" customFormat="1" x14ac:dyDescent="0.25">
      <c r="A4" s="142">
        <v>2014</v>
      </c>
      <c r="B4" s="142">
        <v>2013</v>
      </c>
      <c r="C4" s="121">
        <v>0</v>
      </c>
      <c r="D4" s="121">
        <v>6011</v>
      </c>
      <c r="E4" s="121">
        <v>11991</v>
      </c>
      <c r="F4" s="121">
        <v>26631</v>
      </c>
      <c r="G4" s="121">
        <v>71397</v>
      </c>
      <c r="H4" s="133">
        <v>151200</v>
      </c>
      <c r="I4" s="157"/>
      <c r="J4" s="157"/>
      <c r="K4" s="157"/>
      <c r="L4" s="157"/>
      <c r="M4" s="157"/>
      <c r="N4" s="157"/>
      <c r="O4" s="157"/>
      <c r="P4" s="157"/>
      <c r="Q4" s="124">
        <v>0</v>
      </c>
      <c r="R4" s="124">
        <v>5.5E-2</v>
      </c>
      <c r="S4" s="124">
        <v>0.14000000000000001</v>
      </c>
      <c r="T4" s="124">
        <v>0.3</v>
      </c>
      <c r="U4" s="124">
        <v>0.41</v>
      </c>
      <c r="V4" s="124">
        <v>0.45</v>
      </c>
      <c r="W4" s="158"/>
      <c r="X4" s="158"/>
      <c r="Y4" s="158"/>
      <c r="Z4" s="158"/>
      <c r="AA4" s="158"/>
      <c r="AB4" s="158"/>
      <c r="AC4" s="158"/>
      <c r="AD4" s="158"/>
      <c r="AE4" s="242">
        <f>6</f>
        <v>6</v>
      </c>
      <c r="AF4" s="158"/>
      <c r="AG4" s="158"/>
      <c r="AH4" s="161" t="s">
        <v>679</v>
      </c>
      <c r="AI4" s="130">
        <v>41638</v>
      </c>
      <c r="AJ4" s="208"/>
      <c r="AK4" s="342"/>
    </row>
    <row r="5" spans="1:40" s="73" customFormat="1" x14ac:dyDescent="0.25">
      <c r="A5" s="142">
        <v>2013</v>
      </c>
      <c r="B5" s="142">
        <v>2012</v>
      </c>
      <c r="C5" s="121">
        <v>0</v>
      </c>
      <c r="D5" s="121">
        <v>5963</v>
      </c>
      <c r="E5" s="121">
        <v>11896</v>
      </c>
      <c r="F5" s="121">
        <v>26420</v>
      </c>
      <c r="G5" s="121">
        <v>70830</v>
      </c>
      <c r="H5" s="133">
        <v>150000</v>
      </c>
      <c r="I5" s="157"/>
      <c r="J5" s="157"/>
      <c r="K5" s="157"/>
      <c r="L5" s="157"/>
      <c r="M5" s="157"/>
      <c r="N5" s="157"/>
      <c r="O5" s="157"/>
      <c r="P5" s="157"/>
      <c r="Q5" s="124">
        <v>0</v>
      </c>
      <c r="R5" s="124">
        <v>5.5E-2</v>
      </c>
      <c r="S5" s="124">
        <v>0.14000000000000001</v>
      </c>
      <c r="T5" s="124">
        <v>0.3</v>
      </c>
      <c r="U5" s="124">
        <v>0.41</v>
      </c>
      <c r="V5" s="124">
        <v>0.45</v>
      </c>
      <c r="W5" s="158"/>
      <c r="X5" s="158"/>
      <c r="Y5" s="158"/>
      <c r="Z5" s="158"/>
      <c r="AA5" s="158"/>
      <c r="AB5" s="158"/>
      <c r="AC5" s="158"/>
      <c r="AD5" s="158"/>
      <c r="AE5" s="242">
        <f>6</f>
        <v>6</v>
      </c>
      <c r="AF5" s="158"/>
      <c r="AG5" s="158"/>
      <c r="AH5" s="161" t="s">
        <v>678</v>
      </c>
      <c r="AI5" s="130">
        <v>41272</v>
      </c>
      <c r="AJ5" s="208"/>
      <c r="AK5" s="342"/>
    </row>
    <row r="6" spans="1:40" s="73" customFormat="1" x14ac:dyDescent="0.25">
      <c r="A6" s="142">
        <v>2012</v>
      </c>
      <c r="B6" s="142">
        <v>2011</v>
      </c>
      <c r="C6" s="121">
        <v>0</v>
      </c>
      <c r="D6" s="121">
        <v>5963</v>
      </c>
      <c r="E6" s="121">
        <v>11896</v>
      </c>
      <c r="F6" s="121">
        <v>26420</v>
      </c>
      <c r="G6" s="121">
        <v>70830</v>
      </c>
      <c r="H6" s="131"/>
      <c r="I6" s="157"/>
      <c r="J6" s="157"/>
      <c r="K6" s="157"/>
      <c r="L6" s="157"/>
      <c r="M6" s="157"/>
      <c r="N6" s="157"/>
      <c r="O6" s="157"/>
      <c r="P6" s="157"/>
      <c r="Q6" s="124">
        <v>0</v>
      </c>
      <c r="R6" s="124">
        <v>5.5E-2</v>
      </c>
      <c r="S6" s="124">
        <v>0.14000000000000001</v>
      </c>
      <c r="T6" s="124">
        <v>0.3</v>
      </c>
      <c r="U6" s="124">
        <v>0.41</v>
      </c>
      <c r="V6" s="158"/>
      <c r="W6" s="158"/>
      <c r="X6" s="158"/>
      <c r="Y6" s="158"/>
      <c r="Z6" s="158"/>
      <c r="AA6" s="158"/>
      <c r="AB6" s="158"/>
      <c r="AC6" s="158"/>
      <c r="AD6" s="158"/>
      <c r="AE6" s="242">
        <f>5</f>
        <v>5</v>
      </c>
      <c r="AF6" s="158"/>
      <c r="AG6" s="158"/>
      <c r="AH6" s="161" t="s">
        <v>677</v>
      </c>
      <c r="AI6" s="130">
        <v>40905</v>
      </c>
      <c r="AJ6" s="208"/>
      <c r="AK6" s="342" t="s">
        <v>216</v>
      </c>
    </row>
    <row r="7" spans="1:40" x14ac:dyDescent="0.25">
      <c r="A7" s="142">
        <v>2011</v>
      </c>
      <c r="B7" s="142">
        <v>2010</v>
      </c>
      <c r="C7" s="150">
        <f>0</f>
        <v>0</v>
      </c>
      <c r="D7" s="150">
        <v>5963</v>
      </c>
      <c r="E7" s="150">
        <v>11896</v>
      </c>
      <c r="F7" s="150">
        <v>26420</v>
      </c>
      <c r="G7" s="150">
        <v>70830</v>
      </c>
      <c r="H7" s="131"/>
      <c r="I7" s="88"/>
      <c r="J7" s="88"/>
      <c r="K7" s="88"/>
      <c r="L7" s="88"/>
      <c r="M7" s="88"/>
      <c r="N7" s="88"/>
      <c r="O7" s="88"/>
      <c r="P7" s="88"/>
      <c r="Q7" s="151">
        <f>0%</f>
        <v>0</v>
      </c>
      <c r="R7" s="152">
        <f>0.055</f>
        <v>5.5E-2</v>
      </c>
      <c r="S7" s="152">
        <f>0.14</f>
        <v>0.14000000000000001</v>
      </c>
      <c r="T7" s="152">
        <f>0.3</f>
        <v>0.3</v>
      </c>
      <c r="U7" s="152">
        <v>0.41</v>
      </c>
      <c r="V7" s="88"/>
      <c r="W7" s="88"/>
      <c r="X7" s="88"/>
      <c r="Y7" s="88"/>
      <c r="Z7" s="88"/>
      <c r="AA7" s="88"/>
      <c r="AB7" s="88"/>
      <c r="AC7" s="88"/>
      <c r="AD7" s="88"/>
      <c r="AE7" s="243">
        <f>5</f>
        <v>5</v>
      </c>
      <c r="AF7" s="88"/>
      <c r="AG7" s="88"/>
      <c r="AH7" s="350" t="s">
        <v>651</v>
      </c>
      <c r="AI7" s="130">
        <v>40542</v>
      </c>
      <c r="AJ7" s="163" t="s">
        <v>14</v>
      </c>
      <c r="AK7" s="205"/>
      <c r="AL7" s="28"/>
      <c r="AM7" s="28"/>
      <c r="AN7" s="28"/>
    </row>
    <row r="8" spans="1:40" x14ac:dyDescent="0.25">
      <c r="A8" s="142">
        <v>2010</v>
      </c>
      <c r="B8" s="142">
        <v>2009</v>
      </c>
      <c r="C8" s="150">
        <f>0</f>
        <v>0</v>
      </c>
      <c r="D8" s="150">
        <v>5875</v>
      </c>
      <c r="E8" s="150">
        <v>11720</v>
      </c>
      <c r="F8" s="150">
        <v>26030</v>
      </c>
      <c r="G8" s="150">
        <v>69783</v>
      </c>
      <c r="H8" s="131"/>
      <c r="I8" s="88"/>
      <c r="J8" s="88"/>
      <c r="K8" s="88"/>
      <c r="L8" s="88"/>
      <c r="M8" s="88"/>
      <c r="N8" s="88"/>
      <c r="O8" s="88"/>
      <c r="P8" s="88"/>
      <c r="Q8" s="151">
        <f>0%</f>
        <v>0</v>
      </c>
      <c r="R8" s="152">
        <f>0.055</f>
        <v>5.5E-2</v>
      </c>
      <c r="S8" s="152">
        <f>0.14</f>
        <v>0.14000000000000001</v>
      </c>
      <c r="T8" s="152">
        <f>0.3</f>
        <v>0.3</v>
      </c>
      <c r="U8" s="152">
        <f>0.4</f>
        <v>0.4</v>
      </c>
      <c r="V8" s="88"/>
      <c r="W8" s="88"/>
      <c r="X8" s="88"/>
      <c r="Y8" s="88"/>
      <c r="Z8" s="88"/>
      <c r="AA8" s="88"/>
      <c r="AB8" s="88"/>
      <c r="AC8" s="88"/>
      <c r="AD8" s="88"/>
      <c r="AE8" s="243">
        <f>5</f>
        <v>5</v>
      </c>
      <c r="AF8" s="88"/>
      <c r="AG8" s="88"/>
      <c r="AH8" s="163" t="s">
        <v>652</v>
      </c>
      <c r="AI8" s="130">
        <v>40178</v>
      </c>
      <c r="AJ8" s="163" t="s">
        <v>15</v>
      </c>
      <c r="AK8" s="43"/>
      <c r="AL8" s="28"/>
      <c r="AM8" s="28"/>
      <c r="AN8" s="28"/>
    </row>
    <row r="9" spans="1:40" x14ac:dyDescent="0.25">
      <c r="A9" s="142">
        <v>2009</v>
      </c>
      <c r="B9" s="142">
        <v>2008</v>
      </c>
      <c r="C9" s="150">
        <f>0</f>
        <v>0</v>
      </c>
      <c r="D9" s="150">
        <f>5852</f>
        <v>5852</v>
      </c>
      <c r="E9" s="150">
        <f>11673</f>
        <v>11673</v>
      </c>
      <c r="F9" s="150">
        <f>25926</f>
        <v>25926</v>
      </c>
      <c r="G9" s="150">
        <f>69505</f>
        <v>69505</v>
      </c>
      <c r="H9" s="131"/>
      <c r="I9" s="88"/>
      <c r="J9" s="88"/>
      <c r="K9" s="88"/>
      <c r="L9" s="88"/>
      <c r="M9" s="88"/>
      <c r="N9" s="88"/>
      <c r="O9" s="88"/>
      <c r="P9" s="88"/>
      <c r="Q9" s="151">
        <f>0%</f>
        <v>0</v>
      </c>
      <c r="R9" s="152">
        <f>0.055</f>
        <v>5.5E-2</v>
      </c>
      <c r="S9" s="152">
        <f>0.14</f>
        <v>0.14000000000000001</v>
      </c>
      <c r="T9" s="152">
        <f>0.3</f>
        <v>0.3</v>
      </c>
      <c r="U9" s="152">
        <f>0.4</f>
        <v>0.4</v>
      </c>
      <c r="V9" s="88"/>
      <c r="W9" s="88"/>
      <c r="X9" s="88"/>
      <c r="Y9" s="88"/>
      <c r="Z9" s="88"/>
      <c r="AA9" s="88"/>
      <c r="AB9" s="88"/>
      <c r="AC9" s="88"/>
      <c r="AD9" s="88"/>
      <c r="AE9" s="243">
        <f>5</f>
        <v>5</v>
      </c>
      <c r="AF9" s="88"/>
      <c r="AG9" s="88"/>
      <c r="AH9" s="163" t="s">
        <v>653</v>
      </c>
      <c r="AI9" s="130">
        <v>39810</v>
      </c>
      <c r="AJ9" s="163" t="s">
        <v>668</v>
      </c>
      <c r="AK9" s="43"/>
      <c r="AL9" s="28"/>
      <c r="AM9" s="28"/>
      <c r="AN9" s="28"/>
    </row>
    <row r="10" spans="1:40" x14ac:dyDescent="0.25">
      <c r="A10" s="142">
        <v>2008</v>
      </c>
      <c r="B10" s="142">
        <v>2007</v>
      </c>
      <c r="C10" s="150">
        <f>0</f>
        <v>0</v>
      </c>
      <c r="D10" s="150">
        <v>5687</v>
      </c>
      <c r="E10" s="150">
        <v>11344</v>
      </c>
      <c r="F10" s="150">
        <v>25195</v>
      </c>
      <c r="G10" s="150">
        <v>67546</v>
      </c>
      <c r="H10" s="131"/>
      <c r="I10" s="88"/>
      <c r="J10" s="126"/>
      <c r="K10" s="88"/>
      <c r="L10" s="88"/>
      <c r="M10" s="88"/>
      <c r="N10" s="88"/>
      <c r="O10" s="88"/>
      <c r="P10" s="88"/>
      <c r="Q10" s="151">
        <f>0%</f>
        <v>0</v>
      </c>
      <c r="R10" s="152">
        <f>0.055</f>
        <v>5.5E-2</v>
      </c>
      <c r="S10" s="152">
        <f>0.14</f>
        <v>0.14000000000000001</v>
      </c>
      <c r="T10" s="152">
        <f>0.3</f>
        <v>0.3</v>
      </c>
      <c r="U10" s="152">
        <f>0.4</f>
        <v>0.4</v>
      </c>
      <c r="V10" s="88"/>
      <c r="W10" s="88"/>
      <c r="X10" s="88"/>
      <c r="Y10" s="88"/>
      <c r="Z10" s="88"/>
      <c r="AA10" s="88"/>
      <c r="AB10" s="88"/>
      <c r="AC10" s="88"/>
      <c r="AD10" s="88"/>
      <c r="AE10" s="243">
        <f>5</f>
        <v>5</v>
      </c>
      <c r="AF10" s="88"/>
      <c r="AG10" s="88"/>
      <c r="AH10" s="163" t="s">
        <v>654</v>
      </c>
      <c r="AI10" s="130">
        <v>39443</v>
      </c>
      <c r="AJ10" s="345" t="s">
        <v>669</v>
      </c>
      <c r="AK10" s="43"/>
      <c r="AL10" s="28"/>
      <c r="AM10" s="28"/>
      <c r="AN10" s="28"/>
    </row>
    <row r="11" spans="1:40" x14ac:dyDescent="0.25">
      <c r="A11" s="142">
        <v>2007</v>
      </c>
      <c r="B11" s="142">
        <v>2006</v>
      </c>
      <c r="C11" s="150">
        <f>0</f>
        <v>0</v>
      </c>
      <c r="D11" s="150">
        <v>5614</v>
      </c>
      <c r="E11" s="150">
        <v>11198</v>
      </c>
      <c r="F11" s="150">
        <v>24872</v>
      </c>
      <c r="G11" s="150">
        <v>66679</v>
      </c>
      <c r="H11" s="131"/>
      <c r="I11" s="88"/>
      <c r="J11" s="88"/>
      <c r="K11" s="88"/>
      <c r="L11" s="88"/>
      <c r="M11" s="88"/>
      <c r="N11" s="88"/>
      <c r="O11" s="88"/>
      <c r="P11" s="88"/>
      <c r="Q11" s="151">
        <f>0%</f>
        <v>0</v>
      </c>
      <c r="R11" s="152">
        <f>0.055</f>
        <v>5.5E-2</v>
      </c>
      <c r="S11" s="152">
        <f>0.14</f>
        <v>0.14000000000000001</v>
      </c>
      <c r="T11" s="152">
        <f>0.3</f>
        <v>0.3</v>
      </c>
      <c r="U11" s="152">
        <f>0.4</f>
        <v>0.4</v>
      </c>
      <c r="V11" s="88"/>
      <c r="W11" s="88"/>
      <c r="X11" s="88"/>
      <c r="Y11" s="88"/>
      <c r="Z11" s="88"/>
      <c r="AA11" s="88"/>
      <c r="AB11" s="88"/>
      <c r="AC11" s="88"/>
      <c r="AD11" s="88"/>
      <c r="AE11" s="243">
        <f>5</f>
        <v>5</v>
      </c>
      <c r="AF11" s="88"/>
      <c r="AG11" s="88"/>
      <c r="AH11" s="163" t="s">
        <v>655</v>
      </c>
      <c r="AI11" s="130">
        <v>39078</v>
      </c>
      <c r="AJ11" s="163" t="s">
        <v>670</v>
      </c>
      <c r="AK11" s="342" t="s">
        <v>612</v>
      </c>
      <c r="AL11" s="28"/>
      <c r="AM11" s="28"/>
      <c r="AN11" s="28"/>
    </row>
    <row r="12" spans="1:40" x14ac:dyDescent="0.25">
      <c r="A12" s="142">
        <v>2006</v>
      </c>
      <c r="B12" s="142">
        <v>2005</v>
      </c>
      <c r="C12" s="150">
        <f>0</f>
        <v>0</v>
      </c>
      <c r="D12" s="150">
        <v>4412</v>
      </c>
      <c r="E12" s="150">
        <v>8677</v>
      </c>
      <c r="F12" s="150">
        <v>15274</v>
      </c>
      <c r="G12" s="150">
        <v>24731</v>
      </c>
      <c r="H12" s="133">
        <v>40241</v>
      </c>
      <c r="I12" s="133">
        <v>49624</v>
      </c>
      <c r="J12" s="153"/>
      <c r="K12" s="153"/>
      <c r="L12" s="153"/>
      <c r="M12" s="154"/>
      <c r="N12" s="153"/>
      <c r="O12" s="153"/>
      <c r="P12" s="153"/>
      <c r="Q12" s="151">
        <f>0%</f>
        <v>0</v>
      </c>
      <c r="R12" s="152">
        <f>R13</f>
        <v>6.83E-2</v>
      </c>
      <c r="S12" s="152">
        <v>0.19139999999999999</v>
      </c>
      <c r="T12" s="152">
        <v>0.28260000000000002</v>
      </c>
      <c r="U12" s="152">
        <v>0.37380000000000002</v>
      </c>
      <c r="V12" s="152">
        <v>0.42620000000000002</v>
      </c>
      <c r="W12" s="152">
        <v>0.48089999999999999</v>
      </c>
      <c r="X12" s="153"/>
      <c r="Y12" s="153"/>
      <c r="Z12" s="153"/>
      <c r="AA12" s="153"/>
      <c r="AB12" s="153"/>
      <c r="AC12" s="153"/>
      <c r="AD12" s="153"/>
      <c r="AE12" s="244">
        <f>7</f>
        <v>7</v>
      </c>
      <c r="AF12" s="153"/>
      <c r="AG12" s="153"/>
      <c r="AH12" s="163" t="s">
        <v>656</v>
      </c>
      <c r="AI12" s="130">
        <v>38717</v>
      </c>
      <c r="AJ12" s="163" t="s">
        <v>671</v>
      </c>
      <c r="AK12" s="43"/>
      <c r="AL12" s="28"/>
      <c r="AM12" s="28"/>
      <c r="AN12" s="28"/>
    </row>
    <row r="13" spans="1:40" x14ac:dyDescent="0.25">
      <c r="A13" s="142">
        <v>2005</v>
      </c>
      <c r="B13" s="142">
        <v>2004</v>
      </c>
      <c r="C13" s="150">
        <f>0</f>
        <v>0</v>
      </c>
      <c r="D13" s="150">
        <v>4334</v>
      </c>
      <c r="E13" s="150">
        <f>8524</f>
        <v>8524</v>
      </c>
      <c r="F13" s="150">
        <v>15004</v>
      </c>
      <c r="G13" s="150">
        <f>24294</f>
        <v>24294</v>
      </c>
      <c r="H13" s="133">
        <v>39529</v>
      </c>
      <c r="I13" s="133">
        <f>48747</f>
        <v>48747</v>
      </c>
      <c r="J13" s="153"/>
      <c r="K13" s="153"/>
      <c r="L13" s="153"/>
      <c r="M13" s="155"/>
      <c r="N13" s="153"/>
      <c r="O13" s="153"/>
      <c r="P13" s="153"/>
      <c r="Q13" s="151">
        <f>0%</f>
        <v>0</v>
      </c>
      <c r="R13" s="152">
        <f>6.83/100</f>
        <v>6.83E-2</v>
      </c>
      <c r="S13" s="152">
        <v>0.19139999999999999</v>
      </c>
      <c r="T13" s="152">
        <v>0.28260000000000002</v>
      </c>
      <c r="U13" s="152">
        <v>0.37380000000000002</v>
      </c>
      <c r="V13" s="152">
        <v>0.42620000000000002</v>
      </c>
      <c r="W13" s="152">
        <v>0.48089999999999999</v>
      </c>
      <c r="X13" s="153"/>
      <c r="Y13" s="153"/>
      <c r="Z13" s="153"/>
      <c r="AA13" s="153"/>
      <c r="AB13" s="153"/>
      <c r="AC13" s="153"/>
      <c r="AD13" s="153"/>
      <c r="AE13" s="245">
        <f>7</f>
        <v>7</v>
      </c>
      <c r="AF13" s="153"/>
      <c r="AG13" s="153"/>
      <c r="AH13" s="163" t="s">
        <v>657</v>
      </c>
      <c r="AI13" s="130">
        <v>38352</v>
      </c>
      <c r="AJ13" s="163" t="s">
        <v>672</v>
      </c>
      <c r="AK13" s="43"/>
      <c r="AL13" s="28"/>
      <c r="AM13" s="28"/>
      <c r="AN13" s="28"/>
    </row>
    <row r="14" spans="1:40" x14ac:dyDescent="0.25">
      <c r="A14" s="142">
        <v>2004</v>
      </c>
      <c r="B14" s="142">
        <v>2003</v>
      </c>
      <c r="C14" s="150">
        <f>0</f>
        <v>0</v>
      </c>
      <c r="D14" s="150">
        <f>4262</f>
        <v>4262</v>
      </c>
      <c r="E14" s="150">
        <f>8382</f>
        <v>8382</v>
      </c>
      <c r="F14" s="150">
        <f>14753</f>
        <v>14753</v>
      </c>
      <c r="G14" s="150">
        <v>23888</v>
      </c>
      <c r="H14" s="133">
        <v>38868</v>
      </c>
      <c r="I14" s="133">
        <f>47932</f>
        <v>47932</v>
      </c>
      <c r="J14" s="153"/>
      <c r="K14" s="153"/>
      <c r="L14" s="153"/>
      <c r="M14" s="154"/>
      <c r="N14" s="153"/>
      <c r="O14" s="153"/>
      <c r="P14" s="153"/>
      <c r="Q14" s="151">
        <f>0%</f>
        <v>0</v>
      </c>
      <c r="R14" s="152">
        <v>6.83E-2</v>
      </c>
      <c r="S14" s="152">
        <v>0.19139999999999999</v>
      </c>
      <c r="T14" s="152">
        <v>0.28260000000000002</v>
      </c>
      <c r="U14" s="152">
        <v>0.37380000000000002</v>
      </c>
      <c r="V14" s="152">
        <v>0.42620000000000002</v>
      </c>
      <c r="W14" s="152">
        <v>0.48089999999999999</v>
      </c>
      <c r="X14" s="153"/>
      <c r="Y14" s="153"/>
      <c r="Z14" s="153"/>
      <c r="AA14" s="153"/>
      <c r="AB14" s="153"/>
      <c r="AC14" s="153"/>
      <c r="AD14" s="153"/>
      <c r="AE14" s="245">
        <f>7</f>
        <v>7</v>
      </c>
      <c r="AF14" s="153"/>
      <c r="AG14" s="153"/>
      <c r="AH14" s="163" t="s">
        <v>658</v>
      </c>
      <c r="AI14" s="130">
        <v>37986</v>
      </c>
      <c r="AJ14" s="163" t="s">
        <v>673</v>
      </c>
      <c r="AK14" s="43"/>
      <c r="AL14" s="28"/>
      <c r="AM14" s="28"/>
      <c r="AN14" s="28"/>
    </row>
    <row r="15" spans="1:40" x14ac:dyDescent="0.25">
      <c r="A15" s="142">
        <v>2003</v>
      </c>
      <c r="B15" s="142">
        <v>2002</v>
      </c>
      <c r="C15" s="150">
        <f>0</f>
        <v>0</v>
      </c>
      <c r="D15" s="150">
        <v>4191</v>
      </c>
      <c r="E15" s="150">
        <v>8242</v>
      </c>
      <c r="F15" s="150">
        <v>14506</v>
      </c>
      <c r="G15" s="150">
        <v>23489</v>
      </c>
      <c r="H15" s="133">
        <v>38218</v>
      </c>
      <c r="I15" s="30">
        <f>47131</f>
        <v>47131</v>
      </c>
      <c r="J15" s="153"/>
      <c r="K15" s="153"/>
      <c r="L15" s="153"/>
      <c r="M15" s="153"/>
      <c r="N15" s="153"/>
      <c r="O15" s="153"/>
      <c r="P15" s="153"/>
      <c r="Q15" s="151">
        <f>0%</f>
        <v>0</v>
      </c>
      <c r="R15" s="152">
        <f>7.05/100</f>
        <v>7.0499999999999993E-2</v>
      </c>
      <c r="S15" s="152">
        <f>19.74/100</f>
        <v>0.19739999999999999</v>
      </c>
      <c r="T15" s="152">
        <f>29.14/100</f>
        <v>0.29139999999999999</v>
      </c>
      <c r="U15" s="152">
        <f>38.54/100</f>
        <v>0.38539999999999996</v>
      </c>
      <c r="V15" s="152">
        <f>43.94/100</f>
        <v>0.43939999999999996</v>
      </c>
      <c r="W15" s="152">
        <f>49.58/100</f>
        <v>0.49579999999999996</v>
      </c>
      <c r="X15" s="153"/>
      <c r="Y15" s="153"/>
      <c r="Z15" s="153"/>
      <c r="AA15" s="153"/>
      <c r="AB15" s="153"/>
      <c r="AC15" s="153"/>
      <c r="AD15" s="153"/>
      <c r="AE15" s="245">
        <f>7</f>
        <v>7</v>
      </c>
      <c r="AF15" s="153"/>
      <c r="AG15" s="153"/>
      <c r="AH15" s="163" t="s">
        <v>659</v>
      </c>
      <c r="AI15" s="130">
        <v>37621</v>
      </c>
      <c r="AJ15" s="163" t="s">
        <v>674</v>
      </c>
      <c r="AK15" s="43"/>
      <c r="AL15" s="28"/>
      <c r="AM15" s="28"/>
      <c r="AN15" s="28"/>
    </row>
    <row r="16" spans="1:40" x14ac:dyDescent="0.25">
      <c r="A16" s="142">
        <v>2002</v>
      </c>
      <c r="B16" s="142">
        <v>2001</v>
      </c>
      <c r="C16" s="150">
        <f>0</f>
        <v>0</v>
      </c>
      <c r="D16" s="150">
        <f>4121</f>
        <v>4121</v>
      </c>
      <c r="E16" s="150">
        <f>8104</f>
        <v>8104</v>
      </c>
      <c r="F16" s="150">
        <v>14264</v>
      </c>
      <c r="G16" s="150">
        <v>23096</v>
      </c>
      <c r="H16" s="133">
        <v>37579</v>
      </c>
      <c r="I16" s="133">
        <v>46343</v>
      </c>
      <c r="J16" s="153"/>
      <c r="K16" s="153"/>
      <c r="L16" s="154"/>
      <c r="M16" s="154"/>
      <c r="N16" s="153"/>
      <c r="O16" s="153"/>
      <c r="P16" s="153"/>
      <c r="Q16" s="151">
        <f>0%</f>
        <v>0</v>
      </c>
      <c r="R16" s="152">
        <f>7.5/100</f>
        <v>7.4999999999999997E-2</v>
      </c>
      <c r="S16" s="152">
        <f>21/100</f>
        <v>0.21</v>
      </c>
      <c r="T16" s="152">
        <f>31/100</f>
        <v>0.31</v>
      </c>
      <c r="U16" s="152">
        <f>41/100</f>
        <v>0.41</v>
      </c>
      <c r="V16" s="152">
        <f>46.75/100</f>
        <v>0.46750000000000003</v>
      </c>
      <c r="W16" s="152">
        <f>52.75/100</f>
        <v>0.52749999999999997</v>
      </c>
      <c r="X16" s="153"/>
      <c r="Y16" s="153"/>
      <c r="Z16" s="153"/>
      <c r="AA16" s="153"/>
      <c r="AB16" s="153"/>
      <c r="AC16" s="153"/>
      <c r="AD16" s="153"/>
      <c r="AE16" s="245">
        <f>7</f>
        <v>7</v>
      </c>
      <c r="AF16" s="153"/>
      <c r="AG16" s="153"/>
      <c r="AH16" s="163" t="s">
        <v>660</v>
      </c>
      <c r="AI16" s="130">
        <v>37254</v>
      </c>
      <c r="AJ16" s="163" t="s">
        <v>675</v>
      </c>
      <c r="AK16" s="43"/>
      <c r="AL16" s="28"/>
      <c r="AM16" s="28"/>
      <c r="AN16" s="28"/>
    </row>
    <row r="17" spans="1:40" x14ac:dyDescent="0.25">
      <c r="A17" s="142">
        <v>2001</v>
      </c>
      <c r="B17" s="142">
        <v>2000</v>
      </c>
      <c r="C17" s="340">
        <f>0</f>
        <v>0</v>
      </c>
      <c r="D17" s="340">
        <f>26600</f>
        <v>26600</v>
      </c>
      <c r="E17" s="340">
        <f>52320</f>
        <v>52320</v>
      </c>
      <c r="F17" s="340">
        <f>92090</f>
        <v>92090</v>
      </c>
      <c r="G17" s="340">
        <f>149110</f>
        <v>149110</v>
      </c>
      <c r="H17" s="340">
        <v>242620</v>
      </c>
      <c r="I17" s="340">
        <v>299200</v>
      </c>
      <c r="J17" s="153"/>
      <c r="K17" s="153"/>
      <c r="L17" s="154"/>
      <c r="M17" s="153"/>
      <c r="N17" s="153"/>
      <c r="O17" s="153"/>
      <c r="P17" s="153"/>
      <c r="Q17" s="151">
        <f>0%</f>
        <v>0</v>
      </c>
      <c r="R17" s="152">
        <f>8.25/100</f>
        <v>8.2500000000000004E-2</v>
      </c>
      <c r="S17" s="152">
        <f>21.75/100</f>
        <v>0.2175</v>
      </c>
      <c r="T17" s="152">
        <f>31.75/100</f>
        <v>0.3175</v>
      </c>
      <c r="U17" s="152">
        <f>41.75/100</f>
        <v>0.41749999999999998</v>
      </c>
      <c r="V17" s="152">
        <f>47.25/100</f>
        <v>0.47249999999999998</v>
      </c>
      <c r="W17" s="152">
        <f>53.25/100</f>
        <v>0.53249999999999997</v>
      </c>
      <c r="X17" s="153"/>
      <c r="Y17" s="153"/>
      <c r="Z17" s="153"/>
      <c r="AA17" s="153"/>
      <c r="AB17" s="153"/>
      <c r="AC17" s="153"/>
      <c r="AD17" s="153"/>
      <c r="AE17" s="245">
        <f>7</f>
        <v>7</v>
      </c>
      <c r="AF17" s="153"/>
      <c r="AG17" s="153"/>
      <c r="AH17" s="163" t="s">
        <v>661</v>
      </c>
      <c r="AI17" s="130">
        <v>36891</v>
      </c>
      <c r="AJ17" s="163" t="s">
        <v>676</v>
      </c>
      <c r="AK17" s="136"/>
      <c r="AL17" s="28"/>
      <c r="AM17" s="28"/>
      <c r="AN17" s="28"/>
    </row>
    <row r="18" spans="1:40" x14ac:dyDescent="0.25">
      <c r="A18" s="142">
        <v>2000</v>
      </c>
      <c r="B18" s="142">
        <v>1999</v>
      </c>
      <c r="C18" s="340">
        <v>0</v>
      </c>
      <c r="D18" s="35">
        <f>26230</f>
        <v>26230</v>
      </c>
      <c r="E18" s="340">
        <f>51600</f>
        <v>51600</v>
      </c>
      <c r="F18" s="340">
        <f>90820</f>
        <v>90820</v>
      </c>
      <c r="G18" s="340">
        <f>147050</f>
        <v>147050</v>
      </c>
      <c r="H18" s="340">
        <v>239270.00000000003</v>
      </c>
      <c r="I18" s="340">
        <v>295070</v>
      </c>
      <c r="J18" s="153"/>
      <c r="K18" s="153"/>
      <c r="L18" s="153"/>
      <c r="M18" s="153"/>
      <c r="N18" s="153"/>
      <c r="O18" s="153"/>
      <c r="P18" s="153"/>
      <c r="Q18" s="151">
        <f>0%</f>
        <v>0</v>
      </c>
      <c r="R18" s="90">
        <f>9.5/100</f>
        <v>9.5000000000000001E-2</v>
      </c>
      <c r="S18" s="152">
        <f>23/100</f>
        <v>0.23</v>
      </c>
      <c r="T18" s="152">
        <f>33/100</f>
        <v>0.33</v>
      </c>
      <c r="U18" s="152">
        <f>43/100</f>
        <v>0.43</v>
      </c>
      <c r="V18" s="152">
        <f>48/100</f>
        <v>0.48</v>
      </c>
      <c r="W18" s="152">
        <f>54/100</f>
        <v>0.54</v>
      </c>
      <c r="X18" s="153"/>
      <c r="Y18" s="153"/>
      <c r="Z18" s="153"/>
      <c r="AA18" s="153"/>
      <c r="AB18" s="153"/>
      <c r="AC18" s="153"/>
      <c r="AD18" s="153"/>
      <c r="AE18" s="245">
        <f>7</f>
        <v>7</v>
      </c>
      <c r="AF18" s="153"/>
      <c r="AG18" s="153"/>
      <c r="AH18" s="212" t="s">
        <v>746</v>
      </c>
      <c r="AI18" s="130">
        <v>36525</v>
      </c>
      <c r="AJ18" s="163" t="s">
        <v>730</v>
      </c>
      <c r="AK18" s="368" t="s">
        <v>833</v>
      </c>
      <c r="AL18" s="28"/>
      <c r="AM18" s="28"/>
      <c r="AN18" s="28"/>
    </row>
    <row r="19" spans="1:40" x14ac:dyDescent="0.25">
      <c r="A19" s="142">
        <v>1999</v>
      </c>
      <c r="B19" s="142">
        <v>1998</v>
      </c>
      <c r="C19" s="340">
        <f>0</f>
        <v>0</v>
      </c>
      <c r="D19" s="340">
        <f>26100</f>
        <v>26100</v>
      </c>
      <c r="E19" s="340">
        <f>51340</f>
        <v>51340</v>
      </c>
      <c r="F19" s="340">
        <f>90370</f>
        <v>90370</v>
      </c>
      <c r="G19" s="340">
        <f>146320</f>
        <v>146320</v>
      </c>
      <c r="H19" s="340">
        <v>238080.00000000003</v>
      </c>
      <c r="I19" s="340">
        <v>293600</v>
      </c>
      <c r="J19" s="153"/>
      <c r="K19" s="153"/>
      <c r="L19" s="153"/>
      <c r="M19" s="153"/>
      <c r="N19" s="153"/>
      <c r="O19" s="153"/>
      <c r="P19" s="153"/>
      <c r="Q19" s="151">
        <f>0%</f>
        <v>0</v>
      </c>
      <c r="R19" s="152">
        <v>0.105</v>
      </c>
      <c r="S19" s="152">
        <f>24%</f>
        <v>0.24</v>
      </c>
      <c r="T19" s="152">
        <f>33%</f>
        <v>0.33</v>
      </c>
      <c r="U19" s="152">
        <f>43%</f>
        <v>0.43</v>
      </c>
      <c r="V19" s="152">
        <f>48%</f>
        <v>0.48</v>
      </c>
      <c r="W19" s="152">
        <f>54%</f>
        <v>0.54</v>
      </c>
      <c r="X19" s="153"/>
      <c r="Y19" s="153"/>
      <c r="Z19" s="153"/>
      <c r="AA19" s="153"/>
      <c r="AB19" s="153"/>
      <c r="AC19" s="153"/>
      <c r="AD19" s="153"/>
      <c r="AE19" s="245">
        <f>7</f>
        <v>7</v>
      </c>
      <c r="AF19" s="153"/>
      <c r="AG19" s="153"/>
      <c r="AH19" s="163" t="s">
        <v>662</v>
      </c>
      <c r="AI19" s="130">
        <v>36160</v>
      </c>
      <c r="AJ19" s="163" t="s">
        <v>676</v>
      </c>
      <c r="AK19" s="48"/>
      <c r="AL19" s="28"/>
      <c r="AM19" s="28"/>
      <c r="AN19" s="28"/>
    </row>
    <row r="20" spans="1:40" x14ac:dyDescent="0.25">
      <c r="A20" s="142">
        <v>1998</v>
      </c>
      <c r="B20" s="142">
        <v>1997</v>
      </c>
      <c r="C20" s="41">
        <v>0</v>
      </c>
      <c r="D20" s="41">
        <v>25890</v>
      </c>
      <c r="E20" s="41">
        <v>50930</v>
      </c>
      <c r="F20" s="41">
        <v>89650</v>
      </c>
      <c r="G20" s="41">
        <v>145160</v>
      </c>
      <c r="H20" s="41">
        <v>236190</v>
      </c>
      <c r="I20" s="41">
        <v>291270</v>
      </c>
      <c r="J20" s="153"/>
      <c r="K20" s="153"/>
      <c r="L20" s="153"/>
      <c r="M20" s="153"/>
      <c r="N20" s="153"/>
      <c r="O20" s="153"/>
      <c r="P20" s="153"/>
      <c r="Q20" s="151">
        <f>0%</f>
        <v>0</v>
      </c>
      <c r="R20" s="152">
        <v>0.105</v>
      </c>
      <c r="S20" s="152">
        <f>24%</f>
        <v>0.24</v>
      </c>
      <c r="T20" s="152">
        <f>33%</f>
        <v>0.33</v>
      </c>
      <c r="U20" s="152">
        <f>43%</f>
        <v>0.43</v>
      </c>
      <c r="V20" s="152">
        <f>48%</f>
        <v>0.48</v>
      </c>
      <c r="W20" s="152">
        <f>54%</f>
        <v>0.54</v>
      </c>
      <c r="X20" s="153"/>
      <c r="Y20" s="153"/>
      <c r="Z20" s="153"/>
      <c r="AA20" s="153"/>
      <c r="AB20" s="153"/>
      <c r="AC20" s="153"/>
      <c r="AD20" s="153"/>
      <c r="AE20" s="245">
        <f>7</f>
        <v>7</v>
      </c>
      <c r="AF20" s="153"/>
      <c r="AG20" s="153"/>
      <c r="AH20" s="163" t="s">
        <v>663</v>
      </c>
      <c r="AI20" s="130">
        <v>35795</v>
      </c>
      <c r="AJ20" s="163"/>
      <c r="AK20" s="48"/>
      <c r="AL20" s="28"/>
      <c r="AM20" s="28"/>
      <c r="AN20" s="28"/>
    </row>
    <row r="21" spans="1:40" x14ac:dyDescent="0.25">
      <c r="A21" s="142">
        <v>1997</v>
      </c>
      <c r="B21" s="142">
        <v>1996</v>
      </c>
      <c r="C21" s="340">
        <v>0</v>
      </c>
      <c r="D21" s="340">
        <f>25610</f>
        <v>25610</v>
      </c>
      <c r="E21" s="340">
        <f>50380</f>
        <v>50380</v>
      </c>
      <c r="F21" s="340">
        <f>88670</f>
        <v>88670</v>
      </c>
      <c r="G21" s="340">
        <f>143580</f>
        <v>143580</v>
      </c>
      <c r="H21" s="340">
        <v>233620</v>
      </c>
      <c r="I21" s="340">
        <v>288100</v>
      </c>
      <c r="J21" s="153"/>
      <c r="K21" s="153"/>
      <c r="L21" s="153"/>
      <c r="M21" s="153"/>
      <c r="N21" s="153"/>
      <c r="O21" s="153"/>
      <c r="P21" s="153"/>
      <c r="Q21" s="151">
        <f>0%</f>
        <v>0</v>
      </c>
      <c r="R21" s="152">
        <f>0.105</f>
        <v>0.105</v>
      </c>
      <c r="S21" s="152">
        <f>24%</f>
        <v>0.24</v>
      </c>
      <c r="T21" s="152">
        <f>33%</f>
        <v>0.33</v>
      </c>
      <c r="U21" s="152">
        <f>43%</f>
        <v>0.43</v>
      </c>
      <c r="V21" s="152">
        <f>48%</f>
        <v>0.48</v>
      </c>
      <c r="W21" s="152">
        <f>54%</f>
        <v>0.54</v>
      </c>
      <c r="X21" s="153"/>
      <c r="Y21" s="153"/>
      <c r="Z21" s="153"/>
      <c r="AA21" s="153"/>
      <c r="AB21" s="153"/>
      <c r="AC21" s="153"/>
      <c r="AD21" s="153"/>
      <c r="AE21" s="245">
        <f>7</f>
        <v>7</v>
      </c>
      <c r="AF21" s="153"/>
      <c r="AG21" s="153"/>
      <c r="AH21" s="344" t="s">
        <v>664</v>
      </c>
      <c r="AI21" s="130">
        <v>35430</v>
      </c>
      <c r="AJ21" s="163"/>
      <c r="AK21" s="48"/>
      <c r="AL21" s="28"/>
      <c r="AM21" s="28"/>
      <c r="AN21" s="28"/>
    </row>
    <row r="22" spans="1:40" x14ac:dyDescent="0.25">
      <c r="A22" s="142">
        <v>1996</v>
      </c>
      <c r="B22" s="142">
        <v>1995</v>
      </c>
      <c r="C22" s="340">
        <v>0</v>
      </c>
      <c r="D22" s="340">
        <v>22610</v>
      </c>
      <c r="E22" s="340">
        <v>49440</v>
      </c>
      <c r="F22" s="340">
        <v>87020</v>
      </c>
      <c r="G22" s="340">
        <v>140900</v>
      </c>
      <c r="H22" s="340">
        <v>229260</v>
      </c>
      <c r="I22" s="340">
        <v>282730</v>
      </c>
      <c r="J22" s="153"/>
      <c r="K22" s="153"/>
      <c r="L22" s="153"/>
      <c r="M22" s="153"/>
      <c r="N22" s="153"/>
      <c r="O22" s="153"/>
      <c r="P22" s="153"/>
      <c r="Q22" s="152">
        <v>0</v>
      </c>
      <c r="R22" s="152">
        <v>0.12</v>
      </c>
      <c r="S22" s="152">
        <v>0.25</v>
      </c>
      <c r="T22" s="152">
        <v>0.35</v>
      </c>
      <c r="U22" s="152">
        <v>0.45</v>
      </c>
      <c r="V22" s="152">
        <v>0.5</v>
      </c>
      <c r="W22" s="152">
        <v>0.56799999999999995</v>
      </c>
      <c r="X22" s="153"/>
      <c r="Y22" s="153"/>
      <c r="Z22" s="153"/>
      <c r="AA22" s="153"/>
      <c r="AB22" s="153"/>
      <c r="AC22" s="153"/>
      <c r="AD22" s="153"/>
      <c r="AE22" s="245">
        <f>7</f>
        <v>7</v>
      </c>
      <c r="AF22" s="153"/>
      <c r="AG22" s="153"/>
      <c r="AH22" s="345" t="s">
        <v>665</v>
      </c>
      <c r="AI22" s="130">
        <v>35064</v>
      </c>
      <c r="AJ22" s="345"/>
      <c r="AK22" s="48"/>
      <c r="AL22" s="28"/>
      <c r="AM22" s="28"/>
      <c r="AN22" s="28"/>
    </row>
    <row r="23" spans="1:40" x14ac:dyDescent="0.25">
      <c r="A23" s="142">
        <v>1995</v>
      </c>
      <c r="B23" s="142">
        <v>1994</v>
      </c>
      <c r="C23" s="340">
        <v>0</v>
      </c>
      <c r="D23" s="41">
        <v>22210</v>
      </c>
      <c r="E23" s="41">
        <v>48750</v>
      </c>
      <c r="F23" s="41">
        <v>85480</v>
      </c>
      <c r="G23" s="41">
        <v>138410</v>
      </c>
      <c r="H23" s="41">
        <v>225210</v>
      </c>
      <c r="I23" s="41">
        <v>277730</v>
      </c>
      <c r="J23" s="91"/>
      <c r="K23" s="91"/>
      <c r="L23" s="91"/>
      <c r="M23" s="91"/>
      <c r="N23" s="91"/>
      <c r="O23" s="91"/>
      <c r="P23" s="91"/>
      <c r="Q23" s="42">
        <v>0</v>
      </c>
      <c r="R23" s="42">
        <v>0.12</v>
      </c>
      <c r="S23" s="42">
        <v>0.25</v>
      </c>
      <c r="T23" s="42">
        <v>0.35</v>
      </c>
      <c r="U23" s="42">
        <v>0.45</v>
      </c>
      <c r="V23" s="42">
        <v>0.5</v>
      </c>
      <c r="W23" s="42">
        <v>0.56799999999999995</v>
      </c>
      <c r="X23" s="91"/>
      <c r="Y23" s="91"/>
      <c r="Z23" s="91"/>
      <c r="AA23" s="91"/>
      <c r="AB23" s="91"/>
      <c r="AC23" s="91"/>
      <c r="AD23" s="91"/>
      <c r="AE23" s="245">
        <f>7</f>
        <v>7</v>
      </c>
      <c r="AF23" s="91"/>
      <c r="AG23" s="91"/>
      <c r="AH23" s="345" t="s">
        <v>666</v>
      </c>
      <c r="AI23" s="138">
        <v>34699</v>
      </c>
      <c r="AJ23" s="161"/>
      <c r="AK23" s="48"/>
      <c r="AL23" s="28"/>
      <c r="AM23" s="28"/>
      <c r="AN23" s="28"/>
    </row>
    <row r="24" spans="1:40" x14ac:dyDescent="0.25">
      <c r="A24" s="142">
        <v>1994</v>
      </c>
      <c r="B24" s="142">
        <v>1993</v>
      </c>
      <c r="C24" s="340">
        <v>0</v>
      </c>
      <c r="D24" s="41">
        <v>21900</v>
      </c>
      <c r="E24" s="41">
        <v>47900</v>
      </c>
      <c r="F24" s="41">
        <v>84300</v>
      </c>
      <c r="G24" s="41">
        <v>136500</v>
      </c>
      <c r="H24" s="41">
        <v>222100</v>
      </c>
      <c r="I24" s="41">
        <v>273900</v>
      </c>
      <c r="J24" s="91"/>
      <c r="K24" s="91"/>
      <c r="L24" s="91"/>
      <c r="M24" s="91"/>
      <c r="N24" s="91"/>
      <c r="O24" s="91"/>
      <c r="P24" s="91"/>
      <c r="Q24" s="42">
        <v>0</v>
      </c>
      <c r="R24" s="42">
        <v>0.12</v>
      </c>
      <c r="S24" s="42">
        <v>0.25</v>
      </c>
      <c r="T24" s="42">
        <v>0.35</v>
      </c>
      <c r="U24" s="42">
        <v>0.45</v>
      </c>
      <c r="V24" s="42">
        <v>0.5</v>
      </c>
      <c r="W24" s="42">
        <v>0.56799999999999995</v>
      </c>
      <c r="X24" s="91"/>
      <c r="Y24" s="91"/>
      <c r="Z24" s="91"/>
      <c r="AA24" s="91"/>
      <c r="AB24" s="91"/>
      <c r="AC24" s="91"/>
      <c r="AD24" s="91"/>
      <c r="AE24" s="245">
        <f>7</f>
        <v>7</v>
      </c>
      <c r="AF24" s="91"/>
      <c r="AG24" s="91"/>
      <c r="AH24" s="344" t="s">
        <v>798</v>
      </c>
      <c r="AI24" s="138">
        <v>34334</v>
      </c>
      <c r="AJ24" s="148"/>
      <c r="AK24" s="161"/>
      <c r="AL24" s="28"/>
      <c r="AM24" s="28"/>
      <c r="AN24" s="28"/>
    </row>
    <row r="25" spans="1:40" x14ac:dyDescent="0.25">
      <c r="A25" s="142">
        <v>1993</v>
      </c>
      <c r="B25" s="142">
        <v>1992</v>
      </c>
      <c r="C25" s="340">
        <v>0</v>
      </c>
      <c r="D25" s="41">
        <v>19220</v>
      </c>
      <c r="E25" s="41">
        <v>20080</v>
      </c>
      <c r="F25" s="41">
        <v>23800</v>
      </c>
      <c r="G25" s="41">
        <v>37620</v>
      </c>
      <c r="H25" s="41">
        <v>48350</v>
      </c>
      <c r="I25" s="41">
        <v>60690</v>
      </c>
      <c r="J25" s="41">
        <v>73450</v>
      </c>
      <c r="K25" s="41">
        <v>84740</v>
      </c>
      <c r="L25" s="41">
        <v>141190</v>
      </c>
      <c r="M25" s="41">
        <v>194190</v>
      </c>
      <c r="N25" s="41">
        <v>229710</v>
      </c>
      <c r="O25" s="41">
        <v>261290</v>
      </c>
      <c r="P25" s="92"/>
      <c r="Q25" s="42">
        <v>0</v>
      </c>
      <c r="R25" s="93">
        <v>0.05</v>
      </c>
      <c r="S25" s="93">
        <v>9.6000000000000002E-2</v>
      </c>
      <c r="T25" s="93">
        <v>0.14399999999999999</v>
      </c>
      <c r="U25" s="93">
        <v>0.192</v>
      </c>
      <c r="V25" s="94">
        <v>0.24</v>
      </c>
      <c r="W25" s="94">
        <v>0.28799999999999998</v>
      </c>
      <c r="X25" s="94">
        <v>0.33600000000000002</v>
      </c>
      <c r="Y25" s="94">
        <v>0.38400000000000001</v>
      </c>
      <c r="Z25" s="94">
        <v>0.432</v>
      </c>
      <c r="AA25" s="94">
        <v>0.49</v>
      </c>
      <c r="AB25" s="94">
        <v>0.53900000000000003</v>
      </c>
      <c r="AC25" s="94">
        <v>0.56799999999999995</v>
      </c>
      <c r="AD25" s="95"/>
      <c r="AE25" s="246">
        <f>13</f>
        <v>13</v>
      </c>
      <c r="AF25" s="95"/>
      <c r="AG25" s="95"/>
      <c r="AH25" s="344" t="s">
        <v>811</v>
      </c>
      <c r="AI25" s="44">
        <v>33969</v>
      </c>
      <c r="AJ25" s="161"/>
      <c r="AK25" s="48"/>
      <c r="AL25" s="28"/>
      <c r="AM25" s="28"/>
      <c r="AN25" s="28"/>
    </row>
    <row r="26" spans="1:40" x14ac:dyDescent="0.25">
      <c r="A26" s="142">
        <v>1992</v>
      </c>
      <c r="B26" s="142">
        <v>1991</v>
      </c>
      <c r="C26" s="340">
        <v>0</v>
      </c>
      <c r="D26" s="41">
        <v>18690</v>
      </c>
      <c r="E26" s="41">
        <v>19530</v>
      </c>
      <c r="F26" s="41">
        <v>23150</v>
      </c>
      <c r="G26" s="41">
        <v>36590</v>
      </c>
      <c r="H26" s="41">
        <v>47030</v>
      </c>
      <c r="I26" s="41">
        <v>59040</v>
      </c>
      <c r="J26" s="41">
        <v>71450</v>
      </c>
      <c r="K26" s="41">
        <v>82430</v>
      </c>
      <c r="L26" s="41">
        <v>137340</v>
      </c>
      <c r="M26" s="41">
        <v>188900</v>
      </c>
      <c r="N26" s="41">
        <v>223450</v>
      </c>
      <c r="O26" s="41">
        <v>254170</v>
      </c>
      <c r="P26" s="92"/>
      <c r="Q26" s="42">
        <v>0</v>
      </c>
      <c r="R26" s="93">
        <v>0.05</v>
      </c>
      <c r="S26" s="93">
        <v>9.6000000000000002E-2</v>
      </c>
      <c r="T26" s="93">
        <v>0.14399999999999999</v>
      </c>
      <c r="U26" s="93">
        <v>0.192</v>
      </c>
      <c r="V26" s="94">
        <v>0.24</v>
      </c>
      <c r="W26" s="94">
        <v>0.28799999999999998</v>
      </c>
      <c r="X26" s="94">
        <v>0.33600000000000002</v>
      </c>
      <c r="Y26" s="94">
        <v>0.38400000000000001</v>
      </c>
      <c r="Z26" s="94">
        <v>0.432</v>
      </c>
      <c r="AA26" s="94">
        <v>0.49</v>
      </c>
      <c r="AB26" s="94">
        <v>0.53900000000000003</v>
      </c>
      <c r="AC26" s="94">
        <v>0.56799999999999995</v>
      </c>
      <c r="AD26" s="95"/>
      <c r="AE26" s="246">
        <f>13</f>
        <v>13</v>
      </c>
      <c r="AF26" s="95"/>
      <c r="AG26" s="95"/>
      <c r="AH26" s="344" t="s">
        <v>799</v>
      </c>
      <c r="AI26" s="44">
        <v>33603</v>
      </c>
      <c r="AJ26" s="161"/>
      <c r="AK26" s="96"/>
      <c r="AL26" s="28"/>
      <c r="AM26" s="28"/>
      <c r="AN26" s="28"/>
    </row>
    <row r="27" spans="1:40" x14ac:dyDescent="0.25">
      <c r="A27" s="142">
        <v>1991</v>
      </c>
      <c r="B27" s="142">
        <v>1990</v>
      </c>
      <c r="C27" s="340">
        <v>0</v>
      </c>
      <c r="D27" s="41">
        <v>18140</v>
      </c>
      <c r="E27" s="41">
        <v>18960</v>
      </c>
      <c r="F27" s="41">
        <v>22470</v>
      </c>
      <c r="G27" s="41">
        <v>35520</v>
      </c>
      <c r="H27" s="41">
        <v>45660</v>
      </c>
      <c r="I27" s="41">
        <v>57320</v>
      </c>
      <c r="J27" s="41">
        <v>69370</v>
      </c>
      <c r="K27" s="41">
        <v>80030</v>
      </c>
      <c r="L27" s="41">
        <v>133340</v>
      </c>
      <c r="M27" s="41">
        <v>183400</v>
      </c>
      <c r="N27" s="41">
        <v>216940</v>
      </c>
      <c r="O27" s="41">
        <v>246770</v>
      </c>
      <c r="P27" s="92"/>
      <c r="Q27" s="42">
        <v>0</v>
      </c>
      <c r="R27" s="93">
        <v>0.05</v>
      </c>
      <c r="S27" s="93">
        <v>9.6000000000000002E-2</v>
      </c>
      <c r="T27" s="93">
        <v>0.14399999999999999</v>
      </c>
      <c r="U27" s="93">
        <v>0.192</v>
      </c>
      <c r="V27" s="94">
        <v>0.24</v>
      </c>
      <c r="W27" s="94">
        <v>0.28799999999999998</v>
      </c>
      <c r="X27" s="94">
        <v>0.33600000000000002</v>
      </c>
      <c r="Y27" s="94">
        <v>0.38400000000000001</v>
      </c>
      <c r="Z27" s="94">
        <v>0.432</v>
      </c>
      <c r="AA27" s="94">
        <v>0.49</v>
      </c>
      <c r="AB27" s="94">
        <v>0.53900000000000003</v>
      </c>
      <c r="AC27" s="94">
        <v>0.56799999999999995</v>
      </c>
      <c r="AD27" s="95"/>
      <c r="AE27" s="246">
        <f>13</f>
        <v>13</v>
      </c>
      <c r="AF27" s="95"/>
      <c r="AG27" s="95"/>
      <c r="AH27" s="344" t="s">
        <v>800</v>
      </c>
      <c r="AI27" s="138">
        <v>33237</v>
      </c>
      <c r="AJ27" s="161"/>
      <c r="AK27" s="96"/>
      <c r="AL27" s="28"/>
      <c r="AM27" s="28"/>
      <c r="AN27" s="28"/>
    </row>
    <row r="28" spans="1:40" x14ac:dyDescent="0.25">
      <c r="A28" s="142">
        <v>1990</v>
      </c>
      <c r="B28" s="142">
        <v>1989</v>
      </c>
      <c r="C28" s="340">
        <v>0</v>
      </c>
      <c r="D28" s="41">
        <v>17570</v>
      </c>
      <c r="E28" s="41">
        <v>18370</v>
      </c>
      <c r="F28" s="41">
        <v>21770</v>
      </c>
      <c r="G28" s="41">
        <v>34410</v>
      </c>
      <c r="H28" s="41">
        <v>44240</v>
      </c>
      <c r="I28" s="41">
        <v>55540</v>
      </c>
      <c r="J28" s="41">
        <v>67220</v>
      </c>
      <c r="K28" s="41">
        <v>77550</v>
      </c>
      <c r="L28" s="41">
        <v>129210</v>
      </c>
      <c r="M28" s="41">
        <v>117710</v>
      </c>
      <c r="N28" s="41">
        <v>210210</v>
      </c>
      <c r="O28" s="41">
        <v>239120</v>
      </c>
      <c r="P28" s="92"/>
      <c r="Q28" s="42">
        <v>0</v>
      </c>
      <c r="R28" s="93">
        <v>0.05</v>
      </c>
      <c r="S28" s="93">
        <v>9.6000000000000002E-2</v>
      </c>
      <c r="T28" s="93">
        <v>0.14399999999999999</v>
      </c>
      <c r="U28" s="93">
        <v>0.192</v>
      </c>
      <c r="V28" s="94">
        <v>0.24</v>
      </c>
      <c r="W28" s="94">
        <v>0.28799999999999998</v>
      </c>
      <c r="X28" s="94">
        <v>0.33600000000000002</v>
      </c>
      <c r="Y28" s="94">
        <v>0.38400000000000001</v>
      </c>
      <c r="Z28" s="94">
        <v>0.432</v>
      </c>
      <c r="AA28" s="94">
        <v>0.49</v>
      </c>
      <c r="AB28" s="94">
        <v>0.53900000000000003</v>
      </c>
      <c r="AC28" s="94">
        <v>0.56799999999999995</v>
      </c>
      <c r="AD28" s="95"/>
      <c r="AE28" s="246">
        <f>13</f>
        <v>13</v>
      </c>
      <c r="AF28" s="95"/>
      <c r="AG28" s="95"/>
      <c r="AH28" s="344" t="s">
        <v>801</v>
      </c>
      <c r="AI28" s="138">
        <v>32872</v>
      </c>
      <c r="AJ28" s="161"/>
      <c r="AK28" s="96"/>
      <c r="AL28" s="28"/>
      <c r="AM28" s="28"/>
      <c r="AN28" s="28"/>
    </row>
    <row r="29" spans="1:40" x14ac:dyDescent="0.25">
      <c r="A29" s="142">
        <v>1989</v>
      </c>
      <c r="B29" s="142">
        <v>1988</v>
      </c>
      <c r="C29" s="340">
        <v>0</v>
      </c>
      <c r="D29" s="41">
        <v>17000</v>
      </c>
      <c r="E29" s="41">
        <v>17780</v>
      </c>
      <c r="F29" s="41">
        <v>21070</v>
      </c>
      <c r="G29" s="41">
        <v>33310</v>
      </c>
      <c r="H29" s="41">
        <v>42820</v>
      </c>
      <c r="I29" s="41">
        <v>53770</v>
      </c>
      <c r="J29" s="41">
        <v>65070</v>
      </c>
      <c r="K29" s="41">
        <v>75070</v>
      </c>
      <c r="L29" s="41">
        <v>125080</v>
      </c>
      <c r="M29" s="41">
        <v>172030</v>
      </c>
      <c r="N29" s="41">
        <v>203490</v>
      </c>
      <c r="O29" s="41">
        <v>231480</v>
      </c>
      <c r="P29" s="92"/>
      <c r="Q29" s="42">
        <v>0</v>
      </c>
      <c r="R29" s="93">
        <v>0.05</v>
      </c>
      <c r="S29" s="93">
        <v>9.6000000000000002E-2</v>
      </c>
      <c r="T29" s="93">
        <v>0.14399999999999999</v>
      </c>
      <c r="U29" s="93">
        <v>0.192</v>
      </c>
      <c r="V29" s="94">
        <v>0.24</v>
      </c>
      <c r="W29" s="94">
        <v>0.28799999999999998</v>
      </c>
      <c r="X29" s="94">
        <v>0.33600000000000002</v>
      </c>
      <c r="Y29" s="94">
        <v>0.38400000000000001</v>
      </c>
      <c r="Z29" s="94">
        <v>0.432</v>
      </c>
      <c r="AA29" s="94">
        <v>0.49</v>
      </c>
      <c r="AB29" s="94">
        <v>0.53900000000000003</v>
      </c>
      <c r="AC29" s="94">
        <v>0.56799999999999995</v>
      </c>
      <c r="AD29" s="95"/>
      <c r="AE29" s="246">
        <f>13</f>
        <v>13</v>
      </c>
      <c r="AF29" s="95"/>
      <c r="AG29" s="95"/>
      <c r="AH29" s="344" t="s">
        <v>802</v>
      </c>
      <c r="AI29" s="44">
        <v>32505</v>
      </c>
      <c r="AJ29" s="161"/>
      <c r="AK29" s="96"/>
      <c r="AL29" s="28"/>
      <c r="AM29" s="28"/>
      <c r="AN29" s="28"/>
    </row>
    <row r="30" spans="1:40" x14ac:dyDescent="0.25">
      <c r="A30" s="142">
        <v>1988</v>
      </c>
      <c r="B30" s="142">
        <v>1987</v>
      </c>
      <c r="C30" s="340">
        <v>0</v>
      </c>
      <c r="D30" s="41">
        <v>16560</v>
      </c>
      <c r="E30" s="41">
        <v>17320</v>
      </c>
      <c r="F30" s="41">
        <v>20530</v>
      </c>
      <c r="G30" s="41">
        <v>32460</v>
      </c>
      <c r="H30" s="41">
        <v>41730</v>
      </c>
      <c r="I30" s="41">
        <v>52410</v>
      </c>
      <c r="J30" s="41">
        <v>63420</v>
      </c>
      <c r="K30" s="41">
        <v>73170</v>
      </c>
      <c r="L30" s="41">
        <v>121910</v>
      </c>
      <c r="M30" s="41">
        <v>167670</v>
      </c>
      <c r="N30" s="41">
        <v>198330</v>
      </c>
      <c r="O30" s="41">
        <v>225610</v>
      </c>
      <c r="P30" s="92"/>
      <c r="Q30" s="42">
        <v>0</v>
      </c>
      <c r="R30" s="93">
        <v>0.05</v>
      </c>
      <c r="S30" s="93">
        <v>9.6000000000000002E-2</v>
      </c>
      <c r="T30" s="93">
        <v>0.14399999999999999</v>
      </c>
      <c r="U30" s="93">
        <v>0.192</v>
      </c>
      <c r="V30" s="94">
        <v>0.24</v>
      </c>
      <c r="W30" s="94">
        <v>0.28799999999999998</v>
      </c>
      <c r="X30" s="94">
        <v>0.33600000000000002</v>
      </c>
      <c r="Y30" s="94">
        <v>0.38400000000000001</v>
      </c>
      <c r="Z30" s="94">
        <v>0.432</v>
      </c>
      <c r="AA30" s="94">
        <v>0.49</v>
      </c>
      <c r="AB30" s="94">
        <v>0.53900000000000003</v>
      </c>
      <c r="AC30" s="94">
        <v>0.56799999999999995</v>
      </c>
      <c r="AD30" s="95"/>
      <c r="AE30" s="246">
        <f>13</f>
        <v>13</v>
      </c>
      <c r="AF30" s="95"/>
      <c r="AG30" s="95"/>
      <c r="AH30" s="365" t="s">
        <v>803</v>
      </c>
      <c r="AI30" s="44">
        <v>32142</v>
      </c>
      <c r="AJ30" s="161"/>
      <c r="AK30" s="96"/>
      <c r="AL30" s="28"/>
      <c r="AM30" s="28"/>
      <c r="AN30" s="28"/>
    </row>
    <row r="31" spans="1:40" x14ac:dyDescent="0.25">
      <c r="A31" s="142">
        <v>1987</v>
      </c>
      <c r="B31" s="142">
        <v>1986</v>
      </c>
      <c r="C31" s="340">
        <v>0</v>
      </c>
      <c r="D31" s="41">
        <v>16030</v>
      </c>
      <c r="E31" s="41">
        <v>16760</v>
      </c>
      <c r="F31" s="41">
        <v>19870</v>
      </c>
      <c r="G31" s="41">
        <v>31420</v>
      </c>
      <c r="H31" s="41">
        <v>40390</v>
      </c>
      <c r="I31" s="41">
        <v>50740</v>
      </c>
      <c r="J31" s="41">
        <v>61390</v>
      </c>
      <c r="K31" s="41">
        <v>70830</v>
      </c>
      <c r="L31" s="41">
        <v>118020</v>
      </c>
      <c r="M31" s="41">
        <v>162310</v>
      </c>
      <c r="N31" s="41">
        <v>191990</v>
      </c>
      <c r="O31" s="41">
        <v>218400</v>
      </c>
      <c r="P31" s="92"/>
      <c r="Q31" s="42">
        <v>0</v>
      </c>
      <c r="R31" s="93">
        <v>0.05</v>
      </c>
      <c r="S31" s="93">
        <v>0.1</v>
      </c>
      <c r="T31" s="93">
        <v>0.15</v>
      </c>
      <c r="U31" s="93">
        <v>0.2</v>
      </c>
      <c r="V31" s="93">
        <v>0.25</v>
      </c>
      <c r="W31" s="93">
        <v>0.3</v>
      </c>
      <c r="X31" s="93">
        <v>0.35</v>
      </c>
      <c r="Y31" s="93">
        <v>0.4</v>
      </c>
      <c r="Z31" s="93">
        <v>0.45</v>
      </c>
      <c r="AA31" s="93">
        <v>0.5</v>
      </c>
      <c r="AB31" s="93">
        <v>0.55000000000000004</v>
      </c>
      <c r="AC31" s="93">
        <v>0.57999999999999996</v>
      </c>
      <c r="AD31" s="92"/>
      <c r="AE31" s="246">
        <f>13</f>
        <v>13</v>
      </c>
      <c r="AF31" s="92"/>
      <c r="AG31" s="92"/>
      <c r="AH31" s="344" t="s">
        <v>804</v>
      </c>
      <c r="AI31" s="44">
        <v>31777</v>
      </c>
      <c r="AJ31" s="161"/>
      <c r="AK31" s="96"/>
      <c r="AL31" s="28"/>
      <c r="AM31" s="28"/>
      <c r="AN31" s="28"/>
    </row>
    <row r="32" spans="1:40" x14ac:dyDescent="0.25">
      <c r="A32" s="142">
        <v>1986</v>
      </c>
      <c r="B32" s="142">
        <v>1985</v>
      </c>
      <c r="C32" s="340">
        <v>0</v>
      </c>
      <c r="D32" s="41">
        <v>15650</v>
      </c>
      <c r="E32" s="41">
        <v>16360</v>
      </c>
      <c r="F32" s="41">
        <v>19400</v>
      </c>
      <c r="G32" s="41">
        <v>30680</v>
      </c>
      <c r="H32" s="41">
        <v>39440</v>
      </c>
      <c r="I32" s="41">
        <v>49550</v>
      </c>
      <c r="J32" s="41">
        <v>59950</v>
      </c>
      <c r="K32" s="41">
        <v>69170</v>
      </c>
      <c r="L32" s="41">
        <v>115250</v>
      </c>
      <c r="M32" s="41">
        <v>158510</v>
      </c>
      <c r="N32" s="41">
        <v>187490</v>
      </c>
      <c r="O32" s="41">
        <v>213280</v>
      </c>
      <c r="P32" s="41">
        <v>241740</v>
      </c>
      <c r="Q32" s="42">
        <v>0</v>
      </c>
      <c r="R32" s="93">
        <v>0.05</v>
      </c>
      <c r="S32" s="93">
        <v>0.1</v>
      </c>
      <c r="T32" s="93">
        <v>0.15</v>
      </c>
      <c r="U32" s="93">
        <v>0.2</v>
      </c>
      <c r="V32" s="93">
        <v>0.25</v>
      </c>
      <c r="W32" s="93">
        <v>0.3</v>
      </c>
      <c r="X32" s="93">
        <v>0.35</v>
      </c>
      <c r="Y32" s="93">
        <v>0.4</v>
      </c>
      <c r="Z32" s="93">
        <v>0.45</v>
      </c>
      <c r="AA32" s="93">
        <v>0.5</v>
      </c>
      <c r="AB32" s="93">
        <v>0.55000000000000004</v>
      </c>
      <c r="AC32" s="93">
        <v>0.6</v>
      </c>
      <c r="AD32" s="93">
        <v>0.65</v>
      </c>
      <c r="AE32" s="245">
        <f>14</f>
        <v>14</v>
      </c>
      <c r="AF32" s="92"/>
      <c r="AG32" s="92"/>
      <c r="AH32" s="344" t="s">
        <v>805</v>
      </c>
      <c r="AI32" s="44">
        <v>31412</v>
      </c>
      <c r="AJ32" s="161"/>
      <c r="AK32" s="96"/>
      <c r="AL32" s="28"/>
      <c r="AM32" s="28"/>
      <c r="AN32" s="28"/>
    </row>
    <row r="33" spans="1:40" x14ac:dyDescent="0.25">
      <c r="A33" s="142">
        <v>1985</v>
      </c>
      <c r="B33" s="142">
        <v>1984</v>
      </c>
      <c r="C33" s="340">
        <v>0</v>
      </c>
      <c r="D33" s="41">
        <v>14820</v>
      </c>
      <c r="E33" s="41">
        <v>15490</v>
      </c>
      <c r="F33" s="41">
        <v>18370</v>
      </c>
      <c r="G33" s="41">
        <v>29050</v>
      </c>
      <c r="H33" s="41">
        <v>37340</v>
      </c>
      <c r="I33" s="41">
        <v>46920</v>
      </c>
      <c r="J33" s="41">
        <v>56770</v>
      </c>
      <c r="K33" s="41">
        <v>65500</v>
      </c>
      <c r="L33" s="41">
        <v>109140</v>
      </c>
      <c r="M33" s="41">
        <v>150100</v>
      </c>
      <c r="N33" s="41">
        <v>177550</v>
      </c>
      <c r="O33" s="41">
        <v>201970</v>
      </c>
      <c r="P33" s="41">
        <v>228920</v>
      </c>
      <c r="Q33" s="42">
        <v>0</v>
      </c>
      <c r="R33" s="93">
        <v>0.05</v>
      </c>
      <c r="S33" s="93">
        <v>0.1</v>
      </c>
      <c r="T33" s="93">
        <v>0.15</v>
      </c>
      <c r="U33" s="93">
        <v>0.2</v>
      </c>
      <c r="V33" s="93">
        <v>0.25</v>
      </c>
      <c r="W33" s="93">
        <v>0.3</v>
      </c>
      <c r="X33" s="93">
        <v>0.35</v>
      </c>
      <c r="Y33" s="93">
        <v>0.4</v>
      </c>
      <c r="Z33" s="93">
        <v>0.45</v>
      </c>
      <c r="AA33" s="93">
        <v>0.5</v>
      </c>
      <c r="AB33" s="93">
        <v>0.55000000000000004</v>
      </c>
      <c r="AC33" s="93">
        <v>0.6</v>
      </c>
      <c r="AD33" s="93">
        <v>0.65</v>
      </c>
      <c r="AE33" s="245">
        <f>14</f>
        <v>14</v>
      </c>
      <c r="AF33" s="92"/>
      <c r="AG33" s="92"/>
      <c r="AH33" s="344" t="s">
        <v>806</v>
      </c>
      <c r="AI33" s="138">
        <v>31046</v>
      </c>
      <c r="AJ33" s="161"/>
      <c r="AK33" s="96"/>
      <c r="AL33" s="28"/>
      <c r="AM33" s="28"/>
      <c r="AN33" s="28"/>
    </row>
    <row r="34" spans="1:40" x14ac:dyDescent="0.25">
      <c r="A34" s="142">
        <v>1984</v>
      </c>
      <c r="B34" s="142">
        <v>1983</v>
      </c>
      <c r="C34" s="340">
        <v>0</v>
      </c>
      <c r="D34" s="41">
        <v>13770</v>
      </c>
      <c r="E34" s="41">
        <v>14390</v>
      </c>
      <c r="F34" s="41">
        <v>17070</v>
      </c>
      <c r="G34" s="41">
        <v>26990</v>
      </c>
      <c r="H34" s="41">
        <v>34700</v>
      </c>
      <c r="I34" s="41">
        <v>43610</v>
      </c>
      <c r="J34" s="41">
        <v>52760</v>
      </c>
      <c r="K34" s="41">
        <v>60870</v>
      </c>
      <c r="L34" s="41">
        <v>101430</v>
      </c>
      <c r="M34" s="41">
        <v>139500</v>
      </c>
      <c r="N34" s="41">
        <v>165010</v>
      </c>
      <c r="O34" s="41">
        <v>187700</v>
      </c>
      <c r="P34" s="41">
        <v>212750</v>
      </c>
      <c r="Q34" s="42">
        <v>0</v>
      </c>
      <c r="R34" s="93">
        <v>0.05</v>
      </c>
      <c r="S34" s="93">
        <v>0.1</v>
      </c>
      <c r="T34" s="93">
        <v>0.15</v>
      </c>
      <c r="U34" s="93">
        <v>0.2</v>
      </c>
      <c r="V34" s="93">
        <v>0.25</v>
      </c>
      <c r="W34" s="93">
        <v>0.3</v>
      </c>
      <c r="X34" s="93">
        <v>0.35</v>
      </c>
      <c r="Y34" s="93">
        <v>0.4</v>
      </c>
      <c r="Z34" s="93">
        <v>0.45</v>
      </c>
      <c r="AA34" s="93">
        <v>0.5</v>
      </c>
      <c r="AB34" s="93">
        <v>0.55000000000000004</v>
      </c>
      <c r="AC34" s="93">
        <v>0.6</v>
      </c>
      <c r="AD34" s="93">
        <v>0.65</v>
      </c>
      <c r="AE34" s="245">
        <f>14</f>
        <v>14</v>
      </c>
      <c r="AF34" s="92"/>
      <c r="AG34" s="92"/>
      <c r="AH34" s="344" t="s">
        <v>807</v>
      </c>
      <c r="AI34" s="138">
        <v>30680</v>
      </c>
      <c r="AJ34" s="161"/>
      <c r="AK34" s="96"/>
      <c r="AL34" s="28"/>
      <c r="AM34" s="28"/>
      <c r="AN34" s="28"/>
    </row>
    <row r="35" spans="1:40" x14ac:dyDescent="0.25">
      <c r="A35" s="142">
        <v>1983</v>
      </c>
      <c r="B35" s="142">
        <v>1982</v>
      </c>
      <c r="C35" s="340">
        <v>0</v>
      </c>
      <c r="D35" s="41">
        <v>12620</v>
      </c>
      <c r="E35" s="41">
        <v>13190</v>
      </c>
      <c r="F35" s="41">
        <v>15640</v>
      </c>
      <c r="G35" s="41">
        <v>24740</v>
      </c>
      <c r="H35" s="41">
        <v>31810</v>
      </c>
      <c r="I35" s="41">
        <v>39970</v>
      </c>
      <c r="J35" s="41">
        <v>48370</v>
      </c>
      <c r="K35" s="41">
        <v>55790</v>
      </c>
      <c r="L35" s="41">
        <v>92970</v>
      </c>
      <c r="M35" s="41">
        <v>127860</v>
      </c>
      <c r="N35" s="41">
        <v>151250</v>
      </c>
      <c r="O35" s="41">
        <v>172040</v>
      </c>
      <c r="P35" s="41">
        <v>195000</v>
      </c>
      <c r="Q35" s="42">
        <v>0</v>
      </c>
      <c r="R35" s="93">
        <v>0.05</v>
      </c>
      <c r="S35" s="93">
        <v>0.1</v>
      </c>
      <c r="T35" s="93">
        <v>0.15</v>
      </c>
      <c r="U35" s="93">
        <v>0.2</v>
      </c>
      <c r="V35" s="93">
        <v>0.25</v>
      </c>
      <c r="W35" s="93">
        <v>0.3</v>
      </c>
      <c r="X35" s="93">
        <v>0.35</v>
      </c>
      <c r="Y35" s="93">
        <v>0.4</v>
      </c>
      <c r="Z35" s="93">
        <v>0.45</v>
      </c>
      <c r="AA35" s="93">
        <v>0.5</v>
      </c>
      <c r="AB35" s="93">
        <v>0.55000000000000004</v>
      </c>
      <c r="AC35" s="93">
        <v>0.6</v>
      </c>
      <c r="AD35" s="93">
        <v>0.65</v>
      </c>
      <c r="AE35" s="245">
        <f>14</f>
        <v>14</v>
      </c>
      <c r="AF35" s="92"/>
      <c r="AG35" s="92"/>
      <c r="AH35" s="344" t="s">
        <v>808</v>
      </c>
      <c r="AI35" s="138">
        <v>30315</v>
      </c>
      <c r="AJ35" s="161"/>
      <c r="AK35" s="96"/>
      <c r="AL35" s="28"/>
      <c r="AM35" s="28"/>
      <c r="AN35" s="28"/>
    </row>
    <row r="36" spans="1:40" x14ac:dyDescent="0.25">
      <c r="A36" s="142">
        <v>1982</v>
      </c>
      <c r="B36" s="142">
        <v>1981</v>
      </c>
      <c r="C36" s="340">
        <v>0</v>
      </c>
      <c r="D36" s="41">
        <v>11230</v>
      </c>
      <c r="E36" s="41">
        <v>11740</v>
      </c>
      <c r="F36" s="41">
        <v>13930</v>
      </c>
      <c r="G36" s="41">
        <v>22030</v>
      </c>
      <c r="H36" s="41">
        <v>28320</v>
      </c>
      <c r="I36" s="41">
        <v>35590</v>
      </c>
      <c r="J36" s="41">
        <v>43060</v>
      </c>
      <c r="K36" s="41">
        <v>49680</v>
      </c>
      <c r="L36" s="41">
        <v>82790</v>
      </c>
      <c r="M36" s="41">
        <v>113860</v>
      </c>
      <c r="N36" s="41">
        <v>134680</v>
      </c>
      <c r="O36" s="41">
        <v>153200</v>
      </c>
      <c r="P36" s="92"/>
      <c r="Q36" s="42">
        <v>0</v>
      </c>
      <c r="R36" s="93">
        <v>0.05</v>
      </c>
      <c r="S36" s="93">
        <v>0.1</v>
      </c>
      <c r="T36" s="93">
        <v>0.15</v>
      </c>
      <c r="U36" s="93">
        <v>0.2</v>
      </c>
      <c r="V36" s="93">
        <v>0.25</v>
      </c>
      <c r="W36" s="93">
        <v>0.3</v>
      </c>
      <c r="X36" s="93">
        <v>0.35</v>
      </c>
      <c r="Y36" s="93">
        <v>0.4</v>
      </c>
      <c r="Z36" s="93">
        <v>0.45</v>
      </c>
      <c r="AA36" s="93">
        <v>0.5</v>
      </c>
      <c r="AB36" s="93">
        <v>0.55000000000000004</v>
      </c>
      <c r="AC36" s="93">
        <v>0.6</v>
      </c>
      <c r="AD36" s="92"/>
      <c r="AE36" s="245">
        <f>13</f>
        <v>13</v>
      </c>
      <c r="AF36" s="92"/>
      <c r="AG36" s="92"/>
      <c r="AH36" s="365" t="s">
        <v>809</v>
      </c>
      <c r="AI36" s="138">
        <v>29951</v>
      </c>
      <c r="AJ36" s="161"/>
      <c r="AK36" s="96"/>
      <c r="AL36" s="28"/>
      <c r="AM36" s="28"/>
      <c r="AN36" s="28"/>
    </row>
    <row r="37" spans="1:40" x14ac:dyDescent="0.25">
      <c r="A37" s="142">
        <v>1981</v>
      </c>
      <c r="B37" s="142">
        <v>1980</v>
      </c>
      <c r="C37" s="340">
        <v>0</v>
      </c>
      <c r="D37" s="41">
        <v>9890</v>
      </c>
      <c r="E37" s="41">
        <v>10340</v>
      </c>
      <c r="F37" s="41">
        <v>12270</v>
      </c>
      <c r="G37" s="41">
        <v>19410</v>
      </c>
      <c r="H37" s="41">
        <v>24950</v>
      </c>
      <c r="I37" s="41">
        <v>31360</v>
      </c>
      <c r="J37" s="41">
        <v>37970</v>
      </c>
      <c r="K37" s="41">
        <v>43770</v>
      </c>
      <c r="L37" s="41">
        <v>72940</v>
      </c>
      <c r="M37" s="41">
        <v>100320</v>
      </c>
      <c r="N37" s="41">
        <v>118660</v>
      </c>
      <c r="O37" s="41">
        <v>135000</v>
      </c>
      <c r="P37" s="92"/>
      <c r="Q37" s="42">
        <v>0</v>
      </c>
      <c r="R37" s="93">
        <v>0.05</v>
      </c>
      <c r="S37" s="93">
        <v>0.1</v>
      </c>
      <c r="T37" s="93">
        <v>0.15</v>
      </c>
      <c r="U37" s="93">
        <v>0.2</v>
      </c>
      <c r="V37" s="93">
        <v>0.25</v>
      </c>
      <c r="W37" s="93">
        <v>0.3</v>
      </c>
      <c r="X37" s="93">
        <v>0.35</v>
      </c>
      <c r="Y37" s="93">
        <v>0.4</v>
      </c>
      <c r="Z37" s="93">
        <v>0.45</v>
      </c>
      <c r="AA37" s="93">
        <v>0.5</v>
      </c>
      <c r="AB37" s="93">
        <v>0.55000000000000004</v>
      </c>
      <c r="AC37" s="93">
        <v>0.6</v>
      </c>
      <c r="AD37" s="92"/>
      <c r="AE37" s="245">
        <f>13</f>
        <v>13</v>
      </c>
      <c r="AF37" s="92"/>
      <c r="AG37" s="92"/>
      <c r="AH37" s="365" t="s">
        <v>810</v>
      </c>
      <c r="AI37" s="138">
        <v>29586</v>
      </c>
      <c r="AJ37" s="161"/>
      <c r="AK37" s="96"/>
      <c r="AL37" s="28"/>
      <c r="AM37" s="28"/>
      <c r="AN37" s="28"/>
    </row>
    <row r="38" spans="1:40" x14ac:dyDescent="0.25">
      <c r="A38" s="142">
        <v>1980</v>
      </c>
      <c r="B38" s="142">
        <v>1979</v>
      </c>
      <c r="C38" s="340">
        <v>0</v>
      </c>
      <c r="D38" s="41">
        <v>8725</v>
      </c>
      <c r="E38" s="41">
        <v>9125</v>
      </c>
      <c r="F38" s="41">
        <v>10825</v>
      </c>
      <c r="G38" s="41">
        <v>17125</v>
      </c>
      <c r="H38" s="41">
        <v>22275</v>
      </c>
      <c r="I38" s="41">
        <v>28000</v>
      </c>
      <c r="J38" s="41">
        <v>33875</v>
      </c>
      <c r="K38" s="41">
        <v>39075</v>
      </c>
      <c r="L38" s="41">
        <v>65125</v>
      </c>
      <c r="M38" s="41">
        <v>89575</v>
      </c>
      <c r="N38" s="41">
        <v>105950</v>
      </c>
      <c r="O38" s="41">
        <v>125050</v>
      </c>
      <c r="P38" s="92"/>
      <c r="Q38" s="42">
        <v>0</v>
      </c>
      <c r="R38" s="93">
        <v>0.05</v>
      </c>
      <c r="S38" s="93">
        <v>0.1</v>
      </c>
      <c r="T38" s="93">
        <v>0.15</v>
      </c>
      <c r="U38" s="93">
        <v>0.2</v>
      </c>
      <c r="V38" s="93">
        <v>0.25</v>
      </c>
      <c r="W38" s="93">
        <v>0.3</v>
      </c>
      <c r="X38" s="93">
        <v>0.35</v>
      </c>
      <c r="Y38" s="93">
        <v>0.4</v>
      </c>
      <c r="Z38" s="93">
        <v>0.45</v>
      </c>
      <c r="AA38" s="93">
        <v>0.5</v>
      </c>
      <c r="AB38" s="93">
        <v>0.55000000000000004</v>
      </c>
      <c r="AC38" s="93">
        <v>0.6</v>
      </c>
      <c r="AD38" s="92"/>
      <c r="AE38" s="245">
        <f>13</f>
        <v>13</v>
      </c>
      <c r="AF38" s="92"/>
      <c r="AG38" s="92"/>
      <c r="AH38" s="365" t="s">
        <v>989</v>
      </c>
      <c r="AI38" s="379">
        <v>29239</v>
      </c>
      <c r="AJ38" s="161"/>
      <c r="AK38" s="96"/>
      <c r="AL38" s="28"/>
      <c r="AM38" s="28"/>
      <c r="AN38" s="28"/>
    </row>
    <row r="39" spans="1:40" x14ac:dyDescent="0.25">
      <c r="A39" s="142">
        <v>1979</v>
      </c>
      <c r="B39" s="142">
        <v>1978</v>
      </c>
      <c r="C39" s="340">
        <v>0</v>
      </c>
      <c r="D39" s="41">
        <v>7925</v>
      </c>
      <c r="E39" s="41">
        <v>8300</v>
      </c>
      <c r="F39" s="41">
        <v>9925</v>
      </c>
      <c r="G39" s="41">
        <v>15700</v>
      </c>
      <c r="H39" s="41">
        <v>20625</v>
      </c>
      <c r="I39" s="41">
        <v>25925</v>
      </c>
      <c r="J39" s="41">
        <v>31350</v>
      </c>
      <c r="K39" s="41">
        <v>36175</v>
      </c>
      <c r="L39" s="41">
        <v>62600</v>
      </c>
      <c r="M39" s="41">
        <v>86125</v>
      </c>
      <c r="N39" s="41">
        <v>105950</v>
      </c>
      <c r="O39" s="41">
        <v>125050</v>
      </c>
      <c r="P39" s="92"/>
      <c r="Q39" s="42">
        <v>0</v>
      </c>
      <c r="R39" s="93">
        <v>0.05</v>
      </c>
      <c r="S39" s="93">
        <v>0.1</v>
      </c>
      <c r="T39" s="93">
        <v>0.15</v>
      </c>
      <c r="U39" s="93">
        <v>0.2</v>
      </c>
      <c r="V39" s="93">
        <v>0.25</v>
      </c>
      <c r="W39" s="93">
        <v>0.3</v>
      </c>
      <c r="X39" s="93">
        <v>0.35</v>
      </c>
      <c r="Y39" s="93">
        <v>0.4</v>
      </c>
      <c r="Z39" s="93">
        <v>0.45</v>
      </c>
      <c r="AA39" s="93">
        <v>0.5</v>
      </c>
      <c r="AB39" s="93">
        <v>0.55000000000000004</v>
      </c>
      <c r="AC39" s="93">
        <v>0.6</v>
      </c>
      <c r="AD39" s="92"/>
      <c r="AE39" s="245">
        <f>13</f>
        <v>13</v>
      </c>
      <c r="AF39" s="92"/>
      <c r="AG39" s="92"/>
      <c r="AH39" s="365" t="s">
        <v>970</v>
      </c>
      <c r="AI39" s="379">
        <v>28854</v>
      </c>
      <c r="AJ39" s="161"/>
      <c r="AK39" s="96"/>
      <c r="AL39" s="28"/>
      <c r="AM39" s="28"/>
      <c r="AN39" s="28"/>
    </row>
    <row r="40" spans="1:40" x14ac:dyDescent="0.25">
      <c r="A40" s="142">
        <v>1978</v>
      </c>
      <c r="B40" s="142">
        <v>1977</v>
      </c>
      <c r="C40" s="340">
        <v>0</v>
      </c>
      <c r="D40" s="41">
        <v>7250</v>
      </c>
      <c r="E40" s="41">
        <v>7600</v>
      </c>
      <c r="F40" s="41">
        <v>9100</v>
      </c>
      <c r="G40" s="41">
        <v>14400</v>
      </c>
      <c r="H40" s="41">
        <v>18900</v>
      </c>
      <c r="I40" s="41">
        <v>23800</v>
      </c>
      <c r="J40" s="41">
        <v>28775</v>
      </c>
      <c r="K40" s="41">
        <v>33200</v>
      </c>
      <c r="L40" s="41">
        <v>57425</v>
      </c>
      <c r="M40" s="41">
        <v>79025</v>
      </c>
      <c r="N40" s="41">
        <v>100900</v>
      </c>
      <c r="O40" s="41">
        <v>119100</v>
      </c>
      <c r="P40" s="92"/>
      <c r="Q40" s="42">
        <v>0</v>
      </c>
      <c r="R40" s="93">
        <v>0.05</v>
      </c>
      <c r="S40" s="93">
        <v>0.1</v>
      </c>
      <c r="T40" s="93">
        <v>0.15</v>
      </c>
      <c r="U40" s="93">
        <v>0.2</v>
      </c>
      <c r="V40" s="93">
        <v>0.25</v>
      </c>
      <c r="W40" s="93">
        <v>0.3</v>
      </c>
      <c r="X40" s="93">
        <v>0.35</v>
      </c>
      <c r="Y40" s="93">
        <v>0.4</v>
      </c>
      <c r="Z40" s="93">
        <v>0.45</v>
      </c>
      <c r="AA40" s="93">
        <v>0.5</v>
      </c>
      <c r="AB40" s="93">
        <v>0.55000000000000004</v>
      </c>
      <c r="AC40" s="93">
        <v>0.6</v>
      </c>
      <c r="AD40" s="92"/>
      <c r="AE40" s="245">
        <f>13</f>
        <v>13</v>
      </c>
      <c r="AF40" s="92"/>
      <c r="AG40" s="92"/>
      <c r="AH40" s="365" t="s">
        <v>971</v>
      </c>
      <c r="AI40" s="209">
        <v>28490</v>
      </c>
      <c r="AJ40" s="161"/>
      <c r="AK40" s="96"/>
      <c r="AL40" s="28"/>
      <c r="AM40" s="28"/>
      <c r="AN40" s="28"/>
    </row>
    <row r="41" spans="1:40" x14ac:dyDescent="0.25">
      <c r="A41" s="142">
        <v>1977</v>
      </c>
      <c r="B41" s="142">
        <v>1976</v>
      </c>
      <c r="C41" s="340">
        <v>0</v>
      </c>
      <c r="D41" s="41">
        <v>6725</v>
      </c>
      <c r="E41" s="41">
        <v>7050</v>
      </c>
      <c r="F41" s="41">
        <v>8450</v>
      </c>
      <c r="G41" s="41">
        <v>13400</v>
      </c>
      <c r="H41" s="41">
        <v>17575</v>
      </c>
      <c r="I41" s="41">
        <v>22150</v>
      </c>
      <c r="J41" s="41">
        <v>26775</v>
      </c>
      <c r="K41" s="41">
        <v>30875</v>
      </c>
      <c r="L41" s="41">
        <v>53425</v>
      </c>
      <c r="M41" s="41">
        <v>73525</v>
      </c>
      <c r="N41" s="41">
        <v>95175</v>
      </c>
      <c r="O41" s="41">
        <v>113450</v>
      </c>
      <c r="P41" s="162"/>
      <c r="Q41" s="42">
        <v>0</v>
      </c>
      <c r="R41" s="93">
        <v>0.05</v>
      </c>
      <c r="S41" s="93">
        <v>0.1</v>
      </c>
      <c r="T41" s="93">
        <v>0.15</v>
      </c>
      <c r="U41" s="93">
        <v>0.2</v>
      </c>
      <c r="V41" s="93">
        <v>0.25</v>
      </c>
      <c r="W41" s="93">
        <v>0.3</v>
      </c>
      <c r="X41" s="93">
        <v>0.35</v>
      </c>
      <c r="Y41" s="93">
        <v>0.4</v>
      </c>
      <c r="Z41" s="93">
        <v>0.45</v>
      </c>
      <c r="AA41" s="93">
        <v>0.5</v>
      </c>
      <c r="AB41" s="93">
        <v>0.55000000000000004</v>
      </c>
      <c r="AC41" s="93">
        <v>0.6</v>
      </c>
      <c r="AD41" s="162"/>
      <c r="AE41" s="245">
        <f>13</f>
        <v>13</v>
      </c>
      <c r="AF41" s="92"/>
      <c r="AG41" s="92"/>
      <c r="AH41" s="365" t="s">
        <v>972</v>
      </c>
      <c r="AI41" s="209">
        <v>28124</v>
      </c>
      <c r="AJ41" s="210"/>
      <c r="AK41" s="96"/>
      <c r="AL41" s="28"/>
      <c r="AM41" s="28"/>
      <c r="AN41" s="28"/>
    </row>
    <row r="42" spans="1:40" x14ac:dyDescent="0.25">
      <c r="A42" s="142">
        <v>1976</v>
      </c>
      <c r="B42" s="142">
        <v>1975</v>
      </c>
      <c r="C42" s="340">
        <v>0</v>
      </c>
      <c r="D42" s="41">
        <v>6125</v>
      </c>
      <c r="E42" s="41">
        <v>6425</v>
      </c>
      <c r="F42" s="41">
        <v>7700</v>
      </c>
      <c r="G42" s="41">
        <v>12225</v>
      </c>
      <c r="H42" s="41">
        <v>16575</v>
      </c>
      <c r="I42" s="41">
        <v>20900</v>
      </c>
      <c r="J42" s="41">
        <v>25250</v>
      </c>
      <c r="K42" s="41">
        <v>29125</v>
      </c>
      <c r="L42" s="41">
        <v>50400</v>
      </c>
      <c r="M42" s="41">
        <v>71375</v>
      </c>
      <c r="N42" s="41">
        <v>92400</v>
      </c>
      <c r="O42" s="41">
        <v>113450</v>
      </c>
      <c r="P42" s="162"/>
      <c r="Q42" s="42">
        <v>0</v>
      </c>
      <c r="R42" s="93">
        <v>0.05</v>
      </c>
      <c r="S42" s="93">
        <v>0.1</v>
      </c>
      <c r="T42" s="93">
        <v>0.15</v>
      </c>
      <c r="U42" s="93">
        <v>0.2</v>
      </c>
      <c r="V42" s="93">
        <v>0.25</v>
      </c>
      <c r="W42" s="93">
        <v>0.3</v>
      </c>
      <c r="X42" s="93">
        <v>0.35</v>
      </c>
      <c r="Y42" s="93">
        <v>0.4</v>
      </c>
      <c r="Z42" s="93">
        <v>0.45</v>
      </c>
      <c r="AA42" s="93">
        <v>0.5</v>
      </c>
      <c r="AB42" s="93">
        <v>0.55000000000000004</v>
      </c>
      <c r="AC42" s="93">
        <v>0.6</v>
      </c>
      <c r="AD42" s="162"/>
      <c r="AE42" s="245">
        <f>13</f>
        <v>13</v>
      </c>
      <c r="AF42" s="92"/>
      <c r="AG42" s="92"/>
      <c r="AH42" s="365" t="s">
        <v>973</v>
      </c>
      <c r="AI42" s="380">
        <v>27759</v>
      </c>
      <c r="AJ42" s="210"/>
      <c r="AK42" s="96"/>
      <c r="AL42" s="28"/>
      <c r="AM42" s="28"/>
      <c r="AN42" s="28"/>
    </row>
    <row r="43" spans="1:40" x14ac:dyDescent="0.25">
      <c r="A43" s="142">
        <v>1975</v>
      </c>
      <c r="B43" s="142">
        <v>1974</v>
      </c>
      <c r="C43" s="340">
        <v>0</v>
      </c>
      <c r="D43" s="41">
        <v>5500</v>
      </c>
      <c r="E43" s="41">
        <v>5825</v>
      </c>
      <c r="F43" s="41">
        <v>7000</v>
      </c>
      <c r="G43" s="41">
        <v>11100</v>
      </c>
      <c r="H43" s="41">
        <v>15050</v>
      </c>
      <c r="I43" s="41">
        <v>19000</v>
      </c>
      <c r="J43" s="41">
        <v>24450</v>
      </c>
      <c r="K43" s="41">
        <v>26475</v>
      </c>
      <c r="L43" s="41">
        <v>45825</v>
      </c>
      <c r="M43" s="41">
        <v>64900</v>
      </c>
      <c r="N43" s="41">
        <v>84000</v>
      </c>
      <c r="O43" s="41">
        <v>103150</v>
      </c>
      <c r="P43" s="162"/>
      <c r="Q43" s="42">
        <v>0</v>
      </c>
      <c r="R43" s="93">
        <v>0.05</v>
      </c>
      <c r="S43" s="93">
        <v>0.1</v>
      </c>
      <c r="T43" s="93">
        <v>0.15</v>
      </c>
      <c r="U43" s="93">
        <v>0.2</v>
      </c>
      <c r="V43" s="93">
        <v>0.25</v>
      </c>
      <c r="W43" s="93">
        <v>0.3</v>
      </c>
      <c r="X43" s="93">
        <v>0.35</v>
      </c>
      <c r="Y43" s="93">
        <v>0.4</v>
      </c>
      <c r="Z43" s="93">
        <v>0.45</v>
      </c>
      <c r="AA43" s="93">
        <v>0.5</v>
      </c>
      <c r="AB43" s="93">
        <v>0.55000000000000004</v>
      </c>
      <c r="AC43" s="93">
        <v>0.6</v>
      </c>
      <c r="AD43" s="162"/>
      <c r="AE43" s="245">
        <f>13</f>
        <v>13</v>
      </c>
      <c r="AF43" s="92"/>
      <c r="AG43" s="92"/>
      <c r="AH43" s="365" t="s">
        <v>974</v>
      </c>
      <c r="AI43" s="380">
        <v>27394</v>
      </c>
      <c r="AJ43" s="210"/>
      <c r="AK43" s="96"/>
      <c r="AL43" s="28"/>
      <c r="AM43" s="28"/>
      <c r="AN43" s="28"/>
    </row>
    <row r="44" spans="1:40" x14ac:dyDescent="0.25">
      <c r="A44" s="142">
        <v>1974</v>
      </c>
      <c r="B44" s="142">
        <v>1973</v>
      </c>
      <c r="C44" s="340">
        <v>0</v>
      </c>
      <c r="D44" s="41">
        <v>4950</v>
      </c>
      <c r="E44" s="41">
        <v>5200</v>
      </c>
      <c r="F44" s="41">
        <v>6250</v>
      </c>
      <c r="G44" s="41">
        <v>9900</v>
      </c>
      <c r="H44" s="41">
        <v>14900</v>
      </c>
      <c r="I44" s="41">
        <v>22000</v>
      </c>
      <c r="J44" s="41">
        <v>46325</v>
      </c>
      <c r="K44" s="41">
        <v>92125</v>
      </c>
      <c r="L44" s="92"/>
      <c r="M44" s="92"/>
      <c r="N44" s="162"/>
      <c r="O44" s="162"/>
      <c r="P44" s="162"/>
      <c r="Q44" s="42">
        <v>0</v>
      </c>
      <c r="R44" s="93">
        <v>0.05</v>
      </c>
      <c r="S44" s="93">
        <v>0.1</v>
      </c>
      <c r="T44" s="93">
        <v>0.15</v>
      </c>
      <c r="U44" s="93">
        <v>0.2</v>
      </c>
      <c r="V44" s="93">
        <v>0.3</v>
      </c>
      <c r="W44" s="93">
        <v>0.4</v>
      </c>
      <c r="X44" s="93">
        <v>0.5</v>
      </c>
      <c r="Y44" s="93">
        <v>0.6</v>
      </c>
      <c r="Z44" s="162"/>
      <c r="AA44" s="162"/>
      <c r="AB44" s="162"/>
      <c r="AC44" s="162"/>
      <c r="AD44" s="162"/>
      <c r="AE44" s="247">
        <f>9</f>
        <v>9</v>
      </c>
      <c r="AF44" s="92"/>
      <c r="AG44" s="92"/>
      <c r="AH44" s="365" t="s">
        <v>975</v>
      </c>
      <c r="AI44" s="380">
        <v>27026</v>
      </c>
      <c r="AJ44" s="210"/>
      <c r="AK44" s="96"/>
      <c r="AL44" s="28"/>
      <c r="AM44" s="28"/>
      <c r="AN44" s="28"/>
    </row>
    <row r="45" spans="1:40" x14ac:dyDescent="0.25">
      <c r="A45" s="142">
        <v>1973</v>
      </c>
      <c r="B45" s="142">
        <v>1972</v>
      </c>
      <c r="C45" s="340">
        <v>0</v>
      </c>
      <c r="D45" s="41">
        <v>3300</v>
      </c>
      <c r="E45" s="41">
        <v>5750</v>
      </c>
      <c r="F45" s="41">
        <v>9500</v>
      </c>
      <c r="G45" s="41">
        <v>14050</v>
      </c>
      <c r="H45" s="41">
        <v>22000</v>
      </c>
      <c r="I45" s="41">
        <v>43500</v>
      </c>
      <c r="J45" s="41">
        <v>86500</v>
      </c>
      <c r="K45" s="92"/>
      <c r="L45" s="92"/>
      <c r="M45" s="92"/>
      <c r="N45" s="162"/>
      <c r="O45" s="162"/>
      <c r="P45" s="162"/>
      <c r="Q45" s="42">
        <v>0</v>
      </c>
      <c r="R45" s="93">
        <v>0.1</v>
      </c>
      <c r="S45" s="93">
        <v>0.15</v>
      </c>
      <c r="T45" s="93">
        <v>0.25</v>
      </c>
      <c r="U45" s="93">
        <v>0.3</v>
      </c>
      <c r="V45" s="93">
        <v>0.4</v>
      </c>
      <c r="W45" s="93">
        <v>0.5</v>
      </c>
      <c r="X45" s="93">
        <v>0.6</v>
      </c>
      <c r="Y45" s="120"/>
      <c r="Z45" s="162"/>
      <c r="AA45" s="162"/>
      <c r="AB45" s="162"/>
      <c r="AC45" s="162"/>
      <c r="AD45" s="162"/>
      <c r="AE45" s="247">
        <f>8</f>
        <v>8</v>
      </c>
      <c r="AF45" s="92"/>
      <c r="AG45" s="92"/>
      <c r="AH45" s="365" t="s">
        <v>976</v>
      </c>
      <c r="AI45" s="380">
        <v>26654</v>
      </c>
      <c r="AJ45" s="210"/>
      <c r="AK45" s="96"/>
      <c r="AL45" s="28"/>
      <c r="AM45" s="28"/>
      <c r="AN45" s="28"/>
    </row>
    <row r="46" spans="1:40" x14ac:dyDescent="0.25">
      <c r="A46" s="142">
        <v>1972</v>
      </c>
      <c r="B46" s="142">
        <v>1971</v>
      </c>
      <c r="C46" s="340">
        <v>0</v>
      </c>
      <c r="D46" s="41">
        <v>3100</v>
      </c>
      <c r="E46" s="41">
        <v>5400</v>
      </c>
      <c r="F46" s="41">
        <v>8950</v>
      </c>
      <c r="G46" s="41">
        <v>13250</v>
      </c>
      <c r="H46" s="41">
        <v>21050</v>
      </c>
      <c r="I46" s="41">
        <v>42100</v>
      </c>
      <c r="J46" s="41">
        <v>84200</v>
      </c>
      <c r="K46" s="92"/>
      <c r="L46" s="92"/>
      <c r="M46" s="92"/>
      <c r="N46" s="162"/>
      <c r="O46" s="162"/>
      <c r="P46" s="162"/>
      <c r="Q46" s="42">
        <v>0</v>
      </c>
      <c r="R46" s="93">
        <v>0.1</v>
      </c>
      <c r="S46" s="93">
        <v>0.15</v>
      </c>
      <c r="T46" s="93">
        <v>0.25</v>
      </c>
      <c r="U46" s="93">
        <v>0.3</v>
      </c>
      <c r="V46" s="93">
        <v>0.4</v>
      </c>
      <c r="W46" s="93">
        <v>0.5</v>
      </c>
      <c r="X46" s="93">
        <v>0.6</v>
      </c>
      <c r="Y46" s="120"/>
      <c r="Z46" s="162"/>
      <c r="AA46" s="162"/>
      <c r="AB46" s="162"/>
      <c r="AC46" s="162"/>
      <c r="AD46" s="162"/>
      <c r="AE46" s="247">
        <f>8</f>
        <v>8</v>
      </c>
      <c r="AF46" s="92"/>
      <c r="AG46" s="92"/>
      <c r="AH46" s="365" t="s">
        <v>977</v>
      </c>
      <c r="AI46" s="380">
        <v>26297</v>
      </c>
      <c r="AJ46" s="210"/>
      <c r="AK46" s="96"/>
      <c r="AL46" s="28"/>
      <c r="AM46" s="28"/>
      <c r="AN46" s="28"/>
    </row>
    <row r="47" spans="1:40" x14ac:dyDescent="0.25">
      <c r="A47" s="142">
        <v>1971</v>
      </c>
      <c r="B47" s="142">
        <v>1970</v>
      </c>
      <c r="C47" s="340">
        <v>0</v>
      </c>
      <c r="D47" s="41">
        <v>2900</v>
      </c>
      <c r="E47" s="41">
        <v>5100</v>
      </c>
      <c r="F47" s="41">
        <v>8500</v>
      </c>
      <c r="G47" s="41">
        <v>12600</v>
      </c>
      <c r="H47" s="41">
        <v>20050</v>
      </c>
      <c r="I47" s="41">
        <v>40100</v>
      </c>
      <c r="J47" s="41">
        <v>80200</v>
      </c>
      <c r="K47" s="92"/>
      <c r="L47" s="92"/>
      <c r="M47" s="92"/>
      <c r="N47" s="162"/>
      <c r="O47" s="162"/>
      <c r="P47" s="162"/>
      <c r="Q47" s="42">
        <v>0</v>
      </c>
      <c r="R47" s="93">
        <v>0.1</v>
      </c>
      <c r="S47" s="93">
        <v>0.15</v>
      </c>
      <c r="T47" s="93">
        <v>0.25</v>
      </c>
      <c r="U47" s="93">
        <v>0.3</v>
      </c>
      <c r="V47" s="93">
        <v>0.4</v>
      </c>
      <c r="W47" s="93">
        <v>0.5</v>
      </c>
      <c r="X47" s="93">
        <v>0.6</v>
      </c>
      <c r="Y47" s="120"/>
      <c r="Z47" s="162"/>
      <c r="AA47" s="162"/>
      <c r="AB47" s="162"/>
      <c r="AC47" s="162"/>
      <c r="AD47" s="162"/>
      <c r="AE47" s="247">
        <f>8</f>
        <v>8</v>
      </c>
      <c r="AF47" s="92"/>
      <c r="AG47" s="92"/>
      <c r="AH47" s="365" t="s">
        <v>978</v>
      </c>
      <c r="AI47" s="380">
        <v>25924</v>
      </c>
      <c r="AJ47" s="210"/>
      <c r="AK47" s="96" t="s">
        <v>735</v>
      </c>
    </row>
    <row r="48" spans="1:40" x14ac:dyDescent="0.25">
      <c r="A48" s="142">
        <v>1970</v>
      </c>
      <c r="B48" s="142">
        <v>1969</v>
      </c>
      <c r="C48" s="340">
        <v>0</v>
      </c>
      <c r="D48" s="41">
        <v>2700</v>
      </c>
      <c r="E48" s="41">
        <v>4800</v>
      </c>
      <c r="F48" s="41">
        <v>8100</v>
      </c>
      <c r="G48" s="41">
        <v>12000</v>
      </c>
      <c r="H48" s="41">
        <v>19100</v>
      </c>
      <c r="I48" s="41">
        <v>38200</v>
      </c>
      <c r="J48" s="41">
        <v>76400</v>
      </c>
      <c r="K48" s="92"/>
      <c r="L48" s="92"/>
      <c r="M48" s="92"/>
      <c r="N48" s="162"/>
      <c r="O48" s="162"/>
      <c r="P48" s="162"/>
      <c r="Q48" s="42">
        <v>0</v>
      </c>
      <c r="R48" s="93">
        <v>0.1</v>
      </c>
      <c r="S48" s="93">
        <v>0.15</v>
      </c>
      <c r="T48" s="93">
        <v>0.25</v>
      </c>
      <c r="U48" s="93">
        <v>0.3</v>
      </c>
      <c r="V48" s="93">
        <v>0.4</v>
      </c>
      <c r="W48" s="93">
        <v>0.5</v>
      </c>
      <c r="X48" s="93">
        <v>0.6</v>
      </c>
      <c r="Y48" s="120"/>
      <c r="Z48" s="162"/>
      <c r="AA48" s="162"/>
      <c r="AB48" s="162"/>
      <c r="AC48" s="162"/>
      <c r="AD48" s="162"/>
      <c r="AE48" s="247">
        <f>8</f>
        <v>8</v>
      </c>
      <c r="AF48" s="349">
        <v>0.06</v>
      </c>
      <c r="AG48" s="92"/>
      <c r="AH48" s="365" t="s">
        <v>979</v>
      </c>
      <c r="AI48" s="380">
        <v>25564</v>
      </c>
      <c r="AJ48" s="210"/>
      <c r="AK48" s="96" t="s">
        <v>740</v>
      </c>
    </row>
    <row r="49" spans="1:37" x14ac:dyDescent="0.25">
      <c r="A49" s="142">
        <v>1969</v>
      </c>
      <c r="B49" s="142">
        <v>1968</v>
      </c>
      <c r="C49" s="340">
        <v>0</v>
      </c>
      <c r="D49" s="41">
        <v>2500</v>
      </c>
      <c r="E49" s="41">
        <v>4500</v>
      </c>
      <c r="F49" s="41">
        <v>7600</v>
      </c>
      <c r="G49" s="41">
        <v>11250</v>
      </c>
      <c r="H49" s="41">
        <v>18000</v>
      </c>
      <c r="I49" s="41">
        <v>36000</v>
      </c>
      <c r="J49" s="41">
        <v>72000</v>
      </c>
      <c r="K49" s="92"/>
      <c r="L49" s="92"/>
      <c r="M49" s="92"/>
      <c r="N49" s="162"/>
      <c r="O49" s="162"/>
      <c r="P49" s="162"/>
      <c r="Q49" s="42">
        <v>0</v>
      </c>
      <c r="R49" s="93">
        <v>0.1</v>
      </c>
      <c r="S49" s="93">
        <v>0.15</v>
      </c>
      <c r="T49" s="93">
        <v>0.25</v>
      </c>
      <c r="U49" s="93">
        <v>0.3</v>
      </c>
      <c r="V49" s="93">
        <v>0.4</v>
      </c>
      <c r="W49" s="93">
        <v>0.5</v>
      </c>
      <c r="X49" s="93">
        <v>0.6</v>
      </c>
      <c r="Y49" s="120"/>
      <c r="Z49" s="162"/>
      <c r="AA49" s="162"/>
      <c r="AB49" s="162"/>
      <c r="AC49" s="162"/>
      <c r="AD49" s="162"/>
      <c r="AE49" s="247">
        <f>8</f>
        <v>8</v>
      </c>
      <c r="AF49" s="349">
        <v>0.06</v>
      </c>
      <c r="AG49" s="92"/>
      <c r="AH49" s="365" t="s">
        <v>980</v>
      </c>
      <c r="AI49" s="380">
        <v>25201</v>
      </c>
      <c r="AJ49" s="210"/>
      <c r="AK49" s="453" t="s">
        <v>741</v>
      </c>
    </row>
    <row r="50" spans="1:37" x14ac:dyDescent="0.25">
      <c r="A50" s="142">
        <v>1968</v>
      </c>
      <c r="B50" s="142">
        <v>1967</v>
      </c>
      <c r="C50" s="340">
        <v>0</v>
      </c>
      <c r="D50" s="41">
        <v>2500</v>
      </c>
      <c r="E50" s="41">
        <v>4500</v>
      </c>
      <c r="F50" s="41">
        <v>7600</v>
      </c>
      <c r="G50" s="41">
        <v>11250</v>
      </c>
      <c r="H50" s="41">
        <v>18000</v>
      </c>
      <c r="I50" s="41">
        <v>36000</v>
      </c>
      <c r="J50" s="41">
        <v>72000</v>
      </c>
      <c r="K50" s="92"/>
      <c r="L50" s="92"/>
      <c r="M50" s="92"/>
      <c r="N50" s="162"/>
      <c r="O50" s="162"/>
      <c r="P50" s="162"/>
      <c r="Q50" s="42">
        <v>0</v>
      </c>
      <c r="R50" s="93">
        <v>0.1</v>
      </c>
      <c r="S50" s="93">
        <v>0.15</v>
      </c>
      <c r="T50" s="93">
        <v>0.25</v>
      </c>
      <c r="U50" s="93">
        <v>0.3</v>
      </c>
      <c r="V50" s="93">
        <v>0.4</v>
      </c>
      <c r="W50" s="93">
        <v>0.5</v>
      </c>
      <c r="X50" s="93">
        <v>0.6</v>
      </c>
      <c r="Y50" s="120"/>
      <c r="Z50" s="162"/>
      <c r="AA50" s="162"/>
      <c r="AB50" s="162"/>
      <c r="AC50" s="162"/>
      <c r="AD50" s="162"/>
      <c r="AE50" s="247">
        <f>8</f>
        <v>8</v>
      </c>
      <c r="AF50" s="349">
        <v>0.06</v>
      </c>
      <c r="AG50" s="92"/>
      <c r="AH50" s="365" t="s">
        <v>969</v>
      </c>
      <c r="AI50" s="380">
        <v>24828</v>
      </c>
      <c r="AJ50" s="210"/>
      <c r="AK50" s="453"/>
    </row>
    <row r="51" spans="1:37" x14ac:dyDescent="0.25">
      <c r="A51" s="142">
        <v>1967</v>
      </c>
      <c r="B51" s="142">
        <v>1966</v>
      </c>
      <c r="C51" s="340">
        <v>0</v>
      </c>
      <c r="D51" s="41">
        <v>2500</v>
      </c>
      <c r="E51" s="41">
        <v>4500</v>
      </c>
      <c r="F51" s="41">
        <v>7600</v>
      </c>
      <c r="G51" s="41">
        <v>11250</v>
      </c>
      <c r="H51" s="41">
        <v>18000</v>
      </c>
      <c r="I51" s="41">
        <v>36000</v>
      </c>
      <c r="J51" s="41">
        <v>72000</v>
      </c>
      <c r="K51" s="92"/>
      <c r="L51" s="92"/>
      <c r="M51" s="92"/>
      <c r="N51" s="162"/>
      <c r="O51" s="162"/>
      <c r="P51" s="162"/>
      <c r="Q51" s="42">
        <v>0</v>
      </c>
      <c r="R51" s="93">
        <v>0.1</v>
      </c>
      <c r="S51" s="93">
        <v>0.15</v>
      </c>
      <c r="T51" s="93">
        <v>0.25</v>
      </c>
      <c r="U51" s="93">
        <v>0.3</v>
      </c>
      <c r="V51" s="93">
        <v>0.4</v>
      </c>
      <c r="W51" s="93">
        <v>0.55000000000000004</v>
      </c>
      <c r="X51" s="93">
        <v>0.65</v>
      </c>
      <c r="Y51" s="120"/>
      <c r="Z51" s="162"/>
      <c r="AA51" s="162"/>
      <c r="AB51" s="162"/>
      <c r="AC51" s="162"/>
      <c r="AD51" s="162"/>
      <c r="AE51" s="247">
        <f>8</f>
        <v>8</v>
      </c>
      <c r="AF51" s="349">
        <v>0.06</v>
      </c>
      <c r="AG51" s="92"/>
      <c r="AH51" s="365" t="s">
        <v>981</v>
      </c>
      <c r="AI51" s="380">
        <v>24459</v>
      </c>
      <c r="AJ51" s="210"/>
      <c r="AK51" s="453"/>
    </row>
    <row r="52" spans="1:37" x14ac:dyDescent="0.25">
      <c r="A52" s="142">
        <v>1966</v>
      </c>
      <c r="B52" s="142">
        <v>1965</v>
      </c>
      <c r="C52" s="340">
        <v>0</v>
      </c>
      <c r="D52" s="41">
        <v>2500</v>
      </c>
      <c r="E52" s="41">
        <v>4500</v>
      </c>
      <c r="F52" s="41">
        <v>7600</v>
      </c>
      <c r="G52" s="41">
        <v>11250</v>
      </c>
      <c r="H52" s="41">
        <v>18000</v>
      </c>
      <c r="I52" s="41">
        <v>36000</v>
      </c>
      <c r="J52" s="41">
        <v>72000</v>
      </c>
      <c r="K52" s="92"/>
      <c r="L52" s="92"/>
      <c r="M52" s="92"/>
      <c r="N52" s="162"/>
      <c r="O52" s="162"/>
      <c r="P52" s="162"/>
      <c r="Q52" s="42">
        <v>0</v>
      </c>
      <c r="R52" s="93">
        <v>0.1</v>
      </c>
      <c r="S52" s="93">
        <v>0.15</v>
      </c>
      <c r="T52" s="93">
        <v>0.25</v>
      </c>
      <c r="U52" s="93">
        <v>0.3</v>
      </c>
      <c r="V52" s="93">
        <v>0.4</v>
      </c>
      <c r="W52" s="93">
        <v>0.5</v>
      </c>
      <c r="X52" s="93">
        <v>0.6</v>
      </c>
      <c r="Y52" s="120"/>
      <c r="Z52" s="162"/>
      <c r="AA52" s="162"/>
      <c r="AB52" s="162"/>
      <c r="AC52" s="162"/>
      <c r="AD52" s="162"/>
      <c r="AE52" s="247">
        <f>8</f>
        <v>8</v>
      </c>
      <c r="AF52" s="349">
        <v>0.06</v>
      </c>
      <c r="AG52" s="92"/>
      <c r="AH52" s="365" t="s">
        <v>982</v>
      </c>
      <c r="AI52" s="380">
        <v>24076</v>
      </c>
      <c r="AJ52" s="210"/>
      <c r="AK52" s="453"/>
    </row>
    <row r="53" spans="1:37" x14ac:dyDescent="0.25">
      <c r="A53" s="142">
        <v>1965</v>
      </c>
      <c r="B53" s="142">
        <v>1964</v>
      </c>
      <c r="C53" s="340">
        <v>0</v>
      </c>
      <c r="D53" s="41">
        <v>2400</v>
      </c>
      <c r="E53" s="41">
        <v>4400</v>
      </c>
      <c r="F53" s="41">
        <v>7350</v>
      </c>
      <c r="G53" s="41">
        <v>10850</v>
      </c>
      <c r="H53" s="41">
        <v>17500</v>
      </c>
      <c r="I53" s="41">
        <v>35000</v>
      </c>
      <c r="J53" s="41">
        <v>70000</v>
      </c>
      <c r="K53" s="92"/>
      <c r="L53" s="92"/>
      <c r="M53" s="92"/>
      <c r="N53" s="162"/>
      <c r="O53" s="162"/>
      <c r="P53" s="162"/>
      <c r="Q53" s="42">
        <v>0</v>
      </c>
      <c r="R53" s="93">
        <v>0.1</v>
      </c>
      <c r="S53" s="93">
        <v>0.15</v>
      </c>
      <c r="T53" s="93">
        <v>0.25</v>
      </c>
      <c r="U53" s="93">
        <v>0.3</v>
      </c>
      <c r="V53" s="93">
        <v>0.4</v>
      </c>
      <c r="W53" s="93">
        <v>0.5</v>
      </c>
      <c r="X53" s="93">
        <v>0.6</v>
      </c>
      <c r="Y53" s="120"/>
      <c r="Z53" s="162"/>
      <c r="AA53" s="162"/>
      <c r="AB53" s="162"/>
      <c r="AC53" s="162"/>
      <c r="AD53" s="162"/>
      <c r="AE53" s="247">
        <f>8</f>
        <v>8</v>
      </c>
      <c r="AF53" s="349">
        <v>0.06</v>
      </c>
      <c r="AG53" s="92"/>
      <c r="AH53" s="365" t="s">
        <v>983</v>
      </c>
      <c r="AI53" s="380">
        <v>23735</v>
      </c>
      <c r="AJ53" s="210"/>
      <c r="AK53" s="453"/>
    </row>
    <row r="54" spans="1:37" x14ac:dyDescent="0.25">
      <c r="A54" s="142">
        <v>1964</v>
      </c>
      <c r="B54" s="142">
        <v>1963</v>
      </c>
      <c r="C54" s="340">
        <v>0</v>
      </c>
      <c r="D54" s="41">
        <v>2400</v>
      </c>
      <c r="E54" s="41">
        <v>4000</v>
      </c>
      <c r="F54" s="41">
        <v>6750</v>
      </c>
      <c r="G54" s="41">
        <v>10000</v>
      </c>
      <c r="H54" s="41">
        <v>16250</v>
      </c>
      <c r="I54" s="41">
        <v>32000</v>
      </c>
      <c r="J54" s="41">
        <v>64000</v>
      </c>
      <c r="K54" s="92"/>
      <c r="L54" s="92"/>
      <c r="M54" s="92"/>
      <c r="N54" s="162"/>
      <c r="O54" s="162"/>
      <c r="P54" s="162"/>
      <c r="Q54" s="42">
        <v>0</v>
      </c>
      <c r="R54" s="93">
        <v>0.1</v>
      </c>
      <c r="S54" s="93">
        <v>0.15</v>
      </c>
      <c r="T54" s="93">
        <v>0.25</v>
      </c>
      <c r="U54" s="93">
        <v>0.3</v>
      </c>
      <c r="V54" s="93">
        <v>0.4</v>
      </c>
      <c r="W54" s="93">
        <v>0.5</v>
      </c>
      <c r="X54" s="93">
        <v>0.61499999999999999</v>
      </c>
      <c r="Y54" s="120"/>
      <c r="Z54" s="162"/>
      <c r="AA54" s="162"/>
      <c r="AB54" s="162"/>
      <c r="AC54" s="162"/>
      <c r="AD54" s="162"/>
      <c r="AE54" s="247">
        <f>8</f>
        <v>8</v>
      </c>
      <c r="AF54" s="349">
        <v>0.06</v>
      </c>
      <c r="AG54" s="92"/>
      <c r="AH54" s="365" t="s">
        <v>984</v>
      </c>
      <c r="AI54" s="380">
        <v>23365</v>
      </c>
      <c r="AJ54" s="210"/>
      <c r="AK54" s="96"/>
    </row>
    <row r="55" spans="1:37" x14ac:dyDescent="0.25">
      <c r="A55" s="142">
        <v>1963</v>
      </c>
      <c r="B55" s="142">
        <v>1962</v>
      </c>
      <c r="C55" s="340">
        <v>0</v>
      </c>
      <c r="D55" s="41">
        <v>2400</v>
      </c>
      <c r="E55" s="41">
        <v>4000</v>
      </c>
      <c r="F55" s="41">
        <v>6750</v>
      </c>
      <c r="G55" s="41">
        <v>10000</v>
      </c>
      <c r="H55" s="41">
        <v>16250</v>
      </c>
      <c r="I55" s="41">
        <v>32000</v>
      </c>
      <c r="J55" s="41">
        <v>64000</v>
      </c>
      <c r="K55" s="92"/>
      <c r="L55" s="92"/>
      <c r="M55" s="92"/>
      <c r="N55" s="162"/>
      <c r="O55" s="162"/>
      <c r="P55" s="162"/>
      <c r="Q55" s="42">
        <v>0</v>
      </c>
      <c r="R55" s="93">
        <v>0.1</v>
      </c>
      <c r="S55" s="93">
        <v>0.15</v>
      </c>
      <c r="T55" s="93">
        <v>0.25</v>
      </c>
      <c r="U55" s="93">
        <v>0.3</v>
      </c>
      <c r="V55" s="93">
        <v>0.4</v>
      </c>
      <c r="W55" s="93">
        <v>0.5</v>
      </c>
      <c r="X55" s="93">
        <v>0.6</v>
      </c>
      <c r="Y55" s="120"/>
      <c r="Z55" s="162"/>
      <c r="AA55" s="162"/>
      <c r="AB55" s="162"/>
      <c r="AC55" s="162"/>
      <c r="AD55" s="162"/>
      <c r="AE55" s="247">
        <f>8</f>
        <v>8</v>
      </c>
      <c r="AF55" s="349">
        <v>0.06</v>
      </c>
      <c r="AG55" s="92"/>
      <c r="AH55" s="365" t="s">
        <v>988</v>
      </c>
      <c r="AI55" s="380">
        <v>23005</v>
      </c>
      <c r="AJ55" s="210"/>
      <c r="AK55" s="96"/>
    </row>
    <row r="56" spans="1:37" x14ac:dyDescent="0.25">
      <c r="A56" s="142">
        <v>1962</v>
      </c>
      <c r="B56" s="142">
        <v>1961</v>
      </c>
      <c r="C56" s="340">
        <v>0</v>
      </c>
      <c r="D56" s="41">
        <v>2300</v>
      </c>
      <c r="E56" s="41">
        <v>4000</v>
      </c>
      <c r="F56" s="41">
        <v>6750</v>
      </c>
      <c r="G56" s="41">
        <v>10000</v>
      </c>
      <c r="H56" s="41">
        <v>16250</v>
      </c>
      <c r="I56" s="41">
        <v>32000</v>
      </c>
      <c r="J56" s="41">
        <v>64000</v>
      </c>
      <c r="K56" s="92"/>
      <c r="L56" s="92"/>
      <c r="M56" s="92"/>
      <c r="N56" s="162"/>
      <c r="O56" s="162"/>
      <c r="P56" s="162"/>
      <c r="Q56" s="42">
        <v>0</v>
      </c>
      <c r="R56" s="93">
        <v>0.1</v>
      </c>
      <c r="S56" s="93">
        <v>0.15</v>
      </c>
      <c r="T56" s="93">
        <v>0.25</v>
      </c>
      <c r="U56" s="93">
        <v>0.3</v>
      </c>
      <c r="V56" s="93">
        <v>0.4</v>
      </c>
      <c r="W56" s="93">
        <v>0.5</v>
      </c>
      <c r="X56" s="93">
        <v>0.6</v>
      </c>
      <c r="Y56" s="120"/>
      <c r="Z56" s="162"/>
      <c r="AA56" s="162"/>
      <c r="AB56" s="162"/>
      <c r="AC56" s="162"/>
      <c r="AD56" s="162"/>
      <c r="AE56" s="247">
        <f>8</f>
        <v>8</v>
      </c>
      <c r="AF56" s="349">
        <v>0.06</v>
      </c>
      <c r="AG56" s="92"/>
      <c r="AH56" s="365" t="s">
        <v>985</v>
      </c>
      <c r="AI56" s="380">
        <v>22637</v>
      </c>
      <c r="AJ56" s="210"/>
      <c r="AK56" s="96"/>
    </row>
    <row r="57" spans="1:37" x14ac:dyDescent="0.25">
      <c r="A57" s="142">
        <v>1961</v>
      </c>
      <c r="B57" s="142">
        <v>1960</v>
      </c>
      <c r="C57" s="340">
        <v>0</v>
      </c>
      <c r="D57" s="41">
        <v>2300</v>
      </c>
      <c r="E57" s="41">
        <v>3750</v>
      </c>
      <c r="F57" s="41">
        <v>6500</v>
      </c>
      <c r="G57" s="41">
        <v>9750</v>
      </c>
      <c r="H57" s="41">
        <v>16250</v>
      </c>
      <c r="I57" s="41">
        <v>32000</v>
      </c>
      <c r="J57" s="41">
        <v>64000</v>
      </c>
      <c r="K57" s="92"/>
      <c r="L57" s="92"/>
      <c r="M57" s="92"/>
      <c r="N57" s="162"/>
      <c r="O57" s="162"/>
      <c r="P57" s="162"/>
      <c r="Q57" s="42">
        <v>0</v>
      </c>
      <c r="R57" s="93">
        <v>0.1</v>
      </c>
      <c r="S57" s="93">
        <v>0.15</v>
      </c>
      <c r="T57" s="93">
        <v>0.25</v>
      </c>
      <c r="U57" s="93">
        <v>0.3</v>
      </c>
      <c r="V57" s="93">
        <v>0.4</v>
      </c>
      <c r="W57" s="93">
        <v>0.5</v>
      </c>
      <c r="X57" s="93">
        <v>0.6</v>
      </c>
      <c r="Y57" s="120"/>
      <c r="Z57" s="162"/>
      <c r="AA57" s="162"/>
      <c r="AB57" s="162"/>
      <c r="AC57" s="162"/>
      <c r="AD57" s="162"/>
      <c r="AE57" s="247">
        <f>8</f>
        <v>8</v>
      </c>
      <c r="AF57" s="349">
        <v>0.08</v>
      </c>
      <c r="AG57" s="92"/>
      <c r="AH57" s="365" t="s">
        <v>986</v>
      </c>
      <c r="AI57" s="380">
        <v>22274</v>
      </c>
      <c r="AJ57" s="210"/>
      <c r="AK57" s="159"/>
    </row>
    <row r="58" spans="1:37" x14ac:dyDescent="0.25">
      <c r="A58" s="142">
        <v>1960</v>
      </c>
      <c r="B58" s="142">
        <v>1959</v>
      </c>
      <c r="C58" s="340">
        <v>0</v>
      </c>
      <c r="D58" s="41">
        <v>220000</v>
      </c>
      <c r="E58" s="41">
        <v>350000</v>
      </c>
      <c r="F58" s="41">
        <v>600000</v>
      </c>
      <c r="G58" s="41">
        <v>900000</v>
      </c>
      <c r="H58" s="41">
        <v>1500000</v>
      </c>
      <c r="I58" s="41">
        <v>3000000</v>
      </c>
      <c r="J58" s="41">
        <v>6000000</v>
      </c>
      <c r="K58" s="92"/>
      <c r="L58" s="92"/>
      <c r="M58" s="92"/>
      <c r="N58" s="162"/>
      <c r="O58" s="162"/>
      <c r="P58" s="162"/>
      <c r="Q58" s="42">
        <v>0</v>
      </c>
      <c r="R58" s="93">
        <v>0.1</v>
      </c>
      <c r="S58" s="93">
        <v>0.15</v>
      </c>
      <c r="T58" s="93">
        <v>0.2</v>
      </c>
      <c r="U58" s="93">
        <v>0.3</v>
      </c>
      <c r="V58" s="93">
        <v>0.4</v>
      </c>
      <c r="W58" s="93">
        <v>0.5</v>
      </c>
      <c r="X58" s="93">
        <v>0.6</v>
      </c>
      <c r="Y58" s="120"/>
      <c r="Z58" s="162"/>
      <c r="AA58" s="162"/>
      <c r="AB58" s="162"/>
      <c r="AC58" s="162"/>
      <c r="AD58" s="162"/>
      <c r="AE58" s="247">
        <f>8</f>
        <v>8</v>
      </c>
      <c r="AF58" s="349">
        <v>0.09</v>
      </c>
      <c r="AG58" s="92"/>
      <c r="AH58" s="365" t="s">
        <v>987</v>
      </c>
      <c r="AI58" s="380">
        <v>21915</v>
      </c>
      <c r="AJ58" s="211"/>
      <c r="AK58" s="159" t="s">
        <v>744</v>
      </c>
    </row>
    <row r="59" spans="1:37" x14ac:dyDescent="0.25">
      <c r="A59" s="142">
        <v>1959</v>
      </c>
      <c r="B59" s="142">
        <v>1958</v>
      </c>
      <c r="C59" s="340">
        <v>0</v>
      </c>
      <c r="D59" s="41">
        <v>220000</v>
      </c>
      <c r="E59" s="41">
        <v>350000</v>
      </c>
      <c r="F59" s="41">
        <v>600000</v>
      </c>
      <c r="G59" s="41">
        <v>900000</v>
      </c>
      <c r="H59" s="41">
        <v>1500000</v>
      </c>
      <c r="I59" s="41">
        <v>3000000</v>
      </c>
      <c r="J59" s="41">
        <v>6000000</v>
      </c>
      <c r="K59" s="92"/>
      <c r="L59" s="92"/>
      <c r="M59" s="92"/>
      <c r="N59" s="162"/>
      <c r="O59" s="162"/>
      <c r="P59" s="162"/>
      <c r="Q59" s="42">
        <v>0</v>
      </c>
      <c r="R59" s="93">
        <v>0.1</v>
      </c>
      <c r="S59" s="93">
        <v>0.15</v>
      </c>
      <c r="T59" s="93">
        <v>0.2</v>
      </c>
      <c r="U59" s="93">
        <v>0.3</v>
      </c>
      <c r="V59" s="93">
        <v>0.4</v>
      </c>
      <c r="W59" s="93">
        <v>0.5</v>
      </c>
      <c r="X59" s="93">
        <v>0.6</v>
      </c>
      <c r="Y59" s="120"/>
      <c r="Z59" s="162"/>
      <c r="AA59" s="162"/>
      <c r="AB59" s="162"/>
      <c r="AC59" s="162"/>
      <c r="AD59" s="162"/>
      <c r="AE59" s="247">
        <f>8</f>
        <v>8</v>
      </c>
      <c r="AF59" s="92"/>
      <c r="AG59" s="349">
        <v>0.22</v>
      </c>
      <c r="AH59" s="210"/>
      <c r="AI59" s="211"/>
      <c r="AJ59" s="211"/>
      <c r="AK59" s="159" t="s">
        <v>739</v>
      </c>
    </row>
    <row r="60" spans="1:37" x14ac:dyDescent="0.25">
      <c r="A60" s="142">
        <v>1958</v>
      </c>
      <c r="B60" s="142">
        <v>1957</v>
      </c>
      <c r="C60" s="340">
        <v>0</v>
      </c>
      <c r="D60" s="41">
        <v>220000</v>
      </c>
      <c r="E60" s="41">
        <v>350000</v>
      </c>
      <c r="F60" s="41">
        <v>600000</v>
      </c>
      <c r="G60" s="41">
        <v>900000</v>
      </c>
      <c r="H60" s="41">
        <v>1500000</v>
      </c>
      <c r="I60" s="41">
        <v>3000000</v>
      </c>
      <c r="J60" s="41">
        <v>6000000</v>
      </c>
      <c r="K60" s="92"/>
      <c r="L60" s="92"/>
      <c r="M60" s="92"/>
      <c r="N60" s="162"/>
      <c r="O60" s="162"/>
      <c r="P60" s="162"/>
      <c r="Q60" s="42">
        <v>0</v>
      </c>
      <c r="R60" s="93">
        <v>0.1</v>
      </c>
      <c r="S60" s="93">
        <v>0.15</v>
      </c>
      <c r="T60" s="93">
        <v>0.2</v>
      </c>
      <c r="U60" s="93">
        <v>0.3</v>
      </c>
      <c r="V60" s="93">
        <v>0.4</v>
      </c>
      <c r="W60" s="93">
        <v>0.5</v>
      </c>
      <c r="X60" s="93">
        <v>0.6</v>
      </c>
      <c r="Y60" s="120"/>
      <c r="Z60" s="162"/>
      <c r="AA60" s="162"/>
      <c r="AB60" s="162"/>
      <c r="AC60" s="162"/>
      <c r="AD60" s="162"/>
      <c r="AE60" s="247">
        <f>8</f>
        <v>8</v>
      </c>
      <c r="AF60" s="92"/>
      <c r="AG60" s="349">
        <v>0.18</v>
      </c>
      <c r="AH60" s="211"/>
      <c r="AI60" s="211"/>
      <c r="AJ60" s="211"/>
      <c r="AK60" s="452" t="s">
        <v>745</v>
      </c>
    </row>
    <row r="61" spans="1:37" x14ac:dyDescent="0.25">
      <c r="A61" s="142">
        <v>1957</v>
      </c>
      <c r="B61" s="142">
        <v>1956</v>
      </c>
      <c r="C61" s="340">
        <v>0</v>
      </c>
      <c r="D61" s="41">
        <v>220000</v>
      </c>
      <c r="E61" s="41">
        <v>350000</v>
      </c>
      <c r="F61" s="41">
        <v>600000</v>
      </c>
      <c r="G61" s="41">
        <v>900000</v>
      </c>
      <c r="H61" s="41">
        <v>1500000</v>
      </c>
      <c r="I61" s="41">
        <v>3000000</v>
      </c>
      <c r="J61" s="41">
        <v>6000000</v>
      </c>
      <c r="K61" s="92"/>
      <c r="L61" s="92"/>
      <c r="M61" s="92"/>
      <c r="N61" s="162"/>
      <c r="O61" s="162"/>
      <c r="P61" s="162"/>
      <c r="Q61" s="42">
        <v>0</v>
      </c>
      <c r="R61" s="93">
        <v>0.1</v>
      </c>
      <c r="S61" s="93">
        <v>0.15</v>
      </c>
      <c r="T61" s="93">
        <v>0.2</v>
      </c>
      <c r="U61" s="93">
        <v>0.3</v>
      </c>
      <c r="V61" s="93">
        <v>0.4</v>
      </c>
      <c r="W61" s="93">
        <v>0.5</v>
      </c>
      <c r="X61" s="93">
        <v>0.6</v>
      </c>
      <c r="Y61" s="120"/>
      <c r="Z61" s="162"/>
      <c r="AA61" s="162"/>
      <c r="AB61" s="162"/>
      <c r="AC61" s="162"/>
      <c r="AD61" s="162"/>
      <c r="AE61" s="247">
        <f>8</f>
        <v>8</v>
      </c>
      <c r="AF61" s="92"/>
      <c r="AG61" s="349">
        <v>0.18</v>
      </c>
      <c r="AH61" s="211" t="s">
        <v>738</v>
      </c>
      <c r="AI61" s="211"/>
      <c r="AJ61" s="211"/>
      <c r="AK61" s="452"/>
    </row>
    <row r="62" spans="1:37" x14ac:dyDescent="0.25">
      <c r="A62" s="142">
        <v>1956</v>
      </c>
      <c r="B62" s="142">
        <v>1955</v>
      </c>
      <c r="C62" s="340">
        <v>0</v>
      </c>
      <c r="D62" s="41">
        <v>220000</v>
      </c>
      <c r="E62" s="41">
        <v>350000</v>
      </c>
      <c r="F62" s="41">
        <v>600000</v>
      </c>
      <c r="G62" s="41">
        <v>900000</v>
      </c>
      <c r="H62" s="41">
        <v>1500000</v>
      </c>
      <c r="I62" s="41">
        <v>3000000</v>
      </c>
      <c r="J62" s="41">
        <v>6000000</v>
      </c>
      <c r="K62" s="92"/>
      <c r="L62" s="92"/>
      <c r="M62" s="92"/>
      <c r="N62" s="162"/>
      <c r="O62" s="162"/>
      <c r="P62" s="162"/>
      <c r="Q62" s="42">
        <v>0</v>
      </c>
      <c r="R62" s="93">
        <v>0.1</v>
      </c>
      <c r="S62" s="93">
        <v>0.15</v>
      </c>
      <c r="T62" s="93">
        <v>0.2</v>
      </c>
      <c r="U62" s="93">
        <v>0.3</v>
      </c>
      <c r="V62" s="93">
        <v>0.4</v>
      </c>
      <c r="W62" s="93">
        <v>0.5</v>
      </c>
      <c r="X62" s="93">
        <v>0.6</v>
      </c>
      <c r="Y62" s="120"/>
      <c r="Z62" s="162"/>
      <c r="AA62" s="162"/>
      <c r="AB62" s="162"/>
      <c r="AC62" s="162"/>
      <c r="AD62" s="162"/>
      <c r="AE62" s="247">
        <f>8</f>
        <v>8</v>
      </c>
      <c r="AF62" s="92"/>
      <c r="AG62" s="349">
        <v>0.18</v>
      </c>
      <c r="AH62" s="211"/>
      <c r="AI62" s="211"/>
      <c r="AJ62" s="211"/>
      <c r="AK62" s="452"/>
    </row>
    <row r="63" spans="1:37" x14ac:dyDescent="0.25">
      <c r="A63" s="142">
        <v>1955</v>
      </c>
      <c r="B63" s="142">
        <v>1954</v>
      </c>
      <c r="C63" s="340">
        <v>0</v>
      </c>
      <c r="D63" s="41">
        <v>220000</v>
      </c>
      <c r="E63" s="41">
        <v>350000</v>
      </c>
      <c r="F63" s="41">
        <v>600000</v>
      </c>
      <c r="G63" s="41">
        <v>900000</v>
      </c>
      <c r="H63" s="41">
        <v>1500000</v>
      </c>
      <c r="I63" s="41">
        <v>3000000</v>
      </c>
      <c r="J63" s="41">
        <v>6000000</v>
      </c>
      <c r="K63" s="92"/>
      <c r="L63" s="92"/>
      <c r="M63" s="92"/>
      <c r="N63" s="162"/>
      <c r="O63" s="162"/>
      <c r="P63" s="162"/>
      <c r="Q63" s="42">
        <v>0</v>
      </c>
      <c r="R63" s="93">
        <v>0.1</v>
      </c>
      <c r="S63" s="93">
        <v>0.15</v>
      </c>
      <c r="T63" s="93">
        <v>0.2</v>
      </c>
      <c r="U63" s="93">
        <v>0.3</v>
      </c>
      <c r="V63" s="93">
        <v>0.4</v>
      </c>
      <c r="W63" s="93">
        <v>0.5</v>
      </c>
      <c r="X63" s="93">
        <v>0.6</v>
      </c>
      <c r="Y63" s="120"/>
      <c r="Z63" s="162"/>
      <c r="AA63" s="162"/>
      <c r="AB63" s="162"/>
      <c r="AC63" s="162"/>
      <c r="AD63" s="162"/>
      <c r="AE63" s="247">
        <f>8</f>
        <v>8</v>
      </c>
      <c r="AF63" s="92"/>
      <c r="AG63" s="349">
        <v>0.18</v>
      </c>
      <c r="AH63" s="211"/>
      <c r="AI63" s="211"/>
      <c r="AJ63" s="211"/>
      <c r="AK63" s="452"/>
    </row>
    <row r="64" spans="1:37" x14ac:dyDescent="0.25">
      <c r="A64" s="142">
        <v>1954</v>
      </c>
      <c r="B64" s="142">
        <v>1953</v>
      </c>
      <c r="C64" s="340">
        <v>0</v>
      </c>
      <c r="D64" s="41">
        <v>220000</v>
      </c>
      <c r="E64" s="41">
        <v>350000</v>
      </c>
      <c r="F64" s="41">
        <v>600000</v>
      </c>
      <c r="G64" s="41">
        <v>900000</v>
      </c>
      <c r="H64" s="41">
        <v>1500000</v>
      </c>
      <c r="I64" s="41">
        <v>3000000</v>
      </c>
      <c r="J64" s="41">
        <v>6000000</v>
      </c>
      <c r="K64" s="92"/>
      <c r="L64" s="92"/>
      <c r="M64" s="92"/>
      <c r="N64" s="162"/>
      <c r="O64" s="162"/>
      <c r="P64" s="162"/>
      <c r="Q64" s="42">
        <v>0</v>
      </c>
      <c r="R64" s="93">
        <v>0.1</v>
      </c>
      <c r="S64" s="93">
        <v>0.15</v>
      </c>
      <c r="T64" s="93">
        <v>0.2</v>
      </c>
      <c r="U64" s="93">
        <v>0.3</v>
      </c>
      <c r="V64" s="93">
        <v>0.4</v>
      </c>
      <c r="W64" s="93">
        <v>0.5</v>
      </c>
      <c r="X64" s="93">
        <v>0.6</v>
      </c>
      <c r="Y64" s="120"/>
      <c r="Z64" s="162"/>
      <c r="AA64" s="162"/>
      <c r="AB64" s="162"/>
      <c r="AC64" s="162"/>
      <c r="AD64" s="162"/>
      <c r="AE64" s="247">
        <f>8</f>
        <v>8</v>
      </c>
      <c r="AF64" s="92"/>
      <c r="AG64" s="349">
        <v>0.18</v>
      </c>
      <c r="AH64" s="211"/>
      <c r="AI64" s="211"/>
      <c r="AJ64" s="211"/>
      <c r="AK64" s="452"/>
    </row>
    <row r="65" spans="1:37" x14ac:dyDescent="0.25">
      <c r="A65" s="142">
        <v>1953</v>
      </c>
      <c r="B65" s="142">
        <v>1952</v>
      </c>
      <c r="C65" s="340">
        <v>0</v>
      </c>
      <c r="D65" s="41">
        <v>180000</v>
      </c>
      <c r="E65" s="41">
        <v>350000</v>
      </c>
      <c r="F65" s="41">
        <v>600000</v>
      </c>
      <c r="G65" s="41">
        <v>900000</v>
      </c>
      <c r="H65" s="41">
        <v>1500000</v>
      </c>
      <c r="I65" s="41">
        <v>3000000</v>
      </c>
      <c r="J65" s="41">
        <v>6000000</v>
      </c>
      <c r="K65" s="92"/>
      <c r="L65" s="92"/>
      <c r="M65" s="92"/>
      <c r="N65" s="162"/>
      <c r="O65" s="162"/>
      <c r="P65" s="162"/>
      <c r="Q65" s="42">
        <v>0</v>
      </c>
      <c r="R65" s="93">
        <v>0.1</v>
      </c>
      <c r="S65" s="93">
        <v>0.15</v>
      </c>
      <c r="T65" s="93">
        <v>0.2</v>
      </c>
      <c r="U65" s="93">
        <v>0.3</v>
      </c>
      <c r="V65" s="93">
        <v>0.4</v>
      </c>
      <c r="W65" s="93">
        <v>0.5</v>
      </c>
      <c r="X65" s="93">
        <v>0.6</v>
      </c>
      <c r="Y65" s="120"/>
      <c r="Z65" s="162"/>
      <c r="AA65" s="162"/>
      <c r="AB65" s="162"/>
      <c r="AC65" s="162"/>
      <c r="AD65" s="162"/>
      <c r="AE65" s="247">
        <f>8</f>
        <v>8</v>
      </c>
      <c r="AF65" s="92"/>
      <c r="AG65" s="349">
        <v>0.18</v>
      </c>
      <c r="AH65" s="211"/>
      <c r="AI65" s="211"/>
      <c r="AJ65" s="211"/>
      <c r="AK65" s="452"/>
    </row>
    <row r="66" spans="1:37" x14ac:dyDescent="0.25">
      <c r="A66" s="142">
        <v>1952</v>
      </c>
      <c r="B66" s="142">
        <v>1951</v>
      </c>
      <c r="C66" s="340">
        <v>0</v>
      </c>
      <c r="D66" s="41">
        <v>180000</v>
      </c>
      <c r="E66" s="41">
        <v>350000</v>
      </c>
      <c r="F66" s="41">
        <v>600000</v>
      </c>
      <c r="G66" s="41">
        <v>900000</v>
      </c>
      <c r="H66" s="41">
        <v>1500000</v>
      </c>
      <c r="I66" s="41">
        <v>3000000</v>
      </c>
      <c r="J66" s="41">
        <v>6000000</v>
      </c>
      <c r="K66" s="92"/>
      <c r="L66" s="92"/>
      <c r="M66" s="92"/>
      <c r="N66" s="162"/>
      <c r="O66" s="162"/>
      <c r="P66" s="162"/>
      <c r="Q66" s="42">
        <v>0</v>
      </c>
      <c r="R66" s="93">
        <v>0.1</v>
      </c>
      <c r="S66" s="93">
        <v>0.15</v>
      </c>
      <c r="T66" s="93">
        <v>0.2</v>
      </c>
      <c r="U66" s="93">
        <v>0.3</v>
      </c>
      <c r="V66" s="93">
        <v>0.4</v>
      </c>
      <c r="W66" s="93">
        <v>0.5</v>
      </c>
      <c r="X66" s="93">
        <v>0.6</v>
      </c>
      <c r="Y66" s="120"/>
      <c r="Z66" s="162"/>
      <c r="AA66" s="162"/>
      <c r="AB66" s="162"/>
      <c r="AC66" s="162"/>
      <c r="AD66" s="162"/>
      <c r="AE66" s="247">
        <f>8</f>
        <v>8</v>
      </c>
      <c r="AF66" s="92"/>
      <c r="AG66" s="349">
        <v>0.18</v>
      </c>
      <c r="AH66" s="211"/>
      <c r="AI66" s="211"/>
      <c r="AJ66" s="211"/>
      <c r="AK66" s="452"/>
    </row>
    <row r="67" spans="1:37" x14ac:dyDescent="0.25">
      <c r="A67" s="142">
        <v>1951</v>
      </c>
      <c r="B67" s="142">
        <v>1950</v>
      </c>
      <c r="C67" s="340">
        <v>0</v>
      </c>
      <c r="D67" s="41">
        <v>140000</v>
      </c>
      <c r="E67" s="41">
        <v>300000</v>
      </c>
      <c r="F67" s="41">
        <v>500000</v>
      </c>
      <c r="G67" s="41">
        <v>750000</v>
      </c>
      <c r="H67" s="41">
        <v>1200000</v>
      </c>
      <c r="I67" s="41">
        <v>1500000</v>
      </c>
      <c r="J67" s="41">
        <v>5000000</v>
      </c>
      <c r="K67" s="92"/>
      <c r="L67" s="92"/>
      <c r="M67" s="92"/>
      <c r="N67" s="162"/>
      <c r="O67" s="162"/>
      <c r="P67" s="162"/>
      <c r="Q67" s="42">
        <v>0</v>
      </c>
      <c r="R67" s="93">
        <v>0.1</v>
      </c>
      <c r="S67" s="93">
        <v>0.15</v>
      </c>
      <c r="T67" s="93">
        <v>0.2</v>
      </c>
      <c r="U67" s="93">
        <v>0.3</v>
      </c>
      <c r="V67" s="93">
        <v>0.4</v>
      </c>
      <c r="W67" s="93">
        <v>0.5</v>
      </c>
      <c r="X67" s="93">
        <v>0.6</v>
      </c>
      <c r="Y67" s="120"/>
      <c r="Z67" s="162"/>
      <c r="AA67" s="162"/>
      <c r="AB67" s="162"/>
      <c r="AC67" s="162"/>
      <c r="AD67" s="162"/>
      <c r="AE67" s="247">
        <f>8</f>
        <v>8</v>
      </c>
      <c r="AF67" s="92"/>
      <c r="AG67" s="349">
        <v>0.18</v>
      </c>
      <c r="AH67" s="211"/>
      <c r="AI67" s="160"/>
      <c r="AJ67" s="160"/>
      <c r="AK67" s="452"/>
    </row>
    <row r="68" spans="1:37" x14ac:dyDescent="0.25">
      <c r="A68" s="142">
        <v>1950</v>
      </c>
      <c r="B68" s="142">
        <v>1949</v>
      </c>
      <c r="C68" s="340">
        <v>0</v>
      </c>
      <c r="D68" s="41">
        <v>120000</v>
      </c>
      <c r="E68" s="41">
        <v>250000</v>
      </c>
      <c r="F68" s="41">
        <v>500000</v>
      </c>
      <c r="G68" s="41">
        <v>800000</v>
      </c>
      <c r="H68" s="41">
        <v>1200000</v>
      </c>
      <c r="I68" s="41">
        <v>2000000</v>
      </c>
      <c r="J68" s="41">
        <v>3000000</v>
      </c>
      <c r="K68" s="92"/>
      <c r="L68" s="92"/>
      <c r="M68" s="92"/>
      <c r="N68" s="162"/>
      <c r="O68" s="162"/>
      <c r="P68" s="162"/>
      <c r="Q68" s="42">
        <v>0</v>
      </c>
      <c r="R68" s="93">
        <v>0.1</v>
      </c>
      <c r="S68" s="93">
        <v>0.15</v>
      </c>
      <c r="T68" s="93">
        <v>0.2</v>
      </c>
      <c r="U68" s="93">
        <v>0.3</v>
      </c>
      <c r="V68" s="93">
        <v>0.4</v>
      </c>
      <c r="W68" s="93">
        <v>0.5</v>
      </c>
      <c r="X68" s="93">
        <v>0.6</v>
      </c>
      <c r="Y68" s="120"/>
      <c r="Z68" s="162"/>
      <c r="AA68" s="162"/>
      <c r="AB68" s="162"/>
      <c r="AC68" s="162"/>
      <c r="AD68" s="162"/>
      <c r="AE68" s="247">
        <f>8</f>
        <v>8</v>
      </c>
      <c r="AF68" s="92"/>
      <c r="AG68" s="349">
        <v>0.18</v>
      </c>
      <c r="AH68" s="211"/>
      <c r="AI68" s="160"/>
      <c r="AJ68" s="160"/>
      <c r="AK68" s="452"/>
    </row>
    <row r="69" spans="1:37" x14ac:dyDescent="0.25">
      <c r="A69" s="142">
        <v>1949</v>
      </c>
      <c r="B69" s="142">
        <v>1948</v>
      </c>
      <c r="C69" s="340">
        <v>0</v>
      </c>
      <c r="D69" s="41">
        <v>120000</v>
      </c>
      <c r="E69" s="41">
        <v>200000</v>
      </c>
      <c r="F69" s="41">
        <v>300000</v>
      </c>
      <c r="G69" s="41">
        <v>500000</v>
      </c>
      <c r="H69" s="41">
        <v>800000</v>
      </c>
      <c r="I69" s="41">
        <v>1200000</v>
      </c>
      <c r="J69" s="41">
        <v>2000000</v>
      </c>
      <c r="K69" s="41">
        <v>3000000</v>
      </c>
      <c r="L69" s="92"/>
      <c r="M69" s="92"/>
      <c r="N69" s="162"/>
      <c r="O69" s="162"/>
      <c r="P69" s="162"/>
      <c r="Q69" s="42">
        <v>0</v>
      </c>
      <c r="R69" s="93">
        <v>0.1</v>
      </c>
      <c r="S69" s="93">
        <v>0.15</v>
      </c>
      <c r="T69" s="93">
        <v>0.2</v>
      </c>
      <c r="U69" s="93">
        <v>0.25</v>
      </c>
      <c r="V69" s="93">
        <v>0.3</v>
      </c>
      <c r="W69" s="93">
        <v>0.4</v>
      </c>
      <c r="X69" s="93">
        <v>0.5</v>
      </c>
      <c r="Y69" s="93">
        <v>0.6</v>
      </c>
      <c r="Z69" s="162"/>
      <c r="AA69" s="162"/>
      <c r="AB69" s="162"/>
      <c r="AC69" s="162"/>
      <c r="AD69" s="162"/>
      <c r="AE69" s="247">
        <f>9</f>
        <v>9</v>
      </c>
      <c r="AF69" s="92"/>
      <c r="AG69" s="349">
        <v>0.18</v>
      </c>
      <c r="AH69" s="160"/>
      <c r="AI69" s="160"/>
      <c r="AJ69" s="160"/>
      <c r="AK69" s="159" t="s">
        <v>736</v>
      </c>
    </row>
    <row r="70" spans="1:37" x14ac:dyDescent="0.25">
      <c r="A70" s="142">
        <v>1948</v>
      </c>
      <c r="B70" s="142">
        <v>1947</v>
      </c>
      <c r="C70" s="340">
        <v>0</v>
      </c>
      <c r="D70" s="41">
        <v>100000</v>
      </c>
      <c r="E70" s="41">
        <v>200000</v>
      </c>
      <c r="F70" s="41">
        <v>500000</v>
      </c>
      <c r="G70" s="41">
        <v>1000000</v>
      </c>
      <c r="H70" s="41">
        <v>2000000</v>
      </c>
      <c r="I70" s="92"/>
      <c r="J70" s="92"/>
      <c r="K70" s="92"/>
      <c r="L70" s="92"/>
      <c r="M70" s="92"/>
      <c r="N70" s="92"/>
      <c r="O70" s="92"/>
      <c r="P70" s="92"/>
      <c r="Q70" s="42">
        <v>0</v>
      </c>
      <c r="R70" s="93">
        <v>0.12</v>
      </c>
      <c r="S70" s="93">
        <v>0.24</v>
      </c>
      <c r="T70" s="93">
        <v>0.36</v>
      </c>
      <c r="U70" s="93">
        <v>0.48</v>
      </c>
      <c r="V70" s="93">
        <v>0.6</v>
      </c>
      <c r="W70" s="120"/>
      <c r="X70" s="120"/>
      <c r="Y70" s="120"/>
      <c r="Z70" s="162"/>
      <c r="AA70" s="162"/>
      <c r="AB70" s="162"/>
      <c r="AC70" s="162"/>
      <c r="AD70" s="162"/>
      <c r="AE70" s="247">
        <f>6</f>
        <v>6</v>
      </c>
      <c r="AF70" s="92"/>
      <c r="AG70" s="92"/>
      <c r="AH70" s="160"/>
      <c r="AI70" s="160"/>
      <c r="AK70" s="452" t="s">
        <v>777</v>
      </c>
    </row>
    <row r="71" spans="1:37" x14ac:dyDescent="0.25">
      <c r="A71" s="142">
        <v>1947</v>
      </c>
      <c r="B71" s="142">
        <v>1946</v>
      </c>
      <c r="C71" s="340">
        <v>0</v>
      </c>
      <c r="D71" s="41">
        <v>40000</v>
      </c>
      <c r="E71" s="41">
        <v>200000</v>
      </c>
      <c r="F71" s="41">
        <v>500000</v>
      </c>
      <c r="G71" s="41">
        <v>1000000</v>
      </c>
      <c r="H71" s="92"/>
      <c r="I71" s="92"/>
      <c r="J71" s="92"/>
      <c r="K71" s="92"/>
      <c r="L71" s="92"/>
      <c r="M71" s="92"/>
      <c r="N71" s="92"/>
      <c r="O71" s="92"/>
      <c r="P71" s="92"/>
      <c r="Q71" s="42">
        <v>0</v>
      </c>
      <c r="R71" s="93">
        <v>0.12</v>
      </c>
      <c r="S71" s="93">
        <v>0.3</v>
      </c>
      <c r="T71" s="93">
        <v>0.45</v>
      </c>
      <c r="U71" s="93">
        <v>0.6</v>
      </c>
      <c r="V71" s="120"/>
      <c r="W71" s="162"/>
      <c r="X71" s="162"/>
      <c r="Y71" s="162"/>
      <c r="Z71" s="162"/>
      <c r="AA71" s="162"/>
      <c r="AB71" s="162"/>
      <c r="AC71" s="162"/>
      <c r="AD71" s="162"/>
      <c r="AE71" s="247">
        <f>5</f>
        <v>5</v>
      </c>
      <c r="AF71" s="92"/>
      <c r="AG71" s="92"/>
      <c r="AH71" s="160" t="s">
        <v>731</v>
      </c>
      <c r="AI71" s="160"/>
      <c r="AJ71" s="160"/>
      <c r="AK71" s="452"/>
    </row>
    <row r="72" spans="1:37" x14ac:dyDescent="0.25">
      <c r="A72" s="142">
        <v>1946</v>
      </c>
      <c r="B72" s="142">
        <v>1945</v>
      </c>
      <c r="C72" s="340">
        <v>0</v>
      </c>
      <c r="D72" s="41">
        <v>40000</v>
      </c>
      <c r="E72" s="41">
        <v>100000</v>
      </c>
      <c r="F72" s="41">
        <v>300000</v>
      </c>
      <c r="G72" s="41">
        <v>500000</v>
      </c>
      <c r="H72" s="92"/>
      <c r="I72" s="92"/>
      <c r="J72" s="92"/>
      <c r="K72" s="92"/>
      <c r="L72" s="92"/>
      <c r="M72" s="92"/>
      <c r="N72" s="92"/>
      <c r="O72" s="92"/>
      <c r="P72" s="92"/>
      <c r="Q72" s="42">
        <v>0</v>
      </c>
      <c r="R72" s="93">
        <v>0.12</v>
      </c>
      <c r="S72" s="93">
        <v>0.3</v>
      </c>
      <c r="T72" s="93">
        <v>0.45</v>
      </c>
      <c r="U72" s="93">
        <v>0.6</v>
      </c>
      <c r="V72" s="120"/>
      <c r="W72" s="162"/>
      <c r="X72" s="162"/>
      <c r="Y72" s="162"/>
      <c r="Z72" s="162"/>
      <c r="AA72" s="162"/>
      <c r="AB72" s="162"/>
      <c r="AC72" s="162"/>
      <c r="AD72" s="162"/>
      <c r="AE72" s="247">
        <f>5</f>
        <v>5</v>
      </c>
      <c r="AF72" s="92"/>
      <c r="AG72" s="92"/>
      <c r="AH72" s="160" t="s">
        <v>775</v>
      </c>
      <c r="AI72" s="160"/>
      <c r="AJ72" s="160"/>
      <c r="AK72" s="452"/>
    </row>
    <row r="73" spans="1:37" x14ac:dyDescent="0.25">
      <c r="C73" s="16"/>
      <c r="D73" s="16"/>
      <c r="E73" s="16"/>
      <c r="F73" s="16"/>
      <c r="G73" s="16"/>
      <c r="H73" s="16"/>
      <c r="I73" s="16"/>
      <c r="J73" s="16"/>
      <c r="K73" s="16"/>
      <c r="L73" s="16"/>
      <c r="M73" s="16"/>
      <c r="N73" s="16"/>
      <c r="O73" s="16"/>
      <c r="P73" s="16"/>
      <c r="Q73" s="19"/>
      <c r="R73" s="19"/>
      <c r="S73" s="19"/>
      <c r="T73" s="19"/>
      <c r="U73" s="19"/>
      <c r="V73" s="16"/>
      <c r="W73" s="4"/>
      <c r="X73" s="4"/>
      <c r="Y73" s="4"/>
      <c r="Z73" s="4"/>
      <c r="AA73" s="4"/>
      <c r="AB73" s="4"/>
      <c r="AC73" s="4"/>
      <c r="AD73" s="4"/>
      <c r="AE73" s="4"/>
      <c r="AF73" s="4"/>
      <c r="AG73" s="4"/>
      <c r="AH73" s="160"/>
      <c r="AI73" s="8"/>
      <c r="AJ73" s="8"/>
      <c r="AK73" s="7"/>
    </row>
    <row r="74" spans="1:37" x14ac:dyDescent="0.25">
      <c r="C74" s="331" t="s">
        <v>650</v>
      </c>
      <c r="D74" s="41"/>
      <c r="E74" s="41"/>
      <c r="F74" s="41"/>
      <c r="G74" s="41"/>
      <c r="H74" s="16"/>
      <c r="I74" s="16"/>
      <c r="J74" s="16"/>
      <c r="K74" s="16"/>
      <c r="L74" s="16"/>
      <c r="M74" s="16"/>
      <c r="N74" s="16"/>
      <c r="O74" s="16"/>
      <c r="P74" s="16"/>
      <c r="Q74" s="19"/>
      <c r="R74" s="19"/>
      <c r="S74" s="19"/>
      <c r="T74" s="19"/>
      <c r="U74" s="19"/>
      <c r="V74" s="16"/>
      <c r="W74" s="4"/>
      <c r="X74" s="4"/>
      <c r="Y74" s="4"/>
      <c r="Z74" s="4"/>
      <c r="AA74" s="4"/>
      <c r="AB74" s="4"/>
      <c r="AC74" s="4"/>
      <c r="AD74" s="4"/>
      <c r="AE74" s="4"/>
      <c r="AF74" s="4"/>
      <c r="AG74" s="4"/>
      <c r="AH74" s="160"/>
      <c r="AI74" s="8"/>
      <c r="AJ74" s="8"/>
      <c r="AK74" s="7"/>
    </row>
    <row r="75" spans="1:37" x14ac:dyDescent="0.25">
      <c r="C75" s="333" t="s">
        <v>711</v>
      </c>
      <c r="D75" s="332"/>
      <c r="E75" s="332"/>
      <c r="F75" s="332"/>
      <c r="G75" s="332"/>
      <c r="H75" s="18"/>
      <c r="I75" s="18"/>
      <c r="J75" s="18"/>
      <c r="K75" s="18"/>
      <c r="L75" s="18"/>
      <c r="M75" s="18"/>
      <c r="N75" s="18" t="s">
        <v>732</v>
      </c>
      <c r="O75" s="18"/>
      <c r="P75" s="18"/>
      <c r="Q75" s="20"/>
      <c r="R75" s="20"/>
      <c r="S75" s="20"/>
      <c r="T75" s="20"/>
      <c r="U75" s="20"/>
      <c r="V75" s="18"/>
      <c r="W75" s="10"/>
      <c r="X75" s="10"/>
      <c r="Y75" s="10"/>
      <c r="Z75" s="10"/>
      <c r="AA75" s="10"/>
      <c r="AB75" s="10"/>
      <c r="AC75" s="10"/>
      <c r="AD75" s="10"/>
      <c r="AE75" s="10"/>
      <c r="AF75" s="10"/>
      <c r="AG75" s="10"/>
      <c r="AH75" s="8"/>
      <c r="AI75" s="8"/>
      <c r="AJ75" s="8"/>
      <c r="AK75" s="7"/>
    </row>
    <row r="76" spans="1:37" x14ac:dyDescent="0.25">
      <c r="C76" s="332"/>
      <c r="D76" s="333" t="s">
        <v>733</v>
      </c>
      <c r="E76" s="332"/>
      <c r="F76" s="332"/>
      <c r="G76" s="332"/>
      <c r="H76" s="18"/>
      <c r="I76" s="18"/>
      <c r="J76" s="18"/>
      <c r="K76" s="18"/>
      <c r="L76" s="18"/>
      <c r="M76" s="18"/>
      <c r="N76" s="18"/>
      <c r="O76" s="18"/>
      <c r="P76" s="18"/>
      <c r="Q76" s="20"/>
      <c r="R76" s="20"/>
      <c r="S76" s="20"/>
      <c r="T76" s="20"/>
      <c r="U76" s="20"/>
      <c r="V76" s="18"/>
      <c r="W76" s="10"/>
      <c r="X76" s="10"/>
      <c r="Y76" s="10"/>
      <c r="Z76" s="10"/>
      <c r="AA76" s="10"/>
      <c r="AB76" s="10"/>
      <c r="AC76" s="10"/>
      <c r="AD76" s="10"/>
      <c r="AE76" s="10"/>
      <c r="AF76" s="10"/>
      <c r="AG76" s="10"/>
      <c r="AH76" s="8"/>
      <c r="AI76" s="8"/>
      <c r="AJ76" s="8"/>
      <c r="AK76" s="7"/>
    </row>
    <row r="77" spans="1:37" x14ac:dyDescent="0.25">
      <c r="C77" s="289" t="s">
        <v>511</v>
      </c>
      <c r="D77" s="332"/>
      <c r="E77" s="332"/>
      <c r="F77" s="332"/>
      <c r="G77" s="332"/>
      <c r="H77" s="18"/>
      <c r="I77" s="18"/>
      <c r="J77" s="18"/>
      <c r="K77" s="18"/>
      <c r="L77" s="18"/>
      <c r="M77" s="18"/>
      <c r="N77" s="18"/>
      <c r="O77" s="18"/>
      <c r="P77" s="18"/>
      <c r="Q77" s="20"/>
      <c r="R77" s="20"/>
      <c r="S77" s="20"/>
      <c r="T77" s="20"/>
      <c r="U77" s="20"/>
      <c r="V77" s="18"/>
      <c r="W77" s="10"/>
      <c r="X77" s="10"/>
      <c r="Y77" s="10"/>
      <c r="Z77" s="10"/>
      <c r="AA77" s="10"/>
      <c r="AB77" s="10"/>
      <c r="AC77" s="10"/>
      <c r="AD77" s="10"/>
      <c r="AE77" s="10"/>
      <c r="AF77" s="10"/>
      <c r="AG77" s="10"/>
      <c r="AH77" s="8"/>
      <c r="AI77" s="8"/>
      <c r="AJ77" s="8"/>
      <c r="AK77" s="7"/>
    </row>
    <row r="78" spans="1:37" x14ac:dyDescent="0.25">
      <c r="C78" s="344" t="s">
        <v>716</v>
      </c>
      <c r="D78" s="332"/>
      <c r="E78" s="332"/>
      <c r="F78" s="332"/>
      <c r="G78" s="332"/>
      <c r="H78" s="18"/>
      <c r="I78" s="18"/>
      <c r="J78" s="18"/>
      <c r="K78" s="18"/>
      <c r="L78" s="18"/>
      <c r="M78" s="18"/>
      <c r="N78" s="18"/>
      <c r="O78" s="18"/>
      <c r="P78" s="18"/>
      <c r="Q78" s="20"/>
      <c r="R78" s="20"/>
      <c r="S78" s="20"/>
      <c r="T78" s="20"/>
      <c r="U78" s="20"/>
      <c r="V78" s="18"/>
      <c r="W78" s="10"/>
      <c r="X78" s="10"/>
      <c r="Y78" s="10"/>
      <c r="Z78" s="10"/>
      <c r="AA78" s="10"/>
      <c r="AB78" s="10"/>
      <c r="AC78" s="10"/>
      <c r="AD78" s="10"/>
      <c r="AE78" s="10"/>
      <c r="AF78" s="10"/>
      <c r="AG78" s="10"/>
      <c r="AH78" s="8"/>
      <c r="AI78" s="8"/>
      <c r="AJ78" s="8"/>
      <c r="AK78" s="7"/>
    </row>
    <row r="79" spans="1:37" ht="15" customHeight="1" x14ac:dyDescent="0.25">
      <c r="C79" s="332"/>
      <c r="D79" s="464" t="s">
        <v>717</v>
      </c>
      <c r="E79" s="464"/>
      <c r="F79" s="464"/>
      <c r="G79" s="464"/>
      <c r="H79" s="464"/>
      <c r="I79" s="18"/>
      <c r="J79" s="18"/>
      <c r="K79" s="18"/>
      <c r="L79" s="18"/>
      <c r="M79" s="18"/>
      <c r="N79" s="18"/>
      <c r="O79" s="18"/>
      <c r="P79" s="18"/>
      <c r="Q79" s="20"/>
      <c r="R79" s="20"/>
      <c r="S79" s="20"/>
      <c r="T79" s="20"/>
      <c r="U79" s="20"/>
      <c r="V79" s="18"/>
      <c r="W79" s="10"/>
      <c r="X79" s="10"/>
      <c r="Y79" s="10"/>
      <c r="Z79" s="10"/>
      <c r="AA79" s="10"/>
      <c r="AB79" s="10"/>
      <c r="AC79" s="10"/>
      <c r="AD79" s="10"/>
      <c r="AE79" s="10"/>
      <c r="AF79" s="10"/>
      <c r="AG79" s="10"/>
      <c r="AH79" s="8"/>
      <c r="AI79" s="8"/>
      <c r="AJ79" s="8"/>
      <c r="AK79" s="7"/>
    </row>
    <row r="80" spans="1:37" x14ac:dyDescent="0.25">
      <c r="C80" s="332"/>
      <c r="D80" s="464"/>
      <c r="E80" s="464"/>
      <c r="F80" s="464"/>
      <c r="G80" s="464"/>
      <c r="H80" s="464"/>
      <c r="I80" s="18"/>
      <c r="J80" s="18"/>
      <c r="K80" s="18"/>
      <c r="L80" s="18"/>
      <c r="M80" s="18"/>
      <c r="N80" s="18"/>
      <c r="O80" s="18"/>
      <c r="P80" s="18"/>
      <c r="Q80" s="20"/>
      <c r="R80" s="20"/>
      <c r="S80" s="20"/>
      <c r="T80" s="20"/>
      <c r="U80" s="20"/>
      <c r="V80" s="18"/>
      <c r="W80" s="10"/>
      <c r="X80" s="10"/>
      <c r="Y80" s="10"/>
      <c r="Z80" s="10"/>
      <c r="AA80" s="10"/>
      <c r="AB80" s="10"/>
      <c r="AC80" s="10"/>
      <c r="AD80" s="10"/>
      <c r="AE80" s="10"/>
      <c r="AF80" s="10"/>
      <c r="AG80" s="10"/>
      <c r="AH80" s="8"/>
      <c r="AI80" s="8"/>
      <c r="AJ80" s="8"/>
      <c r="AK80" s="7"/>
    </row>
    <row r="81" spans="1:37" x14ac:dyDescent="0.25">
      <c r="C81" s="344" t="s">
        <v>718</v>
      </c>
      <c r="D81" s="18"/>
      <c r="E81" s="18"/>
      <c r="F81" s="18"/>
      <c r="G81" s="18"/>
      <c r="H81" s="18"/>
      <c r="I81" s="18"/>
      <c r="J81" s="18"/>
      <c r="K81" s="18"/>
      <c r="L81" s="18"/>
      <c r="M81" s="18"/>
      <c r="N81" s="18"/>
      <c r="O81" s="18"/>
      <c r="P81" s="18"/>
      <c r="Q81" s="20"/>
      <c r="R81" s="20"/>
      <c r="S81" s="20"/>
      <c r="T81" s="20"/>
      <c r="U81" s="20"/>
      <c r="V81" s="18"/>
      <c r="W81" s="10"/>
      <c r="X81" s="10"/>
      <c r="Y81" s="10"/>
      <c r="Z81" s="10"/>
      <c r="AA81" s="10"/>
      <c r="AB81" s="10"/>
      <c r="AC81" s="10"/>
      <c r="AD81" s="10"/>
      <c r="AE81" s="10"/>
      <c r="AF81" s="10"/>
      <c r="AG81" s="10"/>
      <c r="AH81" s="8"/>
      <c r="AI81" s="8"/>
      <c r="AJ81" s="8"/>
      <c r="AK81" s="7"/>
    </row>
    <row r="82" spans="1:37" x14ac:dyDescent="0.25">
      <c r="C82" s="332"/>
      <c r="D82" s="333" t="s">
        <v>721</v>
      </c>
      <c r="E82" s="333"/>
      <c r="F82" s="333"/>
      <c r="G82" s="333"/>
      <c r="H82" s="18"/>
      <c r="I82" s="18"/>
      <c r="J82" s="18"/>
      <c r="K82" s="18"/>
      <c r="L82" s="18"/>
      <c r="M82" s="18"/>
      <c r="N82" s="18"/>
      <c r="O82" s="18"/>
      <c r="P82" s="18"/>
      <c r="Q82" s="20"/>
      <c r="R82" s="20"/>
      <c r="S82" s="20"/>
      <c r="T82" s="20"/>
      <c r="U82" s="20"/>
      <c r="V82" s="18"/>
      <c r="W82" s="10"/>
      <c r="X82" s="10"/>
      <c r="Y82" s="10"/>
      <c r="Z82" s="10"/>
      <c r="AA82" s="10"/>
      <c r="AB82" s="10"/>
      <c r="AC82" s="10"/>
      <c r="AD82" s="10"/>
      <c r="AE82" s="10"/>
      <c r="AF82" s="10"/>
      <c r="AG82" s="10"/>
      <c r="AH82" s="8"/>
      <c r="AI82" s="8"/>
      <c r="AJ82" s="8"/>
      <c r="AK82" s="7"/>
    </row>
    <row r="83" spans="1:37" x14ac:dyDescent="0.25">
      <c r="C83" s="332"/>
      <c r="D83" s="333" t="s">
        <v>729</v>
      </c>
      <c r="E83" s="333"/>
      <c r="F83" s="333"/>
      <c r="G83" s="333"/>
      <c r="H83" s="18"/>
      <c r="I83" s="18"/>
      <c r="J83" s="18"/>
      <c r="K83" s="18"/>
      <c r="L83" s="18"/>
      <c r="M83" s="18"/>
      <c r="N83" s="18"/>
      <c r="O83" s="18"/>
      <c r="P83" s="18"/>
      <c r="Q83" s="20"/>
      <c r="R83" s="20"/>
      <c r="S83" s="20"/>
      <c r="T83" s="20"/>
      <c r="U83" s="20"/>
      <c r="V83" s="18"/>
      <c r="W83" s="10"/>
      <c r="X83" s="10"/>
      <c r="Y83" s="10"/>
      <c r="Z83" s="10"/>
      <c r="AA83" s="10"/>
      <c r="AB83" s="10"/>
      <c r="AC83" s="10"/>
      <c r="AD83" s="10"/>
      <c r="AE83" s="10"/>
      <c r="AF83" s="10"/>
      <c r="AG83" s="10"/>
      <c r="AH83" s="8"/>
      <c r="AI83" s="8"/>
      <c r="AJ83" s="8"/>
      <c r="AK83" s="7"/>
    </row>
    <row r="84" spans="1:37" x14ac:dyDescent="0.25">
      <c r="C84" t="s">
        <v>720</v>
      </c>
      <c r="E84" s="333"/>
      <c r="F84" s="333"/>
      <c r="G84" s="333"/>
      <c r="H84" s="18"/>
      <c r="I84" s="18"/>
      <c r="J84" s="18"/>
      <c r="K84" s="18"/>
      <c r="L84" s="18"/>
      <c r="M84" s="18"/>
      <c r="N84" s="18"/>
      <c r="O84" s="18"/>
      <c r="P84" s="18"/>
      <c r="Q84" s="20"/>
      <c r="R84" s="20"/>
      <c r="S84" s="20"/>
      <c r="T84" s="20"/>
      <c r="U84" s="20"/>
      <c r="V84" s="18"/>
      <c r="W84" s="10"/>
      <c r="X84" s="10"/>
      <c r="Y84" s="10"/>
      <c r="Z84" s="10"/>
      <c r="AA84" s="10"/>
      <c r="AB84" s="10"/>
      <c r="AC84" s="10"/>
      <c r="AD84" s="10"/>
      <c r="AE84" s="10"/>
      <c r="AF84" s="10"/>
      <c r="AG84" s="10"/>
      <c r="AH84" s="8"/>
      <c r="AI84" s="8"/>
      <c r="AJ84" s="8"/>
      <c r="AK84" s="7"/>
    </row>
    <row r="85" spans="1:37" x14ac:dyDescent="0.25">
      <c r="C85" s="18"/>
      <c r="D85" s="333" t="s">
        <v>727</v>
      </c>
      <c r="E85" s="333"/>
      <c r="F85" s="333"/>
      <c r="G85" s="333"/>
      <c r="H85" s="18"/>
      <c r="I85" s="18"/>
      <c r="J85" s="18"/>
      <c r="K85" s="18"/>
      <c r="L85" s="18"/>
      <c r="M85" s="18"/>
      <c r="N85" s="18"/>
      <c r="O85" s="18"/>
      <c r="P85" s="18"/>
      <c r="Q85" s="20"/>
      <c r="R85" s="20"/>
      <c r="S85" s="20"/>
      <c r="T85" s="20"/>
      <c r="U85" s="20"/>
      <c r="V85" s="18"/>
      <c r="W85" s="10"/>
      <c r="X85" s="10"/>
      <c r="Y85" s="10"/>
      <c r="Z85" s="10"/>
      <c r="AA85" s="10"/>
      <c r="AB85" s="10"/>
      <c r="AC85" s="10"/>
      <c r="AD85" s="10"/>
      <c r="AE85" s="10"/>
      <c r="AF85" s="10"/>
      <c r="AG85" s="10"/>
      <c r="AH85" s="8"/>
      <c r="AI85" s="8"/>
      <c r="AJ85" s="8"/>
      <c r="AK85" s="7"/>
    </row>
    <row r="86" spans="1:37" x14ac:dyDescent="0.25">
      <c r="C86" s="18"/>
      <c r="D86" s="333" t="s">
        <v>726</v>
      </c>
      <c r="E86" s="333"/>
      <c r="F86" s="333"/>
      <c r="G86" s="333"/>
      <c r="H86" s="18"/>
      <c r="I86" s="18"/>
      <c r="J86" s="18"/>
      <c r="K86" s="18"/>
      <c r="L86" s="18"/>
      <c r="M86" s="18"/>
      <c r="N86" s="18"/>
      <c r="O86" s="18"/>
      <c r="P86" s="18"/>
      <c r="Q86" s="20"/>
      <c r="R86" s="20"/>
      <c r="S86" s="20"/>
      <c r="T86" s="20"/>
      <c r="U86" s="20"/>
      <c r="V86" s="18"/>
      <c r="W86" s="10"/>
      <c r="X86" s="10"/>
      <c r="Y86" s="10"/>
      <c r="Z86" s="10"/>
      <c r="AA86" s="10"/>
      <c r="AB86" s="10"/>
      <c r="AC86" s="10"/>
      <c r="AD86" s="10"/>
      <c r="AE86" s="10"/>
      <c r="AF86" s="10"/>
      <c r="AG86" s="10"/>
      <c r="AH86" s="8"/>
      <c r="AI86" s="8"/>
      <c r="AJ86" s="8"/>
      <c r="AK86" s="7"/>
    </row>
    <row r="87" spans="1:37" x14ac:dyDescent="0.25">
      <c r="C87" s="344" t="s">
        <v>719</v>
      </c>
      <c r="D87" s="333"/>
      <c r="E87" s="333"/>
      <c r="F87" s="333"/>
      <c r="G87" s="333"/>
      <c r="H87" s="18"/>
      <c r="I87" s="18"/>
      <c r="J87" s="18"/>
      <c r="K87" s="18"/>
      <c r="L87" s="18"/>
      <c r="M87" s="18"/>
      <c r="N87" s="18"/>
      <c r="O87" s="18"/>
      <c r="P87" s="18"/>
      <c r="Q87" s="20"/>
      <c r="R87" s="20"/>
      <c r="S87" s="20"/>
      <c r="T87" s="20"/>
      <c r="U87" s="20"/>
      <c r="V87" s="18"/>
      <c r="W87" s="10"/>
      <c r="X87" s="10"/>
      <c r="Y87" s="10"/>
      <c r="Z87" s="10"/>
      <c r="AA87" s="10"/>
      <c r="AB87" s="10"/>
      <c r="AC87" s="10"/>
      <c r="AD87" s="10"/>
      <c r="AE87" s="10"/>
      <c r="AF87" s="10"/>
      <c r="AG87" s="10"/>
      <c r="AH87" s="8"/>
      <c r="AI87" s="8"/>
      <c r="AJ87" s="8"/>
      <c r="AK87" s="7"/>
    </row>
    <row r="88" spans="1:37" x14ac:dyDescent="0.25">
      <c r="C88" s="18"/>
      <c r="D88" s="333" t="s">
        <v>728</v>
      </c>
      <c r="E88" s="333"/>
      <c r="F88" s="333"/>
      <c r="G88" s="333"/>
      <c r="H88" s="18"/>
      <c r="I88" s="18"/>
      <c r="J88" s="18"/>
      <c r="K88" s="18"/>
      <c r="L88" s="18"/>
      <c r="M88" s="18"/>
      <c r="N88" s="18"/>
      <c r="O88" s="18"/>
      <c r="P88" s="18"/>
      <c r="Q88" s="20"/>
      <c r="R88" s="20"/>
      <c r="S88" s="20"/>
      <c r="T88" s="20"/>
      <c r="U88" s="20"/>
      <c r="V88" s="18"/>
      <c r="W88" s="10"/>
      <c r="X88" s="10"/>
      <c r="Y88" s="10"/>
      <c r="Z88" s="10"/>
      <c r="AA88" s="10"/>
      <c r="AB88" s="10"/>
      <c r="AC88" s="10"/>
      <c r="AD88" s="10"/>
      <c r="AE88" s="10"/>
      <c r="AF88" s="10"/>
      <c r="AG88" s="10"/>
      <c r="AH88" s="8"/>
      <c r="AI88" s="8"/>
      <c r="AJ88" s="8"/>
      <c r="AK88" s="7"/>
    </row>
    <row r="89" spans="1:37" x14ac:dyDescent="0.25">
      <c r="A89" s="52"/>
      <c r="B89" s="52"/>
      <c r="C89" s="18"/>
      <c r="D89" s="333" t="s">
        <v>725</v>
      </c>
      <c r="E89" s="333"/>
      <c r="F89" s="333"/>
      <c r="G89" s="333"/>
      <c r="H89" s="18"/>
      <c r="I89" s="18"/>
      <c r="J89" s="18"/>
      <c r="K89" s="18"/>
      <c r="L89" s="18"/>
      <c r="M89" s="18"/>
      <c r="N89" s="18"/>
      <c r="O89" s="18"/>
      <c r="P89" s="18"/>
      <c r="Q89" s="20"/>
      <c r="R89" s="20"/>
      <c r="S89" s="20"/>
      <c r="T89" s="20"/>
      <c r="U89" s="20"/>
      <c r="V89" s="18"/>
      <c r="W89" s="10"/>
      <c r="X89" s="10"/>
      <c r="Y89" s="10"/>
      <c r="Z89" s="10"/>
      <c r="AA89" s="10"/>
      <c r="AB89" s="10"/>
      <c r="AC89" s="10"/>
      <c r="AD89" s="10"/>
      <c r="AE89" s="10"/>
      <c r="AF89" s="10"/>
      <c r="AG89" s="10"/>
      <c r="AH89" s="8"/>
      <c r="AI89" s="8"/>
      <c r="AJ89" s="8"/>
      <c r="AK89" s="7"/>
    </row>
    <row r="90" spans="1:37" x14ac:dyDescent="0.25">
      <c r="A90" s="52"/>
      <c r="B90" s="52"/>
      <c r="C90" s="18"/>
      <c r="D90" s="333" t="s">
        <v>724</v>
      </c>
      <c r="E90" s="333"/>
      <c r="F90" s="333"/>
      <c r="G90" s="333"/>
      <c r="H90" s="18"/>
      <c r="I90" s="18"/>
      <c r="J90" s="18"/>
      <c r="K90" s="18"/>
      <c r="L90" s="18"/>
      <c r="M90" s="18"/>
      <c r="N90" s="18"/>
      <c r="O90" s="18"/>
      <c r="P90" s="18"/>
      <c r="Q90" s="20"/>
      <c r="R90" s="20"/>
      <c r="S90" s="20"/>
      <c r="T90" s="20"/>
      <c r="U90" s="20"/>
      <c r="V90" s="18"/>
      <c r="W90" s="10"/>
      <c r="X90" s="10"/>
      <c r="Y90" s="10"/>
      <c r="Z90" s="10"/>
      <c r="AA90" s="10"/>
      <c r="AB90" s="10"/>
      <c r="AC90" s="10"/>
      <c r="AD90" s="10"/>
      <c r="AE90" s="10"/>
      <c r="AF90" s="10"/>
      <c r="AG90" s="10"/>
      <c r="AH90" s="8"/>
      <c r="AI90" s="8"/>
      <c r="AJ90" s="8"/>
      <c r="AK90" s="7"/>
    </row>
    <row r="91" spans="1:37" x14ac:dyDescent="0.25">
      <c r="A91" s="52"/>
      <c r="B91" s="52"/>
      <c r="C91" s="18"/>
      <c r="D91" s="333" t="s">
        <v>723</v>
      </c>
      <c r="E91" s="18"/>
      <c r="F91" s="18"/>
      <c r="G91" s="18"/>
      <c r="H91" s="18"/>
      <c r="I91" s="18"/>
      <c r="J91" s="18"/>
      <c r="K91" s="18"/>
      <c r="L91" s="18"/>
      <c r="M91" s="18"/>
      <c r="N91" s="18"/>
      <c r="O91" s="18"/>
      <c r="P91" s="18"/>
      <c r="Q91" s="20"/>
      <c r="R91" s="20"/>
      <c r="S91" s="20"/>
      <c r="T91" s="20"/>
      <c r="U91" s="20"/>
      <c r="V91" s="18"/>
      <c r="W91" s="10"/>
      <c r="X91" s="10"/>
      <c r="Y91" s="10"/>
      <c r="Z91" s="10"/>
      <c r="AA91" s="10"/>
      <c r="AB91" s="10"/>
      <c r="AC91" s="10"/>
      <c r="AD91" s="10"/>
      <c r="AE91" s="10"/>
      <c r="AF91" s="10"/>
      <c r="AG91" s="10"/>
      <c r="AH91" s="8"/>
      <c r="AI91" s="8"/>
      <c r="AJ91" s="8"/>
      <c r="AK91" s="7"/>
    </row>
    <row r="92" spans="1:37" x14ac:dyDescent="0.25">
      <c r="A92" s="52"/>
      <c r="B92" s="52"/>
      <c r="C92" t="s">
        <v>734</v>
      </c>
      <c r="D92" s="333"/>
      <c r="E92" s="18"/>
      <c r="F92" s="18"/>
      <c r="G92" s="18"/>
      <c r="H92" s="18"/>
      <c r="I92" s="18"/>
      <c r="J92" s="18"/>
      <c r="K92" s="18"/>
      <c r="L92" s="18"/>
      <c r="M92" s="18"/>
      <c r="N92" s="18"/>
      <c r="O92" s="18"/>
      <c r="P92" s="18"/>
      <c r="Q92" s="20"/>
      <c r="R92" s="20"/>
      <c r="S92" s="20"/>
      <c r="T92" s="20"/>
      <c r="U92" s="20"/>
      <c r="V92" s="18"/>
      <c r="W92" s="10"/>
      <c r="X92" s="10"/>
      <c r="Y92" s="10"/>
      <c r="Z92" s="10"/>
      <c r="AA92" s="10"/>
      <c r="AB92" s="10"/>
      <c r="AC92" s="10"/>
      <c r="AD92" s="10"/>
      <c r="AE92" s="10"/>
      <c r="AF92" s="10"/>
      <c r="AG92" s="10"/>
      <c r="AH92" s="8"/>
      <c r="AI92" s="8"/>
      <c r="AJ92" s="8"/>
      <c r="AK92" s="7"/>
    </row>
    <row r="93" spans="1:37" x14ac:dyDescent="0.25">
      <c r="A93" s="52"/>
      <c r="B93" s="52"/>
      <c r="C93" s="18"/>
      <c r="D93" s="18"/>
      <c r="E93" s="18"/>
      <c r="F93" s="18"/>
      <c r="G93" s="18"/>
      <c r="H93" s="18"/>
      <c r="I93" s="18"/>
      <c r="J93" s="18"/>
      <c r="K93" s="18"/>
      <c r="L93" s="18"/>
      <c r="M93" s="18"/>
      <c r="N93" s="18"/>
      <c r="O93" s="18"/>
      <c r="P93" s="18"/>
      <c r="Q93" s="20"/>
      <c r="R93" s="20"/>
      <c r="S93" s="20"/>
      <c r="T93" s="20"/>
      <c r="U93" s="20"/>
      <c r="V93" s="18"/>
      <c r="W93" s="10"/>
      <c r="X93" s="10"/>
      <c r="Y93" s="10"/>
      <c r="Z93" s="10"/>
      <c r="AA93" s="10"/>
      <c r="AB93" s="10"/>
      <c r="AC93" s="10"/>
      <c r="AD93" s="10"/>
      <c r="AE93" s="10"/>
      <c r="AF93" s="10"/>
      <c r="AG93" s="10"/>
      <c r="AH93" s="8"/>
      <c r="AI93" s="8"/>
      <c r="AJ93" s="8"/>
      <c r="AK93" s="7"/>
    </row>
    <row r="94" spans="1:37" x14ac:dyDescent="0.25">
      <c r="C94" s="18"/>
      <c r="D94" s="18"/>
      <c r="E94" s="18"/>
      <c r="F94" s="18"/>
      <c r="G94" s="18"/>
      <c r="H94" s="18"/>
      <c r="I94" s="18"/>
      <c r="J94" s="18"/>
      <c r="K94" s="18"/>
      <c r="L94" s="18"/>
      <c r="M94" s="18"/>
      <c r="N94" s="18"/>
      <c r="O94" s="18"/>
      <c r="P94" s="18"/>
      <c r="Q94" s="20"/>
      <c r="R94" s="20"/>
      <c r="S94" s="20"/>
      <c r="T94" s="20"/>
      <c r="U94" s="20"/>
      <c r="V94" s="18"/>
      <c r="W94" s="10"/>
      <c r="X94" s="10"/>
      <c r="Y94" s="10"/>
      <c r="Z94" s="10"/>
      <c r="AA94" s="10"/>
      <c r="AB94" s="10"/>
      <c r="AC94" s="10"/>
      <c r="AD94" s="10"/>
      <c r="AE94" s="10"/>
      <c r="AF94" s="10"/>
      <c r="AG94" s="10"/>
      <c r="AH94" s="8"/>
      <c r="AI94" s="11"/>
      <c r="AJ94" s="11"/>
      <c r="AK94" s="7"/>
    </row>
    <row r="95" spans="1:37" x14ac:dyDescent="0.25">
      <c r="C95" s="18"/>
      <c r="D95" s="18"/>
      <c r="E95" s="18"/>
      <c r="F95" s="18"/>
      <c r="G95" s="18"/>
      <c r="H95" s="18"/>
      <c r="I95" s="18"/>
      <c r="J95" s="18"/>
      <c r="K95" s="18"/>
      <c r="L95" s="18"/>
      <c r="M95" s="18"/>
      <c r="N95" s="18"/>
      <c r="O95" s="18"/>
      <c r="P95" s="18"/>
      <c r="Q95" s="20"/>
      <c r="R95" s="20"/>
      <c r="S95" s="20"/>
      <c r="T95" s="20"/>
      <c r="U95" s="20"/>
      <c r="V95" s="18"/>
      <c r="W95" s="10"/>
      <c r="X95" s="10"/>
      <c r="Y95" s="10"/>
      <c r="Z95" s="10"/>
      <c r="AA95" s="10"/>
      <c r="AB95" s="10"/>
      <c r="AC95" s="10"/>
      <c r="AD95" s="10"/>
      <c r="AE95" s="10"/>
      <c r="AF95" s="10"/>
      <c r="AG95" s="10"/>
      <c r="AH95" s="8"/>
      <c r="AI95" s="8"/>
      <c r="AJ95" s="8"/>
      <c r="AK95" s="7"/>
    </row>
    <row r="96" spans="1:37" x14ac:dyDescent="0.25">
      <c r="C96" s="18"/>
      <c r="D96" s="18"/>
      <c r="E96" s="18"/>
      <c r="F96" s="18"/>
      <c r="G96" s="18"/>
      <c r="H96" s="18"/>
      <c r="I96" s="18"/>
      <c r="J96" s="18"/>
      <c r="K96" s="18"/>
      <c r="L96" s="18"/>
      <c r="M96" s="18"/>
      <c r="N96" s="18"/>
      <c r="O96" s="18"/>
      <c r="P96" s="18"/>
      <c r="Q96" s="20"/>
      <c r="R96" s="20"/>
      <c r="S96" s="20"/>
      <c r="T96" s="20"/>
      <c r="U96" s="20"/>
      <c r="V96" s="18"/>
      <c r="W96" s="10"/>
      <c r="X96" s="10"/>
      <c r="Y96" s="10"/>
      <c r="Z96" s="10"/>
      <c r="AA96" s="10"/>
      <c r="AB96" s="10"/>
      <c r="AC96" s="10"/>
      <c r="AD96" s="10"/>
      <c r="AE96" s="10"/>
      <c r="AF96" s="10"/>
      <c r="AG96" s="10"/>
      <c r="AH96" s="11"/>
      <c r="AI96" s="8"/>
      <c r="AJ96" s="8"/>
      <c r="AK96" s="7"/>
    </row>
    <row r="97" spans="3:37" x14ac:dyDescent="0.25">
      <c r="C97" s="18"/>
      <c r="D97" s="18"/>
      <c r="E97" s="18"/>
      <c r="F97" s="18"/>
      <c r="G97" s="18"/>
      <c r="H97" s="18"/>
      <c r="I97" s="18"/>
      <c r="J97" s="18"/>
      <c r="K97" s="18"/>
      <c r="L97" s="18"/>
      <c r="M97" s="18"/>
      <c r="N97" s="18"/>
      <c r="O97" s="18"/>
      <c r="P97" s="18"/>
      <c r="Q97" s="20"/>
      <c r="R97" s="20"/>
      <c r="S97" s="20"/>
      <c r="T97" s="20"/>
      <c r="U97" s="20"/>
      <c r="V97" s="18"/>
      <c r="W97" s="10"/>
      <c r="X97" s="10"/>
      <c r="Y97" s="10"/>
      <c r="Z97" s="10"/>
      <c r="AA97" s="10"/>
      <c r="AB97" s="10"/>
      <c r="AC97" s="10"/>
      <c r="AD97" s="10"/>
      <c r="AE97" s="10"/>
      <c r="AF97" s="10"/>
      <c r="AG97" s="10"/>
      <c r="AH97" s="8"/>
      <c r="AI97" s="8"/>
      <c r="AJ97" s="8"/>
      <c r="AK97" s="7"/>
    </row>
    <row r="98" spans="3:37" x14ac:dyDescent="0.25">
      <c r="C98" s="18"/>
      <c r="D98" s="18"/>
      <c r="E98" s="18"/>
      <c r="F98" s="18"/>
      <c r="G98" s="18"/>
      <c r="H98" s="18"/>
      <c r="I98" s="18"/>
      <c r="J98" s="18"/>
      <c r="K98" s="18"/>
      <c r="L98" s="18"/>
      <c r="M98" s="18"/>
      <c r="N98" s="18"/>
      <c r="O98" s="18"/>
      <c r="P98" s="18"/>
      <c r="Q98" s="20"/>
      <c r="R98" s="20"/>
      <c r="S98" s="20"/>
      <c r="T98" s="20"/>
      <c r="U98" s="20"/>
      <c r="V98" s="18"/>
      <c r="W98" s="10"/>
      <c r="X98" s="10"/>
      <c r="Y98" s="10"/>
      <c r="Z98" s="10"/>
      <c r="AA98" s="10"/>
      <c r="AB98" s="10"/>
      <c r="AC98" s="10"/>
      <c r="AD98" s="10"/>
      <c r="AE98" s="10"/>
      <c r="AF98" s="10"/>
      <c r="AG98" s="10"/>
      <c r="AH98" s="8"/>
      <c r="AI98" s="8"/>
      <c r="AJ98" s="8"/>
      <c r="AK98" s="7"/>
    </row>
    <row r="99" spans="3:37" x14ac:dyDescent="0.25">
      <c r="C99" s="18"/>
      <c r="D99" s="18"/>
      <c r="E99" s="18"/>
      <c r="F99" s="18"/>
      <c r="G99" s="18"/>
      <c r="H99" s="18"/>
      <c r="I99" s="18"/>
      <c r="J99" s="18"/>
      <c r="K99" s="18"/>
      <c r="L99" s="18"/>
      <c r="M99" s="18"/>
      <c r="N99" s="18"/>
      <c r="O99" s="18"/>
      <c r="P99" s="18"/>
      <c r="Q99" s="20"/>
      <c r="R99" s="20"/>
      <c r="S99" s="20"/>
      <c r="T99" s="20"/>
      <c r="U99" s="20"/>
      <c r="V99" s="18"/>
      <c r="W99" s="10"/>
      <c r="X99" s="10"/>
      <c r="Y99" s="10"/>
      <c r="Z99" s="10"/>
      <c r="AA99" s="10"/>
      <c r="AB99" s="10"/>
      <c r="AC99" s="10"/>
      <c r="AD99" s="10"/>
      <c r="AE99" s="10"/>
      <c r="AF99" s="10"/>
      <c r="AG99" s="10"/>
      <c r="AH99" s="8"/>
      <c r="AI99" s="8"/>
      <c r="AJ99" s="8"/>
      <c r="AK99" s="7"/>
    </row>
    <row r="100" spans="3:37" x14ac:dyDescent="0.25">
      <c r="C100" s="18"/>
      <c r="D100" s="18"/>
      <c r="E100" s="18"/>
      <c r="F100" s="18"/>
      <c r="G100" s="18"/>
      <c r="H100" s="18"/>
      <c r="I100" s="18"/>
      <c r="J100" s="18"/>
      <c r="K100" s="18"/>
      <c r="L100" s="18"/>
      <c r="M100" s="18"/>
      <c r="N100" s="18"/>
      <c r="O100" s="18"/>
      <c r="P100" s="18"/>
      <c r="Q100" s="20"/>
      <c r="R100" s="20"/>
      <c r="S100" s="20"/>
      <c r="T100" s="20"/>
      <c r="U100" s="20"/>
      <c r="V100" s="18"/>
      <c r="W100" s="10"/>
      <c r="X100" s="10"/>
      <c r="Y100" s="10"/>
      <c r="Z100" s="10"/>
      <c r="AA100" s="10"/>
      <c r="AB100" s="10"/>
      <c r="AC100" s="10"/>
      <c r="AD100" s="10"/>
      <c r="AE100" s="10"/>
      <c r="AF100" s="10"/>
      <c r="AG100" s="10"/>
      <c r="AH100" s="8"/>
      <c r="AI100" s="8"/>
      <c r="AJ100" s="8"/>
      <c r="AK100" s="7"/>
    </row>
    <row r="101" spans="3:37" x14ac:dyDescent="0.25">
      <c r="C101" s="18"/>
      <c r="D101" s="18"/>
      <c r="E101" s="18"/>
      <c r="F101" s="18"/>
      <c r="G101" s="18"/>
      <c r="H101" s="18"/>
      <c r="I101" s="18"/>
      <c r="J101" s="18"/>
      <c r="K101" s="18"/>
      <c r="L101" s="18"/>
      <c r="M101" s="18"/>
      <c r="N101" s="18"/>
      <c r="O101" s="18"/>
      <c r="P101" s="18"/>
      <c r="Q101" s="20"/>
      <c r="R101" s="20"/>
      <c r="S101" s="20"/>
      <c r="T101" s="20"/>
      <c r="U101" s="20"/>
      <c r="V101" s="18"/>
      <c r="W101" s="10"/>
      <c r="X101" s="10"/>
      <c r="Y101" s="10"/>
      <c r="Z101" s="10"/>
      <c r="AA101" s="10"/>
      <c r="AB101" s="10"/>
      <c r="AC101" s="10"/>
      <c r="AD101" s="10"/>
      <c r="AE101" s="10"/>
      <c r="AF101" s="10"/>
      <c r="AG101" s="10"/>
      <c r="AH101" s="8"/>
      <c r="AI101" s="8"/>
      <c r="AJ101" s="8"/>
      <c r="AK101" s="7"/>
    </row>
    <row r="102" spans="3:37" x14ac:dyDescent="0.25">
      <c r="C102" s="18"/>
      <c r="D102" s="18"/>
      <c r="E102" s="18"/>
      <c r="F102" s="18"/>
      <c r="G102" s="18"/>
      <c r="H102" s="18"/>
      <c r="I102" s="18"/>
      <c r="J102" s="18"/>
      <c r="K102" s="18"/>
      <c r="L102" s="18"/>
      <c r="M102" s="18"/>
      <c r="N102" s="18"/>
      <c r="O102" s="18"/>
      <c r="P102" s="18"/>
      <c r="Q102" s="20"/>
      <c r="R102" s="20"/>
      <c r="S102" s="20"/>
      <c r="T102" s="20"/>
      <c r="U102" s="20"/>
      <c r="V102" s="18"/>
      <c r="W102" s="10"/>
      <c r="X102" s="10"/>
      <c r="Y102" s="10"/>
      <c r="Z102" s="10"/>
      <c r="AA102" s="10"/>
      <c r="AB102" s="10"/>
      <c r="AC102" s="10"/>
      <c r="AD102" s="10"/>
      <c r="AE102" s="10"/>
      <c r="AF102" s="10"/>
      <c r="AG102" s="10"/>
      <c r="AH102" s="8"/>
      <c r="AI102" s="8"/>
      <c r="AJ102" s="8"/>
      <c r="AK102" s="7"/>
    </row>
    <row r="103" spans="3:37" x14ac:dyDescent="0.25">
      <c r="C103" s="18"/>
      <c r="D103" s="18"/>
      <c r="E103" s="18"/>
      <c r="F103" s="18"/>
      <c r="G103" s="18"/>
      <c r="H103" s="18"/>
      <c r="I103" s="18"/>
      <c r="J103" s="18"/>
      <c r="K103" s="18"/>
      <c r="L103" s="18"/>
      <c r="M103" s="18"/>
      <c r="N103" s="18"/>
      <c r="O103" s="18"/>
      <c r="P103" s="18"/>
      <c r="Q103" s="20"/>
      <c r="R103" s="20"/>
      <c r="S103" s="20"/>
      <c r="T103" s="20"/>
      <c r="U103" s="20"/>
      <c r="V103" s="18"/>
      <c r="W103" s="10"/>
      <c r="X103" s="10"/>
      <c r="Y103" s="10"/>
      <c r="Z103" s="10"/>
      <c r="AA103" s="10"/>
      <c r="AB103" s="10"/>
      <c r="AC103" s="10"/>
      <c r="AD103" s="10"/>
      <c r="AE103" s="10"/>
      <c r="AF103" s="10"/>
      <c r="AG103" s="10"/>
      <c r="AH103" s="8"/>
      <c r="AI103" s="8"/>
      <c r="AJ103" s="8"/>
      <c r="AK103" s="7"/>
    </row>
    <row r="104" spans="3:37" x14ac:dyDescent="0.25">
      <c r="C104" s="18"/>
      <c r="D104" s="18"/>
      <c r="E104" s="18"/>
      <c r="F104" s="18"/>
      <c r="G104" s="18"/>
      <c r="H104" s="18"/>
      <c r="I104" s="18"/>
      <c r="J104" s="18"/>
      <c r="K104" s="18"/>
      <c r="L104" s="18"/>
      <c r="M104" s="18"/>
      <c r="N104" s="18"/>
      <c r="O104" s="18"/>
      <c r="P104" s="18"/>
      <c r="Q104" s="20"/>
      <c r="R104" s="20"/>
      <c r="S104" s="20"/>
      <c r="T104" s="20"/>
      <c r="U104" s="20"/>
      <c r="V104" s="18"/>
      <c r="W104" s="10"/>
      <c r="X104" s="10"/>
      <c r="Y104" s="10"/>
      <c r="Z104" s="10"/>
      <c r="AA104" s="10"/>
      <c r="AB104" s="10"/>
      <c r="AC104" s="10"/>
      <c r="AD104" s="10"/>
      <c r="AE104" s="10"/>
      <c r="AF104" s="10"/>
      <c r="AG104" s="10"/>
      <c r="AH104" s="8"/>
      <c r="AI104" s="8"/>
      <c r="AJ104" s="8"/>
      <c r="AK104" s="7"/>
    </row>
    <row r="105" spans="3:37" x14ac:dyDescent="0.25">
      <c r="C105" s="18"/>
      <c r="D105" s="18"/>
      <c r="E105" s="18"/>
      <c r="F105" s="18"/>
      <c r="G105" s="18"/>
      <c r="H105" s="18"/>
      <c r="I105" s="18"/>
      <c r="J105" s="18"/>
      <c r="K105" s="18"/>
      <c r="L105" s="18"/>
      <c r="M105" s="18"/>
      <c r="N105" s="18"/>
      <c r="O105" s="18"/>
      <c r="P105" s="18"/>
      <c r="Q105" s="20"/>
      <c r="R105" s="20"/>
      <c r="S105" s="20"/>
      <c r="T105" s="20"/>
      <c r="U105" s="20"/>
      <c r="V105" s="18"/>
      <c r="W105" s="10"/>
      <c r="X105" s="10"/>
      <c r="Y105" s="10"/>
      <c r="Z105" s="10"/>
      <c r="AA105" s="10"/>
      <c r="AB105" s="10"/>
      <c r="AC105" s="10"/>
      <c r="AD105" s="10"/>
      <c r="AE105" s="10"/>
      <c r="AF105" s="10"/>
      <c r="AG105" s="10"/>
      <c r="AH105" s="8"/>
      <c r="AI105" s="8"/>
      <c r="AJ105" s="8"/>
      <c r="AK105" s="7"/>
    </row>
    <row r="106" spans="3:37" x14ac:dyDescent="0.25">
      <c r="C106" s="18"/>
      <c r="D106" s="18"/>
      <c r="E106" s="18"/>
      <c r="F106" s="18"/>
      <c r="G106" s="18"/>
      <c r="H106" s="18"/>
      <c r="I106" s="18"/>
      <c r="J106" s="18"/>
      <c r="K106" s="18"/>
      <c r="L106" s="18"/>
      <c r="M106" s="18"/>
      <c r="N106" s="18"/>
      <c r="O106" s="18"/>
      <c r="P106" s="18"/>
      <c r="Q106" s="20"/>
      <c r="R106" s="20"/>
      <c r="S106" s="20"/>
      <c r="T106" s="20"/>
      <c r="U106" s="20"/>
      <c r="V106" s="18"/>
      <c r="W106" s="10"/>
      <c r="X106" s="10"/>
      <c r="Y106" s="10"/>
      <c r="Z106" s="10"/>
      <c r="AA106" s="10"/>
      <c r="AB106" s="10"/>
      <c r="AC106" s="10"/>
      <c r="AD106" s="10"/>
      <c r="AE106" s="10"/>
      <c r="AF106" s="10"/>
      <c r="AG106" s="10"/>
      <c r="AH106" s="8"/>
      <c r="AI106" s="8"/>
      <c r="AJ106" s="8"/>
      <c r="AK106" s="7"/>
    </row>
    <row r="107" spans="3:37" x14ac:dyDescent="0.25">
      <c r="C107" s="18"/>
      <c r="D107" s="18"/>
      <c r="E107" s="18"/>
      <c r="F107" s="18"/>
      <c r="G107" s="18"/>
      <c r="H107" s="18"/>
      <c r="I107" s="18"/>
      <c r="J107" s="18"/>
      <c r="K107" s="18"/>
      <c r="L107" s="18"/>
      <c r="M107" s="18"/>
      <c r="N107" s="18"/>
      <c r="O107" s="18"/>
      <c r="P107" s="18"/>
      <c r="Q107" s="20"/>
      <c r="R107" s="20"/>
      <c r="S107" s="20"/>
      <c r="T107" s="20"/>
      <c r="U107" s="20"/>
      <c r="V107" s="18"/>
      <c r="W107" s="10"/>
      <c r="X107" s="10"/>
      <c r="Y107" s="10"/>
      <c r="Z107" s="10"/>
      <c r="AA107" s="10"/>
      <c r="AB107" s="10"/>
      <c r="AC107" s="10"/>
      <c r="AD107" s="10"/>
      <c r="AE107" s="10"/>
      <c r="AF107" s="10"/>
      <c r="AG107" s="10"/>
      <c r="AH107" s="8"/>
      <c r="AI107" s="8"/>
      <c r="AJ107" s="8"/>
      <c r="AK107" s="7"/>
    </row>
    <row r="108" spans="3:37" x14ac:dyDescent="0.25">
      <c r="C108" s="18"/>
      <c r="D108" s="18"/>
      <c r="E108" s="18"/>
      <c r="F108" s="18"/>
      <c r="G108" s="18"/>
      <c r="H108" s="18"/>
      <c r="I108" s="18"/>
      <c r="J108" s="18"/>
      <c r="K108" s="18"/>
      <c r="L108" s="18"/>
      <c r="M108" s="18"/>
      <c r="N108" s="18"/>
      <c r="O108" s="18"/>
      <c r="P108" s="18"/>
      <c r="Q108" s="20"/>
      <c r="R108" s="20"/>
      <c r="S108" s="20"/>
      <c r="T108" s="20"/>
      <c r="U108" s="20"/>
      <c r="V108" s="18"/>
      <c r="W108" s="10"/>
      <c r="X108" s="10"/>
      <c r="Y108" s="10"/>
      <c r="Z108" s="10"/>
      <c r="AA108" s="10"/>
      <c r="AB108" s="10"/>
      <c r="AC108" s="10"/>
      <c r="AD108" s="10"/>
      <c r="AE108" s="10"/>
      <c r="AF108" s="10"/>
      <c r="AG108" s="10"/>
      <c r="AH108" s="8"/>
      <c r="AI108" s="8"/>
      <c r="AJ108" s="8"/>
      <c r="AK108" s="7"/>
    </row>
    <row r="109" spans="3:37" x14ac:dyDescent="0.25">
      <c r="C109" s="18"/>
      <c r="D109" s="18"/>
      <c r="E109" s="18"/>
      <c r="F109" s="18"/>
      <c r="G109" s="18"/>
      <c r="H109" s="18"/>
      <c r="I109" s="18"/>
      <c r="J109" s="18"/>
      <c r="K109" s="18"/>
      <c r="L109" s="18"/>
      <c r="M109" s="18"/>
      <c r="N109" s="18"/>
      <c r="O109" s="18"/>
      <c r="P109" s="18"/>
      <c r="Q109" s="20"/>
      <c r="R109" s="20"/>
      <c r="S109" s="20"/>
      <c r="T109" s="20"/>
      <c r="U109" s="20"/>
      <c r="V109" s="18"/>
      <c r="W109" s="10"/>
      <c r="X109" s="10"/>
      <c r="Y109" s="10"/>
      <c r="Z109" s="10"/>
      <c r="AA109" s="10"/>
      <c r="AB109" s="10"/>
      <c r="AC109" s="10"/>
      <c r="AD109" s="10"/>
      <c r="AE109" s="10"/>
      <c r="AF109" s="10"/>
      <c r="AG109" s="10"/>
      <c r="AH109" s="8"/>
      <c r="AI109" s="8"/>
      <c r="AJ109" s="8"/>
      <c r="AK109" s="7"/>
    </row>
    <row r="110" spans="3:37" x14ac:dyDescent="0.25">
      <c r="C110" s="18"/>
      <c r="D110" s="18"/>
      <c r="E110" s="18"/>
      <c r="F110" s="18"/>
      <c r="G110" s="18"/>
      <c r="H110" s="18"/>
      <c r="I110" s="18"/>
      <c r="J110" s="18"/>
      <c r="K110" s="18"/>
      <c r="L110" s="18"/>
      <c r="M110" s="18"/>
      <c r="N110" s="18"/>
      <c r="O110" s="18"/>
      <c r="P110" s="18"/>
      <c r="Q110" s="20"/>
      <c r="R110" s="20"/>
      <c r="S110" s="20"/>
      <c r="T110" s="20"/>
      <c r="U110" s="20"/>
      <c r="V110" s="18"/>
      <c r="W110" s="10"/>
      <c r="X110" s="10"/>
      <c r="Y110" s="10"/>
      <c r="Z110" s="10"/>
      <c r="AA110" s="10"/>
      <c r="AB110" s="10"/>
      <c r="AC110" s="10"/>
      <c r="AD110" s="10"/>
      <c r="AE110" s="10"/>
      <c r="AF110" s="10"/>
      <c r="AG110" s="10"/>
      <c r="AH110" s="8"/>
      <c r="AI110" s="8"/>
      <c r="AJ110" s="8"/>
      <c r="AK110" s="7"/>
    </row>
    <row r="111" spans="3:37" x14ac:dyDescent="0.25">
      <c r="C111" s="18"/>
      <c r="D111" s="18"/>
      <c r="E111" s="18"/>
      <c r="F111" s="18"/>
      <c r="G111" s="18"/>
      <c r="H111" s="18"/>
      <c r="I111" s="18"/>
      <c r="J111" s="18"/>
      <c r="K111" s="18"/>
      <c r="L111" s="18"/>
      <c r="M111" s="18"/>
      <c r="N111" s="18"/>
      <c r="O111" s="18"/>
      <c r="P111" s="18"/>
      <c r="Q111" s="20"/>
      <c r="R111" s="20"/>
      <c r="S111" s="20"/>
      <c r="T111" s="20"/>
      <c r="U111" s="20"/>
      <c r="V111" s="18"/>
      <c r="W111" s="10"/>
      <c r="X111" s="10"/>
      <c r="Y111" s="10"/>
      <c r="Z111" s="10"/>
      <c r="AA111" s="10"/>
      <c r="AB111" s="10"/>
      <c r="AC111" s="10"/>
      <c r="AD111" s="10"/>
      <c r="AE111" s="10"/>
      <c r="AF111" s="10"/>
      <c r="AG111" s="10"/>
      <c r="AH111" s="8"/>
      <c r="AI111" s="8"/>
      <c r="AJ111" s="8"/>
      <c r="AK111" s="7"/>
    </row>
    <row r="112" spans="3:37" x14ac:dyDescent="0.25">
      <c r="C112" s="18"/>
      <c r="D112" s="18"/>
      <c r="E112" s="18"/>
      <c r="F112" s="18"/>
      <c r="G112" s="18"/>
      <c r="H112" s="18"/>
      <c r="I112" s="18"/>
      <c r="J112" s="18"/>
      <c r="K112" s="18"/>
      <c r="L112" s="18"/>
      <c r="M112" s="18"/>
      <c r="N112" s="18"/>
      <c r="O112" s="18"/>
      <c r="P112" s="18"/>
      <c r="Q112" s="20"/>
      <c r="R112" s="20"/>
      <c r="S112" s="20"/>
      <c r="T112" s="20"/>
      <c r="U112" s="20"/>
      <c r="V112" s="18"/>
      <c r="W112" s="10"/>
      <c r="X112" s="10"/>
      <c r="Y112" s="10"/>
      <c r="Z112" s="10"/>
      <c r="AA112" s="10"/>
      <c r="AB112" s="10"/>
      <c r="AC112" s="10"/>
      <c r="AD112" s="10"/>
      <c r="AE112" s="10"/>
      <c r="AF112" s="10"/>
      <c r="AG112" s="10"/>
      <c r="AH112" s="8"/>
      <c r="AI112" s="8"/>
      <c r="AJ112" s="8"/>
      <c r="AK112" s="7"/>
    </row>
    <row r="113" spans="3:37" x14ac:dyDescent="0.25">
      <c r="C113" s="18"/>
      <c r="D113" s="18"/>
      <c r="E113" s="18"/>
      <c r="F113" s="18"/>
      <c r="G113" s="18"/>
      <c r="H113" s="18"/>
      <c r="I113" s="18"/>
      <c r="J113" s="18"/>
      <c r="K113" s="18"/>
      <c r="L113" s="18"/>
      <c r="M113" s="18"/>
      <c r="N113" s="18"/>
      <c r="O113" s="18"/>
      <c r="P113" s="18"/>
      <c r="Q113" s="20"/>
      <c r="R113" s="20"/>
      <c r="S113" s="20"/>
      <c r="T113" s="20"/>
      <c r="U113" s="20"/>
      <c r="V113" s="18"/>
      <c r="W113" s="10"/>
      <c r="X113" s="10"/>
      <c r="Y113" s="10"/>
      <c r="Z113" s="10"/>
      <c r="AA113" s="10"/>
      <c r="AB113" s="10"/>
      <c r="AC113" s="10"/>
      <c r="AD113" s="10"/>
      <c r="AE113" s="10"/>
      <c r="AF113" s="10"/>
      <c r="AG113" s="10"/>
      <c r="AH113" s="8"/>
      <c r="AI113" s="8"/>
      <c r="AJ113" s="8"/>
      <c r="AK113" s="7"/>
    </row>
    <row r="114" spans="3:37" x14ac:dyDescent="0.25">
      <c r="C114" s="18"/>
      <c r="D114" s="18"/>
      <c r="E114" s="18"/>
      <c r="F114" s="18"/>
      <c r="G114" s="18"/>
      <c r="H114" s="18"/>
      <c r="I114" s="18"/>
      <c r="J114" s="18"/>
      <c r="K114" s="18"/>
      <c r="L114" s="18"/>
      <c r="M114" s="18"/>
      <c r="N114" s="18"/>
      <c r="O114" s="18"/>
      <c r="P114" s="18"/>
      <c r="Q114" s="20"/>
      <c r="R114" s="20"/>
      <c r="S114" s="20"/>
      <c r="T114" s="20"/>
      <c r="U114" s="20"/>
      <c r="V114" s="18"/>
      <c r="W114" s="10"/>
      <c r="X114" s="10"/>
      <c r="Y114" s="10"/>
      <c r="Z114" s="10"/>
      <c r="AA114" s="10"/>
      <c r="AB114" s="10"/>
      <c r="AC114" s="10"/>
      <c r="AD114" s="10"/>
      <c r="AE114" s="10"/>
      <c r="AF114" s="10"/>
      <c r="AG114" s="10"/>
      <c r="AH114" s="8"/>
      <c r="AI114" s="8"/>
      <c r="AJ114" s="8"/>
      <c r="AK114" s="7"/>
    </row>
    <row r="115" spans="3:37" x14ac:dyDescent="0.25">
      <c r="C115" s="18"/>
      <c r="D115" s="18"/>
      <c r="E115" s="18"/>
      <c r="F115" s="18"/>
      <c r="G115" s="18"/>
      <c r="H115" s="18"/>
      <c r="I115" s="18"/>
      <c r="J115" s="18"/>
      <c r="K115" s="18"/>
      <c r="L115" s="18"/>
      <c r="M115" s="18"/>
      <c r="N115" s="18"/>
      <c r="O115" s="18"/>
      <c r="P115" s="18"/>
      <c r="Q115" s="20"/>
      <c r="R115" s="20"/>
      <c r="S115" s="20"/>
      <c r="T115" s="20"/>
      <c r="U115" s="20"/>
      <c r="V115" s="18"/>
      <c r="W115" s="10"/>
      <c r="X115" s="10"/>
      <c r="Y115" s="10"/>
      <c r="Z115" s="10"/>
      <c r="AA115" s="10"/>
      <c r="AB115" s="10"/>
      <c r="AC115" s="10"/>
      <c r="AD115" s="10"/>
      <c r="AE115" s="10"/>
      <c r="AF115" s="10"/>
      <c r="AG115" s="10"/>
      <c r="AH115" s="8"/>
      <c r="AI115" s="8"/>
      <c r="AJ115" s="8"/>
      <c r="AK115" s="7"/>
    </row>
    <row r="116" spans="3:37" x14ac:dyDescent="0.25">
      <c r="C116" s="18"/>
      <c r="D116" s="18"/>
      <c r="AH116" s="8"/>
    </row>
    <row r="117" spans="3:37" x14ac:dyDescent="0.25">
      <c r="C117" s="18"/>
      <c r="D117" s="18"/>
      <c r="AH117" s="8"/>
    </row>
    <row r="118" spans="3:37" x14ac:dyDescent="0.25">
      <c r="C118" s="18"/>
    </row>
    <row r="119" spans="3:37" x14ac:dyDescent="0.25">
      <c r="C119" s="18"/>
    </row>
  </sheetData>
  <mergeCells count="14">
    <mergeCell ref="C2:P2"/>
    <mergeCell ref="Q2:AD2"/>
    <mergeCell ref="A2:B2"/>
    <mergeCell ref="D79:H80"/>
    <mergeCell ref="AJ2:AJ3"/>
    <mergeCell ref="AK70:AK72"/>
    <mergeCell ref="AK49:AK53"/>
    <mergeCell ref="AK60:AK68"/>
    <mergeCell ref="AK2:AK3"/>
    <mergeCell ref="AE2:AE3"/>
    <mergeCell ref="AF2:AF3"/>
    <mergeCell ref="AG2:AG3"/>
    <mergeCell ref="AH2:AH3"/>
    <mergeCell ref="AI2:AI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Normal="100"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9.140625" defaultRowHeight="15" x14ac:dyDescent="0.25"/>
  <cols>
    <col min="1" max="1" width="9.28515625" style="26" bestFit="1" customWidth="1"/>
    <col min="2" max="2" width="15.140625" style="26" bestFit="1" customWidth="1"/>
    <col min="3" max="3" width="20.5703125" customWidth="1"/>
    <col min="4" max="4" width="17.7109375" customWidth="1"/>
    <col min="5" max="5" width="20.28515625" style="21" customWidth="1"/>
    <col min="6" max="6" width="21.42578125" style="21" customWidth="1"/>
    <col min="7" max="7" width="22.140625" bestFit="1" customWidth="1"/>
    <col min="8" max="8" width="57.5703125" customWidth="1"/>
  </cols>
  <sheetData>
    <row r="1" spans="1:11" hidden="1" x14ac:dyDescent="0.25">
      <c r="A1" s="269" t="s">
        <v>1130</v>
      </c>
      <c r="B1" s="269" t="s">
        <v>1131</v>
      </c>
      <c r="C1" s="428" t="s">
        <v>206</v>
      </c>
      <c r="D1" s="428" t="s">
        <v>207</v>
      </c>
      <c r="E1" s="434" t="s">
        <v>208</v>
      </c>
      <c r="F1" s="434" t="s">
        <v>209</v>
      </c>
      <c r="G1" s="428" t="s">
        <v>1135</v>
      </c>
      <c r="H1" s="3"/>
    </row>
    <row r="2" spans="1:11" x14ac:dyDescent="0.25">
      <c r="A2" s="486" t="s">
        <v>997</v>
      </c>
      <c r="B2" s="487"/>
      <c r="C2" s="533" t="s">
        <v>582</v>
      </c>
      <c r="D2" s="533"/>
      <c r="E2" s="533"/>
      <c r="F2" s="533"/>
      <c r="G2" s="530" t="s">
        <v>588</v>
      </c>
      <c r="H2" s="530" t="s">
        <v>1</v>
      </c>
    </row>
    <row r="3" spans="1:11" ht="30" x14ac:dyDescent="0.25">
      <c r="A3" s="383" t="s">
        <v>214</v>
      </c>
      <c r="B3" s="383" t="s">
        <v>996</v>
      </c>
      <c r="C3" s="213" t="s">
        <v>467</v>
      </c>
      <c r="D3" s="213" t="s">
        <v>468</v>
      </c>
      <c r="E3" s="319" t="s">
        <v>648</v>
      </c>
      <c r="F3" s="319" t="s">
        <v>649</v>
      </c>
      <c r="G3" s="530"/>
      <c r="H3" s="530"/>
    </row>
    <row r="4" spans="1:11" s="73" customFormat="1" x14ac:dyDescent="0.25">
      <c r="A4" s="142">
        <v>2012</v>
      </c>
      <c r="B4" s="142">
        <v>2011</v>
      </c>
      <c r="C4" s="121">
        <v>250000</v>
      </c>
      <c r="D4" s="121">
        <v>500000</v>
      </c>
      <c r="E4" s="122">
        <v>0.03</v>
      </c>
      <c r="F4" s="122">
        <v>0.04</v>
      </c>
      <c r="G4" s="212" t="s">
        <v>952</v>
      </c>
      <c r="H4" t="s">
        <v>584</v>
      </c>
    </row>
    <row r="5" spans="1:11" x14ac:dyDescent="0.25">
      <c r="A5" s="142"/>
      <c r="B5" s="142"/>
      <c r="C5" s="118"/>
      <c r="D5" s="118"/>
      <c r="E5" s="119"/>
      <c r="F5" s="89"/>
      <c r="G5" s="39"/>
      <c r="I5" s="28"/>
      <c r="J5" s="28"/>
      <c r="K5" s="28"/>
    </row>
    <row r="6" spans="1:11" x14ac:dyDescent="0.25">
      <c r="C6" s="18"/>
      <c r="D6" s="18"/>
      <c r="E6" s="20"/>
      <c r="F6" s="20"/>
      <c r="G6" s="8"/>
      <c r="H6" s="7"/>
    </row>
    <row r="7" spans="1:11" x14ac:dyDescent="0.25">
      <c r="C7" s="299" t="s">
        <v>511</v>
      </c>
      <c r="D7" s="18"/>
      <c r="F7" s="20"/>
      <c r="G7" s="8"/>
      <c r="H7" s="7"/>
    </row>
    <row r="8" spans="1:11" x14ac:dyDescent="0.25">
      <c r="C8" s="284" t="s">
        <v>581</v>
      </c>
      <c r="D8" s="18"/>
      <c r="F8" s="20"/>
      <c r="G8" s="8"/>
      <c r="H8" s="7"/>
    </row>
    <row r="9" spans="1:11" x14ac:dyDescent="0.25">
      <c r="C9" s="284" t="s">
        <v>583</v>
      </c>
      <c r="D9" s="18"/>
      <c r="E9" s="20"/>
      <c r="F9" s="20"/>
      <c r="G9" s="8"/>
      <c r="H9" s="7"/>
    </row>
    <row r="10" spans="1:11" x14ac:dyDescent="0.25">
      <c r="C10" s="18"/>
      <c r="D10" s="18"/>
      <c r="E10" s="20"/>
      <c r="F10" s="20"/>
      <c r="G10" s="8"/>
      <c r="H10" s="7"/>
    </row>
    <row r="11" spans="1:11" x14ac:dyDescent="0.25">
      <c r="C11" s="18"/>
      <c r="D11" s="18"/>
      <c r="E11" s="20"/>
      <c r="F11" s="20"/>
      <c r="G11" s="8"/>
      <c r="H11" s="7"/>
    </row>
    <row r="12" spans="1:11" x14ac:dyDescent="0.25">
      <c r="C12" s="18"/>
      <c r="D12" s="18"/>
      <c r="E12" s="20"/>
      <c r="F12" s="20"/>
      <c r="G12" s="8"/>
      <c r="H12" s="7"/>
    </row>
    <row r="13" spans="1:11" x14ac:dyDescent="0.25">
      <c r="C13" s="18"/>
      <c r="D13" s="18"/>
      <c r="E13" s="20"/>
      <c r="F13" s="20"/>
      <c r="G13" s="8"/>
      <c r="H13" s="7"/>
    </row>
    <row r="14" spans="1:11" x14ac:dyDescent="0.25">
      <c r="A14" s="52"/>
      <c r="B14" s="52"/>
      <c r="C14" s="18"/>
      <c r="D14" s="18"/>
      <c r="E14" s="20"/>
      <c r="F14" s="20"/>
      <c r="G14" s="8"/>
      <c r="H14" s="7"/>
    </row>
    <row r="15" spans="1:11" x14ac:dyDescent="0.25">
      <c r="A15" s="52"/>
      <c r="B15" s="52"/>
      <c r="C15" s="18"/>
      <c r="D15" s="18"/>
      <c r="E15" s="20"/>
      <c r="F15" s="20"/>
      <c r="G15" s="8"/>
      <c r="H15" s="7"/>
    </row>
    <row r="16" spans="1:11" x14ac:dyDescent="0.25">
      <c r="A16" s="52"/>
      <c r="B16" s="52"/>
      <c r="C16" s="18"/>
      <c r="D16" s="18"/>
      <c r="E16" s="20"/>
      <c r="F16" s="20"/>
      <c r="G16" s="8"/>
      <c r="H16" s="7"/>
    </row>
    <row r="17" spans="1:8" x14ac:dyDescent="0.25">
      <c r="A17" s="52"/>
      <c r="B17" s="52"/>
      <c r="C17" s="18"/>
      <c r="D17" s="18"/>
      <c r="E17" s="20"/>
      <c r="F17" s="20"/>
      <c r="G17" s="8"/>
      <c r="H17" s="7"/>
    </row>
    <row r="18" spans="1:8" x14ac:dyDescent="0.25">
      <c r="A18" s="52"/>
      <c r="B18" s="52"/>
      <c r="C18" s="18"/>
      <c r="D18" s="18"/>
      <c r="E18" s="20"/>
      <c r="F18" s="20"/>
      <c r="G18" s="8"/>
      <c r="H18" s="7"/>
    </row>
    <row r="19" spans="1:8" x14ac:dyDescent="0.25">
      <c r="C19" s="18"/>
      <c r="D19" s="18"/>
      <c r="E19" s="20"/>
      <c r="F19" s="20"/>
      <c r="G19" s="11"/>
      <c r="H19" s="7"/>
    </row>
    <row r="20" spans="1:8" x14ac:dyDescent="0.25">
      <c r="C20" s="18"/>
      <c r="D20" s="18"/>
      <c r="E20" s="20"/>
      <c r="F20" s="20"/>
      <c r="G20" s="8"/>
      <c r="H20" s="7"/>
    </row>
    <row r="21" spans="1:8" x14ac:dyDescent="0.25">
      <c r="C21" s="18"/>
      <c r="D21" s="18"/>
      <c r="E21" s="20"/>
      <c r="F21" s="20"/>
      <c r="G21" s="8"/>
      <c r="H21" s="7"/>
    </row>
    <row r="22" spans="1:8" x14ac:dyDescent="0.25">
      <c r="C22" s="18"/>
      <c r="D22" s="18"/>
      <c r="E22" s="20"/>
      <c r="F22" s="20"/>
      <c r="G22" s="8"/>
      <c r="H22" s="7"/>
    </row>
    <row r="23" spans="1:8" x14ac:dyDescent="0.25">
      <c r="C23" s="18"/>
      <c r="D23" s="18"/>
      <c r="E23" s="20"/>
      <c r="F23" s="20"/>
      <c r="G23" s="8"/>
      <c r="H23" s="7"/>
    </row>
    <row r="24" spans="1:8" x14ac:dyDescent="0.25">
      <c r="C24" s="18"/>
      <c r="D24" s="18"/>
      <c r="E24" s="20"/>
      <c r="F24" s="20"/>
      <c r="G24" s="8"/>
      <c r="H24" s="7"/>
    </row>
    <row r="25" spans="1:8" x14ac:dyDescent="0.25">
      <c r="C25" s="18"/>
      <c r="D25" s="18"/>
      <c r="E25" s="20"/>
      <c r="F25" s="20"/>
      <c r="G25" s="8"/>
      <c r="H25" s="7"/>
    </row>
    <row r="26" spans="1:8" x14ac:dyDescent="0.25">
      <c r="C26" s="18"/>
      <c r="D26" s="18"/>
      <c r="E26" s="20"/>
      <c r="F26" s="20"/>
      <c r="G26" s="8"/>
      <c r="H26" s="7"/>
    </row>
    <row r="27" spans="1:8" x14ac:dyDescent="0.25">
      <c r="C27" s="18"/>
      <c r="D27" s="18"/>
      <c r="E27" s="20"/>
      <c r="F27" s="20"/>
      <c r="G27" s="8"/>
      <c r="H27" s="7"/>
    </row>
    <row r="28" spans="1:8" x14ac:dyDescent="0.25">
      <c r="C28" s="18"/>
      <c r="D28" s="18"/>
      <c r="E28" s="20"/>
      <c r="F28" s="20"/>
      <c r="G28" s="8"/>
      <c r="H28" s="7"/>
    </row>
    <row r="29" spans="1:8" x14ac:dyDescent="0.25">
      <c r="C29" s="18"/>
      <c r="D29" s="18"/>
      <c r="E29" s="20"/>
      <c r="F29" s="20"/>
      <c r="G29" s="8"/>
      <c r="H29" s="7"/>
    </row>
    <row r="30" spans="1:8" x14ac:dyDescent="0.25">
      <c r="C30" s="18"/>
      <c r="D30" s="18"/>
      <c r="E30" s="20"/>
      <c r="F30" s="20"/>
      <c r="G30" s="8"/>
      <c r="H30" s="7"/>
    </row>
    <row r="31" spans="1:8" x14ac:dyDescent="0.25">
      <c r="C31" s="18"/>
      <c r="D31" s="18"/>
      <c r="E31" s="20"/>
      <c r="F31" s="20"/>
      <c r="G31" s="8"/>
      <c r="H31" s="7"/>
    </row>
    <row r="32" spans="1:8" x14ac:dyDescent="0.25">
      <c r="C32" s="18"/>
      <c r="D32" s="18"/>
      <c r="E32" s="20"/>
      <c r="F32" s="20"/>
      <c r="G32" s="8"/>
      <c r="H32" s="7"/>
    </row>
    <row r="33" spans="3:8" x14ac:dyDescent="0.25">
      <c r="C33" s="18"/>
      <c r="D33" s="18"/>
      <c r="E33" s="20"/>
      <c r="F33" s="20"/>
      <c r="G33" s="8"/>
      <c r="H33" s="7"/>
    </row>
    <row r="34" spans="3:8" x14ac:dyDescent="0.25">
      <c r="C34" s="18"/>
      <c r="D34" s="18"/>
      <c r="E34" s="20"/>
      <c r="F34" s="20"/>
      <c r="G34" s="8"/>
      <c r="H34" s="7"/>
    </row>
    <row r="35" spans="3:8" x14ac:dyDescent="0.25">
      <c r="C35" s="18"/>
      <c r="D35" s="18"/>
      <c r="E35" s="20"/>
      <c r="F35" s="20"/>
      <c r="G35" s="8"/>
      <c r="H35" s="7"/>
    </row>
    <row r="36" spans="3:8" x14ac:dyDescent="0.25">
      <c r="C36" s="18"/>
      <c r="D36" s="18"/>
      <c r="E36" s="20"/>
      <c r="F36" s="20"/>
      <c r="G36" s="8"/>
      <c r="H36" s="7"/>
    </row>
    <row r="37" spans="3:8" x14ac:dyDescent="0.25">
      <c r="C37" s="18"/>
      <c r="D37" s="18"/>
      <c r="E37" s="20"/>
      <c r="F37" s="20"/>
      <c r="G37" s="8"/>
      <c r="H37" s="7"/>
    </row>
    <row r="38" spans="3:8" x14ac:dyDescent="0.25">
      <c r="C38" s="18"/>
      <c r="D38" s="18"/>
      <c r="E38" s="20"/>
      <c r="F38" s="20"/>
      <c r="G38" s="8"/>
      <c r="H38" s="7"/>
    </row>
    <row r="39" spans="3:8" x14ac:dyDescent="0.25">
      <c r="C39" s="18"/>
      <c r="D39" s="18"/>
      <c r="E39" s="20"/>
      <c r="F39" s="20"/>
      <c r="G39" s="8"/>
      <c r="H39" s="7"/>
    </row>
    <row r="40" spans="3:8" x14ac:dyDescent="0.25">
      <c r="C40" s="18"/>
      <c r="D40" s="18"/>
      <c r="E40" s="20"/>
      <c r="F40" s="20"/>
      <c r="G40" s="8"/>
      <c r="H40" s="7"/>
    </row>
  </sheetData>
  <mergeCells count="4">
    <mergeCell ref="C2:F2"/>
    <mergeCell ref="G2:G3"/>
    <mergeCell ref="H2:H3"/>
    <mergeCell ref="A2:B2"/>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5" zoomScaleNormal="85" workbookViewId="0">
      <pane xSplit="2" ySplit="3" topLeftCell="C4" activePane="bottomRight" state="frozen"/>
      <selection pane="topRight" activeCell="C1" sqref="C1"/>
      <selection pane="bottomLeft" activeCell="A4" sqref="A4"/>
      <selection pane="bottomRight" activeCell="J33" sqref="J33"/>
    </sheetView>
  </sheetViews>
  <sheetFormatPr baseColWidth="10" defaultRowHeight="15" x14ac:dyDescent="0.25"/>
  <cols>
    <col min="1" max="1" width="9" bestFit="1" customWidth="1"/>
    <col min="4" max="5" width="11.28515625" bestFit="1" customWidth="1"/>
    <col min="6" max="6" width="14.5703125" style="187" bestFit="1" customWidth="1"/>
    <col min="7" max="9" width="11.7109375" style="187" bestFit="1" customWidth="1"/>
    <col min="10" max="10" width="49.28515625" bestFit="1" customWidth="1"/>
    <col min="11" max="11" width="134.28515625" customWidth="1"/>
  </cols>
  <sheetData>
    <row r="1" spans="1:11" hidden="1" x14ac:dyDescent="0.25">
      <c r="A1" s="269" t="s">
        <v>1130</v>
      </c>
      <c r="B1" s="269" t="s">
        <v>1131</v>
      </c>
      <c r="C1" s="435" t="s">
        <v>1148</v>
      </c>
      <c r="D1" s="435" t="s">
        <v>1149</v>
      </c>
      <c r="E1" s="435" t="s">
        <v>1150</v>
      </c>
      <c r="F1" s="435" t="s">
        <v>1151</v>
      </c>
      <c r="G1" s="435" t="s">
        <v>1152</v>
      </c>
      <c r="H1" s="435" t="s">
        <v>1153</v>
      </c>
      <c r="I1" s="435" t="s">
        <v>1154</v>
      </c>
      <c r="J1" s="435" t="s">
        <v>1135</v>
      </c>
      <c r="K1" s="436"/>
    </row>
    <row r="2" spans="1:11" ht="30" customHeight="1" x14ac:dyDescent="0.25">
      <c r="A2" s="486" t="s">
        <v>997</v>
      </c>
      <c r="B2" s="487"/>
      <c r="C2" s="465" t="s">
        <v>778</v>
      </c>
      <c r="D2" s="554"/>
      <c r="E2" s="554"/>
      <c r="F2" s="554"/>
      <c r="G2" s="554"/>
      <c r="H2" s="554"/>
      <c r="I2" s="466"/>
      <c r="J2" s="498" t="s">
        <v>588</v>
      </c>
      <c r="K2" s="498" t="s">
        <v>1</v>
      </c>
    </row>
    <row r="3" spans="1:11" ht="30" x14ac:dyDescent="0.25">
      <c r="A3" s="383" t="s">
        <v>214</v>
      </c>
      <c r="B3" s="383" t="s">
        <v>996</v>
      </c>
      <c r="C3" s="347" t="s">
        <v>435</v>
      </c>
      <c r="D3" s="347" t="s">
        <v>436</v>
      </c>
      <c r="E3" s="347" t="s">
        <v>789</v>
      </c>
      <c r="F3" s="347" t="s">
        <v>779</v>
      </c>
      <c r="G3" s="347" t="s">
        <v>783</v>
      </c>
      <c r="H3" s="347" t="s">
        <v>784</v>
      </c>
      <c r="I3" s="348" t="s">
        <v>790</v>
      </c>
      <c r="J3" s="499"/>
      <c r="K3" s="499"/>
    </row>
    <row r="4" spans="1:11" x14ac:dyDescent="0.25">
      <c r="A4" s="357">
        <v>1986</v>
      </c>
      <c r="B4" s="358">
        <v>1985</v>
      </c>
      <c r="C4" s="142"/>
      <c r="D4" s="142"/>
      <c r="E4" s="142"/>
      <c r="F4" s="142"/>
      <c r="G4" s="142"/>
      <c r="H4" s="142"/>
      <c r="I4" s="142"/>
      <c r="J4" s="359"/>
      <c r="K4" s="359"/>
    </row>
    <row r="5" spans="1:11" x14ac:dyDescent="0.25">
      <c r="A5" s="357">
        <v>1985</v>
      </c>
      <c r="B5" s="358">
        <v>1984</v>
      </c>
      <c r="C5" s="185">
        <v>0.03</v>
      </c>
      <c r="D5" s="142"/>
      <c r="E5" s="142"/>
      <c r="F5" s="142"/>
      <c r="G5" s="15">
        <v>32080</v>
      </c>
      <c r="H5" s="142"/>
      <c r="I5" s="142"/>
      <c r="J5" s="359" t="s">
        <v>819</v>
      </c>
      <c r="K5" s="359" t="s">
        <v>796</v>
      </c>
    </row>
    <row r="6" spans="1:11" x14ac:dyDescent="0.25">
      <c r="A6" s="357">
        <v>1984</v>
      </c>
      <c r="B6" s="358">
        <v>1983</v>
      </c>
      <c r="C6" s="185">
        <v>0.05</v>
      </c>
      <c r="D6" s="185">
        <v>0.08</v>
      </c>
      <c r="E6" s="142"/>
      <c r="F6" s="142"/>
      <c r="G6" s="15">
        <v>20000</v>
      </c>
      <c r="H6" s="15">
        <v>30000</v>
      </c>
      <c r="I6" s="142"/>
      <c r="J6" s="359" t="s">
        <v>820</v>
      </c>
      <c r="K6" t="s">
        <v>786</v>
      </c>
    </row>
    <row r="7" spans="1:11" x14ac:dyDescent="0.25">
      <c r="A7" s="357">
        <v>1983</v>
      </c>
      <c r="B7" s="358">
        <v>1982</v>
      </c>
      <c r="C7" s="185">
        <v>7.0000000000000007E-2</v>
      </c>
      <c r="D7" s="142"/>
      <c r="E7" s="142"/>
      <c r="F7" s="142"/>
      <c r="G7" s="15">
        <v>28000</v>
      </c>
      <c r="H7" s="142"/>
      <c r="I7" s="142"/>
      <c r="J7" t="s">
        <v>821</v>
      </c>
      <c r="K7" s="512" t="s">
        <v>788</v>
      </c>
    </row>
    <row r="8" spans="1:11" x14ac:dyDescent="0.25">
      <c r="A8" s="357">
        <v>1982</v>
      </c>
      <c r="B8" s="358">
        <v>1981</v>
      </c>
      <c r="C8" s="185">
        <v>0.1</v>
      </c>
      <c r="D8" s="142"/>
      <c r="E8" s="142"/>
      <c r="F8" s="142"/>
      <c r="G8" s="15" t="s">
        <v>787</v>
      </c>
      <c r="H8" s="142"/>
      <c r="I8" s="142"/>
      <c r="J8" s="359" t="s">
        <v>822</v>
      </c>
      <c r="K8" s="512"/>
    </row>
    <row r="9" spans="1:11" x14ac:dyDescent="0.25">
      <c r="A9" s="357">
        <v>1981</v>
      </c>
      <c r="B9" s="358">
        <v>1980</v>
      </c>
      <c r="C9" s="185">
        <v>0.25</v>
      </c>
      <c r="D9" s="142"/>
      <c r="E9" s="142"/>
      <c r="F9" s="142"/>
      <c r="G9" s="15">
        <v>100000</v>
      </c>
      <c r="H9" s="142"/>
      <c r="I9" s="142"/>
      <c r="J9" t="s">
        <v>830</v>
      </c>
      <c r="K9" s="512"/>
    </row>
    <row r="10" spans="1:11" x14ac:dyDescent="0.25">
      <c r="A10" s="357">
        <v>1973</v>
      </c>
      <c r="B10" s="358">
        <v>1972</v>
      </c>
      <c r="C10" s="142"/>
      <c r="D10" s="142"/>
      <c r="E10" s="142"/>
      <c r="F10" s="142"/>
      <c r="G10" s="142"/>
      <c r="H10" s="142"/>
      <c r="I10" s="142"/>
      <c r="J10" s="142"/>
    </row>
    <row r="11" spans="1:11" x14ac:dyDescent="0.25">
      <c r="A11" s="357">
        <v>1972</v>
      </c>
      <c r="B11" s="358">
        <v>1971</v>
      </c>
      <c r="C11" s="185">
        <v>0.01</v>
      </c>
      <c r="D11" s="185">
        <v>0.02</v>
      </c>
      <c r="E11" s="142"/>
      <c r="F11" s="142"/>
      <c r="G11" s="15">
        <v>15000</v>
      </c>
      <c r="H11" s="15">
        <v>20000</v>
      </c>
      <c r="I11" s="142"/>
      <c r="J11" s="359" t="s">
        <v>824</v>
      </c>
    </row>
    <row r="12" spans="1:11" x14ac:dyDescent="0.25">
      <c r="A12" s="357">
        <v>1971</v>
      </c>
      <c r="B12" s="358">
        <v>1970</v>
      </c>
      <c r="C12" s="185">
        <v>0.01</v>
      </c>
      <c r="D12" s="185">
        <v>0.02</v>
      </c>
      <c r="E12" s="185">
        <v>0.03</v>
      </c>
      <c r="F12" s="142"/>
      <c r="G12" s="15">
        <v>10000</v>
      </c>
      <c r="H12" s="15">
        <v>15000</v>
      </c>
      <c r="I12" s="15">
        <v>20000</v>
      </c>
      <c r="J12" s="362" t="s">
        <v>825</v>
      </c>
      <c r="K12" t="s">
        <v>793</v>
      </c>
    </row>
    <row r="13" spans="1:11" x14ac:dyDescent="0.25">
      <c r="A13" s="357">
        <v>1970</v>
      </c>
      <c r="B13" s="358">
        <v>1969</v>
      </c>
      <c r="C13" s="185">
        <v>0.02</v>
      </c>
      <c r="D13" s="185">
        <v>7.0000000000000007E-2</v>
      </c>
      <c r="E13" s="360">
        <v>7.4999999999999997E-2</v>
      </c>
      <c r="F13" s="142"/>
      <c r="G13" s="17">
        <v>7000</v>
      </c>
      <c r="H13" s="17">
        <v>12000</v>
      </c>
      <c r="I13" s="15">
        <v>14000</v>
      </c>
      <c r="J13" s="359" t="s">
        <v>826</v>
      </c>
      <c r="K13" t="s">
        <v>792</v>
      </c>
    </row>
    <row r="14" spans="1:11" ht="45" x14ac:dyDescent="0.25">
      <c r="A14" s="357">
        <v>1969</v>
      </c>
      <c r="B14" s="358">
        <v>1968</v>
      </c>
      <c r="C14" s="46">
        <v>0.02</v>
      </c>
      <c r="D14" s="46">
        <v>0.14000000000000001</v>
      </c>
      <c r="E14" s="46">
        <v>0.15</v>
      </c>
      <c r="F14" s="142"/>
      <c r="G14" s="17">
        <v>6000</v>
      </c>
      <c r="H14" s="17">
        <v>12000</v>
      </c>
      <c r="I14" s="17">
        <v>14000</v>
      </c>
      <c r="J14" s="361" t="s">
        <v>823</v>
      </c>
      <c r="K14" s="355" t="s">
        <v>791</v>
      </c>
    </row>
    <row r="15" spans="1:11" x14ac:dyDescent="0.25">
      <c r="A15" s="357">
        <v>1968</v>
      </c>
      <c r="B15" s="358">
        <v>1967</v>
      </c>
      <c r="C15" s="185">
        <v>0.1</v>
      </c>
      <c r="D15" s="185">
        <v>0.2</v>
      </c>
      <c r="E15" s="185">
        <v>0.25</v>
      </c>
      <c r="F15" s="142"/>
      <c r="G15" s="15">
        <v>5000</v>
      </c>
      <c r="H15" s="15">
        <v>10000</v>
      </c>
      <c r="I15" s="15">
        <v>20000</v>
      </c>
      <c r="J15" s="359" t="s">
        <v>827</v>
      </c>
      <c r="K15" t="s">
        <v>782</v>
      </c>
    </row>
    <row r="16" spans="1:11" x14ac:dyDescent="0.25">
      <c r="A16" s="357">
        <v>1967</v>
      </c>
      <c r="B16" s="358">
        <v>1966</v>
      </c>
      <c r="C16" s="142"/>
      <c r="D16" s="142"/>
      <c r="E16" s="142"/>
      <c r="F16" s="142"/>
      <c r="G16" s="142"/>
      <c r="H16" s="142"/>
      <c r="I16" s="142"/>
      <c r="J16" s="142"/>
    </row>
    <row r="17" spans="1:11" x14ac:dyDescent="0.25">
      <c r="A17" s="357">
        <v>1966</v>
      </c>
      <c r="B17" s="358">
        <v>1965</v>
      </c>
      <c r="C17" s="185">
        <v>0.05</v>
      </c>
      <c r="D17" s="142"/>
      <c r="E17" s="142"/>
      <c r="F17" s="15">
        <v>50000</v>
      </c>
      <c r="G17" s="142"/>
      <c r="H17" s="142"/>
      <c r="I17" s="142"/>
      <c r="K17" s="512" t="s">
        <v>795</v>
      </c>
    </row>
    <row r="18" spans="1:11" x14ac:dyDescent="0.25">
      <c r="A18" s="357">
        <v>1965</v>
      </c>
      <c r="B18" s="358">
        <v>1964</v>
      </c>
      <c r="C18" s="185">
        <v>0.05</v>
      </c>
      <c r="D18" s="142"/>
      <c r="E18" s="142"/>
      <c r="F18" s="15">
        <v>45000</v>
      </c>
      <c r="G18" s="142"/>
      <c r="H18" s="142"/>
      <c r="I18" s="142"/>
      <c r="K18" s="512"/>
    </row>
    <row r="19" spans="1:11" x14ac:dyDescent="0.25">
      <c r="A19" s="357">
        <v>1964</v>
      </c>
      <c r="B19" s="358">
        <v>1963</v>
      </c>
      <c r="C19" s="185">
        <v>0.05</v>
      </c>
      <c r="D19" s="142"/>
      <c r="E19" s="142"/>
      <c r="F19" s="15">
        <v>36000</v>
      </c>
      <c r="G19" s="142"/>
      <c r="H19" s="142"/>
      <c r="I19" s="142"/>
      <c r="K19" s="512"/>
    </row>
    <row r="20" spans="1:11" x14ac:dyDescent="0.25">
      <c r="A20" s="357">
        <v>1963</v>
      </c>
      <c r="B20" s="358">
        <v>1962</v>
      </c>
      <c r="C20" s="185">
        <v>0.05</v>
      </c>
      <c r="D20" s="142"/>
      <c r="E20" s="142"/>
      <c r="F20" s="15">
        <v>8000</v>
      </c>
      <c r="G20" s="142"/>
      <c r="H20" s="142"/>
      <c r="I20" s="142"/>
      <c r="K20" s="512"/>
    </row>
    <row r="21" spans="1:11" x14ac:dyDescent="0.25">
      <c r="A21" s="357">
        <v>1962</v>
      </c>
      <c r="B21" s="358">
        <v>1961</v>
      </c>
      <c r="C21" s="185">
        <v>0.05</v>
      </c>
      <c r="D21" s="142"/>
      <c r="E21" s="142"/>
      <c r="F21" s="15">
        <v>6000</v>
      </c>
      <c r="G21" s="142"/>
      <c r="H21" s="142"/>
      <c r="I21" s="142"/>
      <c r="J21" s="359" t="s">
        <v>828</v>
      </c>
      <c r="K21" s="512"/>
    </row>
    <row r="22" spans="1:11" x14ac:dyDescent="0.25">
      <c r="A22" s="357">
        <v>1961</v>
      </c>
      <c r="B22" s="358">
        <v>1960</v>
      </c>
      <c r="C22" s="185">
        <v>0.1</v>
      </c>
      <c r="D22" s="142"/>
      <c r="E22" s="142"/>
      <c r="F22" s="15">
        <v>6000</v>
      </c>
      <c r="G22" s="142"/>
      <c r="H22" s="142"/>
      <c r="I22" s="142"/>
      <c r="K22" s="512" t="s">
        <v>794</v>
      </c>
    </row>
    <row r="23" spans="1:11" x14ac:dyDescent="0.25">
      <c r="A23" s="357">
        <v>1960</v>
      </c>
      <c r="B23" s="358">
        <v>1959</v>
      </c>
      <c r="C23" s="185">
        <v>0.1</v>
      </c>
      <c r="D23" s="142"/>
      <c r="E23" s="142"/>
      <c r="F23" s="15">
        <v>600000</v>
      </c>
      <c r="G23" s="142"/>
      <c r="H23" s="142"/>
      <c r="I23" s="142"/>
      <c r="K23" s="512"/>
    </row>
    <row r="24" spans="1:11" x14ac:dyDescent="0.25">
      <c r="A24" s="357">
        <v>1959</v>
      </c>
      <c r="B24" s="358">
        <v>1958</v>
      </c>
      <c r="C24" s="185">
        <v>0.1</v>
      </c>
      <c r="D24" s="142"/>
      <c r="E24" s="142"/>
      <c r="F24" s="15">
        <v>600000</v>
      </c>
      <c r="G24" s="142"/>
      <c r="H24" s="142"/>
      <c r="I24" s="142"/>
      <c r="K24" s="512"/>
    </row>
    <row r="25" spans="1:11" x14ac:dyDescent="0.25">
      <c r="A25" s="357">
        <v>1958</v>
      </c>
      <c r="B25" s="358">
        <v>1957</v>
      </c>
      <c r="C25" s="185">
        <v>0.1</v>
      </c>
      <c r="D25" s="142"/>
      <c r="E25" s="142"/>
      <c r="F25" s="15">
        <v>600000</v>
      </c>
      <c r="G25" s="142"/>
      <c r="H25" s="142"/>
      <c r="I25" s="142"/>
      <c r="K25" s="512"/>
    </row>
    <row r="26" spans="1:11" x14ac:dyDescent="0.25">
      <c r="A26" s="357">
        <v>1957</v>
      </c>
      <c r="B26" s="358">
        <v>1956</v>
      </c>
      <c r="C26" s="185">
        <v>0.1</v>
      </c>
      <c r="D26" s="142"/>
      <c r="E26" s="142"/>
      <c r="F26" s="15">
        <v>600000</v>
      </c>
      <c r="G26" s="142"/>
      <c r="H26" s="142"/>
      <c r="I26" s="142"/>
      <c r="K26" s="512"/>
    </row>
    <row r="27" spans="1:11" x14ac:dyDescent="0.25">
      <c r="A27" s="357">
        <v>1956</v>
      </c>
      <c r="B27" s="358">
        <v>1955</v>
      </c>
      <c r="C27" s="185">
        <v>0.1</v>
      </c>
      <c r="D27" s="142"/>
      <c r="E27" s="142"/>
      <c r="F27" s="15">
        <v>600000</v>
      </c>
      <c r="G27" s="142"/>
      <c r="H27" s="142"/>
      <c r="I27" s="142"/>
      <c r="J27" s="359" t="s">
        <v>829</v>
      </c>
      <c r="K27" s="512"/>
    </row>
    <row r="28" spans="1:11" x14ac:dyDescent="0.25">
      <c r="A28" s="357">
        <v>1949</v>
      </c>
      <c r="B28" s="358">
        <v>1948</v>
      </c>
      <c r="C28" s="142"/>
      <c r="D28" s="142"/>
      <c r="E28" s="142"/>
      <c r="F28" s="142"/>
      <c r="G28" s="142"/>
      <c r="H28" s="142"/>
      <c r="I28" s="142"/>
      <c r="J28" s="142"/>
    </row>
    <row r="29" spans="1:11" x14ac:dyDescent="0.25">
      <c r="A29" s="357">
        <v>1948</v>
      </c>
      <c r="B29" s="358">
        <v>1947</v>
      </c>
      <c r="C29" s="185">
        <v>0.2</v>
      </c>
      <c r="D29" s="142"/>
      <c r="E29" s="142"/>
      <c r="F29" s="15">
        <v>50000</v>
      </c>
      <c r="G29" s="142"/>
      <c r="H29" s="142"/>
      <c r="I29" s="142"/>
      <c r="J29" s="359">
        <v>17800</v>
      </c>
      <c r="K29" t="s">
        <v>781</v>
      </c>
    </row>
    <row r="30" spans="1:11" x14ac:dyDescent="0.25">
      <c r="A30" s="142">
        <v>1947</v>
      </c>
      <c r="B30" s="142">
        <v>1946</v>
      </c>
      <c r="C30" s="142"/>
      <c r="D30" s="142"/>
      <c r="E30" s="142"/>
      <c r="F30" s="142"/>
      <c r="G30" s="142"/>
      <c r="H30" s="142"/>
      <c r="I30" s="142"/>
      <c r="J30" s="142"/>
    </row>
    <row r="32" spans="1:11" x14ac:dyDescent="0.25">
      <c r="C32" s="78" t="s">
        <v>511</v>
      </c>
      <c r="D32" s="78"/>
      <c r="E32" s="78"/>
    </row>
    <row r="33" spans="3:5" x14ac:dyDescent="0.25">
      <c r="C33" s="312" t="s">
        <v>780</v>
      </c>
      <c r="D33" s="312"/>
      <c r="E33" s="312"/>
    </row>
    <row r="34" spans="3:5" x14ac:dyDescent="0.25">
      <c r="C34" t="s">
        <v>785</v>
      </c>
    </row>
  </sheetData>
  <mergeCells count="7">
    <mergeCell ref="A2:B2"/>
    <mergeCell ref="K22:K27"/>
    <mergeCell ref="K17:K21"/>
    <mergeCell ref="K7:K9"/>
    <mergeCell ref="C2:I2"/>
    <mergeCell ref="J2:J3"/>
    <mergeCell ref="K2:K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1"/>
  <sheetViews>
    <sheetView topLeftCell="E2" zoomScale="85" zoomScaleNormal="85" workbookViewId="0">
      <selection activeCell="S16" sqref="S16"/>
    </sheetView>
  </sheetViews>
  <sheetFormatPr baseColWidth="10" defaultRowHeight="15" x14ac:dyDescent="0.25"/>
  <cols>
    <col min="2" max="2" width="13.5703125" customWidth="1"/>
    <col min="5" max="6" width="11.42578125" style="378"/>
    <col min="9" max="9" width="10.7109375" bestFit="1" customWidth="1"/>
    <col min="10" max="10" width="11.7109375" bestFit="1" customWidth="1"/>
    <col min="11" max="11" width="12.85546875" style="187" customWidth="1"/>
    <col min="12" max="15" width="10" style="187" bestFit="1" customWidth="1"/>
    <col min="16" max="16" width="11.28515625" style="187" customWidth="1"/>
    <col min="17" max="17" width="11.5703125" style="187" customWidth="1"/>
    <col min="18" max="18" width="10.140625" style="187" customWidth="1"/>
    <col min="19" max="19" width="16.140625" bestFit="1" customWidth="1"/>
    <col min="24" max="24" width="21.7109375" bestFit="1" customWidth="1"/>
  </cols>
  <sheetData>
    <row r="1" spans="1:30" hidden="1" x14ac:dyDescent="0.25">
      <c r="A1" s="481" t="s">
        <v>1155</v>
      </c>
      <c r="B1" s="481"/>
      <c r="C1" s="481"/>
      <c r="D1" s="481"/>
      <c r="E1" s="481"/>
      <c r="F1" s="481"/>
      <c r="G1" s="481"/>
      <c r="H1" s="481"/>
      <c r="I1" s="481"/>
      <c r="J1" s="481"/>
      <c r="K1" s="481"/>
      <c r="L1" s="481"/>
      <c r="M1" s="481"/>
      <c r="N1" s="481"/>
      <c r="O1" s="481"/>
      <c r="P1" s="481"/>
      <c r="Q1" s="481"/>
      <c r="R1" s="481"/>
      <c r="S1" s="481"/>
      <c r="T1" s="481"/>
      <c r="U1" s="481"/>
      <c r="V1" s="481"/>
      <c r="W1" s="481"/>
    </row>
    <row r="2" spans="1:30" ht="26.25" customHeight="1" x14ac:dyDescent="0.25">
      <c r="A2" s="467" t="s">
        <v>1070</v>
      </c>
      <c r="B2" s="468"/>
      <c r="C2" s="467" t="s">
        <v>1071</v>
      </c>
      <c r="D2" s="468"/>
      <c r="E2" s="467" t="s">
        <v>1072</v>
      </c>
      <c r="F2" s="469"/>
      <c r="G2" s="468" t="s">
        <v>1073</v>
      </c>
      <c r="H2" s="468"/>
      <c r="I2" s="468"/>
      <c r="J2" s="467" t="s">
        <v>1074</v>
      </c>
      <c r="K2" s="468"/>
      <c r="L2" s="468"/>
      <c r="M2" s="468"/>
      <c r="N2" s="468"/>
      <c r="O2" s="468"/>
      <c r="P2" s="468"/>
      <c r="Q2" s="468"/>
      <c r="R2" s="469"/>
      <c r="S2" s="468" t="s">
        <v>1075</v>
      </c>
      <c r="T2" s="468"/>
      <c r="U2" s="468"/>
      <c r="V2" s="467" t="s">
        <v>1076</v>
      </c>
      <c r="W2" s="469"/>
      <c r="X2" s="482" t="s">
        <v>588</v>
      </c>
      <c r="Y2" s="454" t="s">
        <v>750</v>
      </c>
      <c r="Z2" s="454" t="s">
        <v>1</v>
      </c>
    </row>
    <row r="3" spans="1:30" ht="60" x14ac:dyDescent="0.25">
      <c r="A3" s="465" t="s">
        <v>1125</v>
      </c>
      <c r="B3" s="466"/>
      <c r="C3" s="413" t="s">
        <v>1127</v>
      </c>
      <c r="D3" s="415" t="s">
        <v>1077</v>
      </c>
      <c r="E3" s="413" t="s">
        <v>1127</v>
      </c>
      <c r="F3" s="413" t="s">
        <v>1077</v>
      </c>
      <c r="G3" s="413" t="s">
        <v>1127</v>
      </c>
      <c r="H3" s="413" t="s">
        <v>1126</v>
      </c>
      <c r="I3" s="415" t="s">
        <v>1107</v>
      </c>
      <c r="J3" s="413" t="s">
        <v>1127</v>
      </c>
      <c r="K3" s="413" t="s">
        <v>1078</v>
      </c>
      <c r="L3" s="413" t="s">
        <v>1079</v>
      </c>
      <c r="M3" s="413" t="s">
        <v>1080</v>
      </c>
      <c r="N3" s="413" t="s">
        <v>1081</v>
      </c>
      <c r="O3" s="413" t="s">
        <v>1082</v>
      </c>
      <c r="P3" s="413" t="s">
        <v>1083</v>
      </c>
      <c r="Q3" s="413" t="s">
        <v>1084</v>
      </c>
      <c r="R3" s="413" t="s">
        <v>1085</v>
      </c>
      <c r="S3" s="413" t="s">
        <v>1127</v>
      </c>
      <c r="T3" s="413" t="s">
        <v>1126</v>
      </c>
      <c r="U3" s="415" t="s">
        <v>1107</v>
      </c>
      <c r="V3" s="413" t="s">
        <v>1127</v>
      </c>
      <c r="W3" s="413" t="s">
        <v>1077</v>
      </c>
      <c r="X3" s="482"/>
      <c r="Y3" s="454"/>
      <c r="Z3" s="454"/>
    </row>
    <row r="4" spans="1:30" x14ac:dyDescent="0.25">
      <c r="A4" s="470" t="s">
        <v>953</v>
      </c>
      <c r="B4" s="471"/>
      <c r="C4" s="439">
        <v>0</v>
      </c>
      <c r="D4" s="414">
        <v>0</v>
      </c>
      <c r="E4" s="439">
        <v>0</v>
      </c>
      <c r="F4" s="416">
        <v>0</v>
      </c>
      <c r="G4" s="439">
        <v>0</v>
      </c>
      <c r="H4" s="409">
        <v>0</v>
      </c>
      <c r="I4" s="142"/>
      <c r="J4" s="439">
        <v>0</v>
      </c>
      <c r="K4" s="417">
        <v>0</v>
      </c>
      <c r="L4" s="417">
        <v>0</v>
      </c>
      <c r="M4" s="417">
        <v>0</v>
      </c>
      <c r="N4" s="417">
        <v>0</v>
      </c>
      <c r="O4" s="417">
        <v>0</v>
      </c>
      <c r="P4" s="417">
        <v>0</v>
      </c>
      <c r="Q4" s="417">
        <v>0</v>
      </c>
      <c r="R4" s="418">
        <v>0</v>
      </c>
      <c r="S4" s="439">
        <v>0</v>
      </c>
      <c r="T4" s="410">
        <v>0</v>
      </c>
      <c r="U4" s="142"/>
      <c r="V4" s="439">
        <v>0</v>
      </c>
      <c r="W4" s="419">
        <v>0</v>
      </c>
    </row>
    <row r="5" spans="1:30" x14ac:dyDescent="0.25">
      <c r="A5" s="470" t="s">
        <v>954</v>
      </c>
      <c r="B5" s="471"/>
      <c r="C5" s="439">
        <v>5000</v>
      </c>
      <c r="D5" s="414">
        <v>4.0000000000000001E-3</v>
      </c>
      <c r="E5" s="439">
        <v>3000</v>
      </c>
      <c r="F5" s="416">
        <v>0.01</v>
      </c>
      <c r="G5" s="439">
        <v>3000</v>
      </c>
      <c r="H5" s="409">
        <v>1.4999999999999999E-2</v>
      </c>
      <c r="I5" s="142"/>
      <c r="J5" s="439">
        <v>60000</v>
      </c>
      <c r="K5" s="417">
        <v>0.02</v>
      </c>
      <c r="L5" s="417">
        <v>2.4E-2</v>
      </c>
      <c r="M5" s="417">
        <v>2.8799999999999999E-2</v>
      </c>
      <c r="N5" s="417">
        <v>2.4E-2</v>
      </c>
      <c r="O5" s="417">
        <v>1.2E-2</v>
      </c>
      <c r="P5" s="417">
        <v>1.3332E-2</v>
      </c>
      <c r="Q5" s="417">
        <v>1.4668E-2</v>
      </c>
      <c r="R5" s="418">
        <v>9.5999999999999992E-3</v>
      </c>
      <c r="S5" s="439">
        <v>10000</v>
      </c>
      <c r="T5" s="410">
        <v>0.01</v>
      </c>
      <c r="U5" s="142"/>
      <c r="V5" s="439">
        <v>10000</v>
      </c>
      <c r="W5" s="419">
        <v>1.3999999999999999E-2</v>
      </c>
    </row>
    <row r="6" spans="1:30" x14ac:dyDescent="0.25">
      <c r="A6" s="470" t="s">
        <v>955</v>
      </c>
      <c r="B6" s="471"/>
      <c r="C6" s="439">
        <v>10000</v>
      </c>
      <c r="D6" s="414">
        <v>8.0000000000000002E-3</v>
      </c>
      <c r="E6" s="439">
        <v>8000</v>
      </c>
      <c r="F6" s="416">
        <v>0.02</v>
      </c>
      <c r="G6" s="439">
        <v>8000</v>
      </c>
      <c r="H6" s="408" t="s">
        <v>1067</v>
      </c>
      <c r="I6" s="411">
        <v>1E-4</v>
      </c>
      <c r="J6" s="439">
        <v>20000</v>
      </c>
      <c r="K6" s="417">
        <v>0.04</v>
      </c>
      <c r="L6" s="417">
        <v>4.8000000000000001E-2</v>
      </c>
      <c r="M6" s="417">
        <v>5.7599999999999998E-2</v>
      </c>
      <c r="N6" s="417">
        <v>4.8000000000000001E-2</v>
      </c>
      <c r="O6" s="417">
        <v>2.4E-2</v>
      </c>
      <c r="P6" s="417">
        <v>2.6664E-2</v>
      </c>
      <c r="Q6" s="417">
        <v>2.9336000000000001E-2</v>
      </c>
      <c r="R6" s="418">
        <v>1.9199999999999998E-2</v>
      </c>
      <c r="S6" s="439">
        <v>20000</v>
      </c>
      <c r="T6" s="408" t="s">
        <v>1060</v>
      </c>
      <c r="U6" s="411">
        <v>5.0000000000000001E-4</v>
      </c>
      <c r="V6" s="439">
        <v>20000</v>
      </c>
      <c r="W6" s="419">
        <v>2.7999999999999997E-2</v>
      </c>
    </row>
    <row r="7" spans="1:30" x14ac:dyDescent="0.25">
      <c r="A7" s="470" t="s">
        <v>956</v>
      </c>
      <c r="B7" s="471"/>
      <c r="C7" s="439">
        <v>15000</v>
      </c>
      <c r="D7" s="414">
        <v>1.2E-2</v>
      </c>
      <c r="E7" s="439">
        <v>12000</v>
      </c>
      <c r="F7" s="416">
        <v>0.03</v>
      </c>
      <c r="G7" s="439">
        <v>153000</v>
      </c>
      <c r="H7" s="408" t="s">
        <v>1068</v>
      </c>
      <c r="I7" s="411">
        <v>1E-4</v>
      </c>
      <c r="J7" s="439">
        <v>30000</v>
      </c>
      <c r="K7" s="417">
        <v>0.06</v>
      </c>
      <c r="L7" s="417">
        <v>7.1999999999999995E-2</v>
      </c>
      <c r="M7" s="417">
        <v>8.6400000000000005E-2</v>
      </c>
      <c r="N7" s="417">
        <v>7.1999999999999995E-2</v>
      </c>
      <c r="O7" s="417">
        <v>3.5999999999999997E-2</v>
      </c>
      <c r="P7" s="417">
        <v>3.9996000000000004E-2</v>
      </c>
      <c r="Q7" s="417">
        <v>4.4004000000000001E-2</v>
      </c>
      <c r="R7" s="418">
        <v>2.8799999999999999E-2</v>
      </c>
      <c r="S7" s="439">
        <v>80000</v>
      </c>
      <c r="T7" s="412" t="s">
        <v>1061</v>
      </c>
      <c r="U7" s="411">
        <v>8.9999999999999998E-4</v>
      </c>
      <c r="V7" s="439">
        <v>30000</v>
      </c>
      <c r="W7" s="419">
        <v>4.2000000000000003E-2</v>
      </c>
    </row>
    <row r="8" spans="1:30" x14ac:dyDescent="0.25">
      <c r="A8" s="470" t="s">
        <v>957</v>
      </c>
      <c r="B8" s="471"/>
      <c r="C8" s="439">
        <v>20000</v>
      </c>
      <c r="D8" s="414">
        <v>1.6E-2</v>
      </c>
      <c r="E8" s="439">
        <v>16000</v>
      </c>
      <c r="F8" s="416">
        <v>0.04</v>
      </c>
      <c r="G8" s="439">
        <v>553000</v>
      </c>
      <c r="H8" s="410">
        <v>0.2</v>
      </c>
      <c r="I8" s="142"/>
      <c r="J8" s="439">
        <v>40000</v>
      </c>
      <c r="K8" s="417">
        <v>0.08</v>
      </c>
      <c r="L8" s="417">
        <v>9.6000000000000002E-2</v>
      </c>
      <c r="M8" s="417">
        <v>0.1152</v>
      </c>
      <c r="N8" s="417">
        <v>9.6000000000000002E-2</v>
      </c>
      <c r="O8" s="417">
        <v>4.8000000000000001E-2</v>
      </c>
      <c r="P8" s="417">
        <v>5.3328E-2</v>
      </c>
      <c r="Q8" s="417">
        <v>5.8672000000000002E-2</v>
      </c>
      <c r="R8" s="418">
        <v>3.8399999999999997E-2</v>
      </c>
      <c r="S8" s="439">
        <v>180000</v>
      </c>
      <c r="T8" s="408" t="s">
        <v>1062</v>
      </c>
      <c r="U8" s="411">
        <v>5.0000000000000001E-4</v>
      </c>
      <c r="V8" s="439">
        <v>40000</v>
      </c>
      <c r="W8" s="419">
        <v>5.5999999999999994E-2</v>
      </c>
      <c r="X8" s="396"/>
      <c r="Y8" s="404"/>
      <c r="Z8" s="404"/>
      <c r="AA8" s="404"/>
      <c r="AB8" s="404"/>
      <c r="AC8" s="404"/>
      <c r="AD8" s="404"/>
    </row>
    <row r="9" spans="1:30" x14ac:dyDescent="0.25">
      <c r="A9" s="470" t="s">
        <v>958</v>
      </c>
      <c r="B9" s="471"/>
      <c r="C9" s="439">
        <v>25000</v>
      </c>
      <c r="D9" s="414">
        <v>0.02</v>
      </c>
      <c r="E9" s="439">
        <v>20000</v>
      </c>
      <c r="F9" s="416">
        <v>0.05</v>
      </c>
      <c r="G9" s="142"/>
      <c r="H9" s="142"/>
      <c r="I9" s="142"/>
      <c r="J9" s="439">
        <v>50000</v>
      </c>
      <c r="K9" s="417">
        <v>0.1</v>
      </c>
      <c r="L9" s="417">
        <v>0.12</v>
      </c>
      <c r="M9" s="417">
        <v>0.14399999999999999</v>
      </c>
      <c r="N9" s="417">
        <v>0.12</v>
      </c>
      <c r="O9" s="417">
        <v>0.06</v>
      </c>
      <c r="P9" s="417">
        <v>6.6659999999999997E-2</v>
      </c>
      <c r="Q9" s="417">
        <v>7.3340000000000002E-2</v>
      </c>
      <c r="R9" s="418">
        <v>4.8000000000000001E-2</v>
      </c>
      <c r="S9" s="439">
        <v>280000</v>
      </c>
      <c r="T9" s="408" t="s">
        <v>1063</v>
      </c>
      <c r="U9" s="411">
        <v>4.0000000000000002E-4</v>
      </c>
      <c r="V9" s="439">
        <v>50000</v>
      </c>
      <c r="W9" s="419">
        <v>7.0000000000000007E-2</v>
      </c>
      <c r="X9" s="396"/>
      <c r="Y9" s="404"/>
      <c r="Z9" s="404"/>
      <c r="AA9" s="404"/>
      <c r="AB9" s="404"/>
      <c r="AC9" s="404"/>
      <c r="AD9" s="404"/>
    </row>
    <row r="10" spans="1:30" x14ac:dyDescent="0.25">
      <c r="A10" s="470" t="s">
        <v>959</v>
      </c>
      <c r="B10" s="471"/>
      <c r="C10" s="357"/>
      <c r="D10" s="142"/>
      <c r="E10" s="439">
        <v>40000</v>
      </c>
      <c r="F10" s="416">
        <v>0.06</v>
      </c>
      <c r="G10" s="142"/>
      <c r="H10" s="142"/>
      <c r="I10" s="142"/>
      <c r="J10" s="439">
        <v>60000</v>
      </c>
      <c r="K10" s="417">
        <v>0.12</v>
      </c>
      <c r="L10" s="417">
        <v>0.14399999999999999</v>
      </c>
      <c r="M10" s="417">
        <v>0.17280000000000001</v>
      </c>
      <c r="N10" s="417">
        <v>0.14399999999999999</v>
      </c>
      <c r="O10" s="417">
        <v>7.1999999999999995E-2</v>
      </c>
      <c r="P10" s="417">
        <v>7.9992000000000008E-2</v>
      </c>
      <c r="Q10" s="417">
        <v>8.8008000000000003E-2</v>
      </c>
      <c r="R10" s="418">
        <v>5.7599999999999998E-2</v>
      </c>
      <c r="S10" s="439">
        <v>430000</v>
      </c>
      <c r="T10" s="408" t="s">
        <v>1064</v>
      </c>
      <c r="U10" s="411">
        <v>2.9999999999999997E-4</v>
      </c>
      <c r="V10" s="439">
        <v>60000</v>
      </c>
      <c r="W10" s="419">
        <v>9.8000000000000004E-2</v>
      </c>
      <c r="X10" s="404"/>
      <c r="Y10" s="404"/>
      <c r="Z10" s="404"/>
      <c r="AA10" s="404"/>
      <c r="AB10" s="404"/>
      <c r="AC10" s="404"/>
      <c r="AD10" s="404"/>
    </row>
    <row r="11" spans="1:30" x14ac:dyDescent="0.25">
      <c r="A11" s="470" t="s">
        <v>960</v>
      </c>
      <c r="B11" s="471"/>
      <c r="C11" s="357"/>
      <c r="D11" s="142"/>
      <c r="E11" s="439">
        <v>60000</v>
      </c>
      <c r="F11" s="416">
        <v>7.0000000000000007E-2</v>
      </c>
      <c r="G11" s="142"/>
      <c r="H11" s="142"/>
      <c r="I11" s="142"/>
      <c r="J11" s="439">
        <v>70000</v>
      </c>
      <c r="K11" s="417">
        <v>0.14000000000000001</v>
      </c>
      <c r="L11" s="417">
        <v>0.16800000000000001</v>
      </c>
      <c r="M11" s="417">
        <v>0.2016</v>
      </c>
      <c r="N11" s="417">
        <v>0.16800000000000001</v>
      </c>
      <c r="O11" s="417">
        <v>8.4000000000000005E-2</v>
      </c>
      <c r="P11" s="417">
        <v>9.3324000000000004E-2</v>
      </c>
      <c r="Q11" s="417">
        <v>0.10267600000000002</v>
      </c>
      <c r="R11" s="418">
        <v>6.7199999999999996E-2</v>
      </c>
      <c r="S11" s="439">
        <v>630000</v>
      </c>
      <c r="T11" s="408" t="s">
        <v>1065</v>
      </c>
      <c r="U11" s="411">
        <v>2.0000000000000001E-4</v>
      </c>
      <c r="V11" s="439">
        <v>70000</v>
      </c>
      <c r="W11" s="419">
        <v>0.126</v>
      </c>
      <c r="X11" s="404"/>
      <c r="Y11" s="405"/>
      <c r="Z11" s="405"/>
      <c r="AA11" s="404"/>
      <c r="AB11" s="405"/>
      <c r="AC11" s="405"/>
      <c r="AD11" s="404"/>
    </row>
    <row r="12" spans="1:30" x14ac:dyDescent="0.25">
      <c r="A12" s="470" t="s">
        <v>961</v>
      </c>
      <c r="B12" s="471"/>
      <c r="C12" s="357"/>
      <c r="D12" s="142"/>
      <c r="E12" s="439">
        <v>80000</v>
      </c>
      <c r="F12" s="416">
        <v>0.08</v>
      </c>
      <c r="G12" s="142"/>
      <c r="H12" s="142"/>
      <c r="I12" s="142"/>
      <c r="J12" s="439">
        <v>80000</v>
      </c>
      <c r="K12" s="417">
        <v>0.16</v>
      </c>
      <c r="L12" s="417">
        <v>0.192</v>
      </c>
      <c r="M12" s="417">
        <v>0.23039999999999999</v>
      </c>
      <c r="N12" s="417">
        <v>0.192</v>
      </c>
      <c r="O12" s="417">
        <v>9.6000000000000002E-2</v>
      </c>
      <c r="P12" s="417">
        <v>0.106656</v>
      </c>
      <c r="Q12" s="417">
        <v>0.117344</v>
      </c>
      <c r="R12" s="418">
        <v>7.6799999999999993E-2</v>
      </c>
      <c r="S12" s="439">
        <v>9300000</v>
      </c>
      <c r="T12" s="408" t="s">
        <v>1066</v>
      </c>
      <c r="U12" s="411">
        <v>1E-4</v>
      </c>
      <c r="V12" s="439">
        <v>80000</v>
      </c>
      <c r="W12" s="419">
        <v>0.16800000000000001</v>
      </c>
      <c r="X12" s="404"/>
      <c r="Y12" s="398"/>
      <c r="Z12" s="398"/>
      <c r="AA12" s="404"/>
      <c r="AB12" s="398"/>
      <c r="AC12" s="402"/>
      <c r="AD12" s="404"/>
    </row>
    <row r="13" spans="1:30" x14ac:dyDescent="0.25">
      <c r="A13" s="470" t="s">
        <v>962</v>
      </c>
      <c r="B13" s="471"/>
      <c r="C13" s="357"/>
      <c r="D13" s="142"/>
      <c r="E13" s="439">
        <v>100000</v>
      </c>
      <c r="F13" s="416">
        <v>0.09</v>
      </c>
      <c r="G13" s="142"/>
      <c r="H13" s="142"/>
      <c r="I13" s="142"/>
      <c r="J13" s="439">
        <v>90000</v>
      </c>
      <c r="K13" s="417">
        <v>0.18</v>
      </c>
      <c r="L13" s="417">
        <v>0.21599999999999997</v>
      </c>
      <c r="M13" s="417">
        <v>0.25919999999999999</v>
      </c>
      <c r="N13" s="417">
        <v>0.21599999999999997</v>
      </c>
      <c r="O13" s="417">
        <v>0.10799999999999998</v>
      </c>
      <c r="P13" s="417">
        <v>0.119988</v>
      </c>
      <c r="Q13" s="417">
        <v>0.13201199999999999</v>
      </c>
      <c r="R13" s="418">
        <v>8.6400000000000005E-2</v>
      </c>
      <c r="S13" s="439">
        <v>1330000</v>
      </c>
      <c r="T13" s="410">
        <v>0.4</v>
      </c>
      <c r="U13" s="142"/>
      <c r="V13" s="439">
        <v>90000</v>
      </c>
      <c r="W13" s="419">
        <v>0.21</v>
      </c>
      <c r="X13" s="404"/>
      <c r="Y13" s="398"/>
      <c r="Z13" s="401"/>
      <c r="AA13" s="404"/>
      <c r="AB13" s="398"/>
      <c r="AC13" s="402"/>
      <c r="AD13" s="404"/>
    </row>
    <row r="14" spans="1:30" x14ac:dyDescent="0.25">
      <c r="A14" s="470" t="s">
        <v>963</v>
      </c>
      <c r="B14" s="471"/>
      <c r="C14" s="357"/>
      <c r="D14" s="142"/>
      <c r="E14" s="439">
        <v>150000</v>
      </c>
      <c r="F14" s="416">
        <v>0.1</v>
      </c>
      <c r="G14" s="142"/>
      <c r="H14" s="142"/>
      <c r="I14" s="142"/>
      <c r="J14" s="439">
        <v>100000</v>
      </c>
      <c r="K14" s="417">
        <v>0.2</v>
      </c>
      <c r="L14" s="417">
        <v>0.24</v>
      </c>
      <c r="M14" s="417">
        <v>0.28799999999999998</v>
      </c>
      <c r="N14" s="417">
        <v>0.24</v>
      </c>
      <c r="O14" s="417">
        <v>0.12</v>
      </c>
      <c r="P14" s="417">
        <v>0.13331999999999999</v>
      </c>
      <c r="Q14" s="417">
        <v>0.14668</v>
      </c>
      <c r="R14" s="418">
        <v>9.6000000000000002E-2</v>
      </c>
      <c r="S14" s="142"/>
      <c r="T14" s="142"/>
      <c r="U14" s="142"/>
      <c r="V14" s="439">
        <v>100000</v>
      </c>
      <c r="W14" s="419">
        <v>0.245</v>
      </c>
      <c r="X14" s="404"/>
      <c r="Y14" s="398"/>
      <c r="Z14" s="401"/>
      <c r="AA14" s="404"/>
      <c r="AB14" s="398"/>
      <c r="AC14" s="402"/>
      <c r="AD14" s="404"/>
    </row>
    <row r="15" spans="1:30" x14ac:dyDescent="0.25">
      <c r="A15" s="470" t="s">
        <v>964</v>
      </c>
      <c r="B15" s="471"/>
      <c r="C15" s="357"/>
      <c r="D15" s="142"/>
      <c r="E15" s="357"/>
      <c r="F15" s="358"/>
      <c r="G15" s="142"/>
      <c r="H15" s="142"/>
      <c r="I15" s="142"/>
      <c r="J15" s="439">
        <v>125000</v>
      </c>
      <c r="K15" s="417">
        <v>0.22</v>
      </c>
      <c r="L15" s="417">
        <v>0.26400000000000001</v>
      </c>
      <c r="M15" s="417">
        <v>0.31679999999999997</v>
      </c>
      <c r="N15" s="417">
        <v>0.26400000000000001</v>
      </c>
      <c r="O15" s="417">
        <v>0.13200000000000001</v>
      </c>
      <c r="P15" s="417">
        <v>0.14665199999999998</v>
      </c>
      <c r="Q15" s="417">
        <v>0.16134800000000002</v>
      </c>
      <c r="R15" s="418">
        <v>0.10559999999999999</v>
      </c>
      <c r="S15" s="142"/>
      <c r="T15" s="142"/>
      <c r="U15" s="142"/>
      <c r="V15" s="439">
        <v>120000</v>
      </c>
      <c r="W15" s="419">
        <v>0.28000000000000003</v>
      </c>
      <c r="X15" s="404"/>
      <c r="Y15" s="398"/>
      <c r="Z15" s="401"/>
      <c r="AA15" s="404"/>
      <c r="AB15" s="398"/>
      <c r="AC15" s="402"/>
      <c r="AD15" s="404"/>
    </row>
    <row r="16" spans="1:30" x14ac:dyDescent="0.25">
      <c r="A16" s="470" t="s">
        <v>965</v>
      </c>
      <c r="B16" s="471"/>
      <c r="C16" s="357"/>
      <c r="D16" s="142"/>
      <c r="E16" s="357"/>
      <c r="F16" s="358"/>
      <c r="G16" s="142"/>
      <c r="H16" s="142"/>
      <c r="I16" s="142"/>
      <c r="J16" s="439">
        <v>150000</v>
      </c>
      <c r="K16" s="417">
        <v>0.24</v>
      </c>
      <c r="L16" s="417">
        <v>0.28799999999999998</v>
      </c>
      <c r="M16" s="417">
        <v>0.34560000000000002</v>
      </c>
      <c r="N16" s="417">
        <v>0.28799999999999998</v>
      </c>
      <c r="O16" s="417">
        <v>0.14399999999999999</v>
      </c>
      <c r="P16" s="417">
        <v>0.15998400000000002</v>
      </c>
      <c r="Q16" s="417">
        <v>0.17601600000000001</v>
      </c>
      <c r="R16" s="418">
        <v>0.1152</v>
      </c>
      <c r="S16" s="142"/>
      <c r="T16" s="142"/>
      <c r="U16" s="142"/>
      <c r="V16" s="439">
        <v>140000</v>
      </c>
      <c r="W16" s="419">
        <v>0.315</v>
      </c>
      <c r="X16" s="404"/>
      <c r="Y16" s="398"/>
      <c r="Z16" s="401"/>
      <c r="AA16" s="404"/>
      <c r="AB16" s="398"/>
      <c r="AC16" s="402"/>
      <c r="AD16" s="404"/>
    </row>
    <row r="17" spans="1:30" x14ac:dyDescent="0.25">
      <c r="A17" s="470" t="s">
        <v>966</v>
      </c>
      <c r="B17" s="471"/>
      <c r="C17" s="357"/>
      <c r="D17" s="142"/>
      <c r="E17" s="357"/>
      <c r="F17" s="358"/>
      <c r="G17" s="142"/>
      <c r="H17" s="142"/>
      <c r="I17" s="142"/>
      <c r="J17" s="439">
        <v>175000</v>
      </c>
      <c r="K17" s="417">
        <v>0.26</v>
      </c>
      <c r="L17" s="417">
        <v>0.312</v>
      </c>
      <c r="M17" s="417">
        <v>0.37439999999999996</v>
      </c>
      <c r="N17" s="417">
        <v>0.312</v>
      </c>
      <c r="O17" s="417">
        <v>0.156</v>
      </c>
      <c r="P17" s="417">
        <v>0.17331599999999997</v>
      </c>
      <c r="Q17" s="417">
        <v>0.19068399999999999</v>
      </c>
      <c r="R17" s="418">
        <v>0.12480000000000001</v>
      </c>
      <c r="S17" s="142"/>
      <c r="T17" s="142"/>
      <c r="U17" s="142"/>
      <c r="V17" s="439">
        <v>160000</v>
      </c>
      <c r="W17" s="419">
        <v>0.35</v>
      </c>
      <c r="X17" s="404"/>
      <c r="Y17" s="398"/>
      <c r="Z17" s="401"/>
      <c r="AA17" s="404"/>
      <c r="AB17" s="398"/>
      <c r="AC17" s="402"/>
      <c r="AD17" s="404"/>
    </row>
    <row r="18" spans="1:30" x14ac:dyDescent="0.25">
      <c r="A18" s="470" t="s">
        <v>1091</v>
      </c>
      <c r="B18" s="471"/>
      <c r="C18" s="357"/>
      <c r="D18" s="142"/>
      <c r="E18" s="357"/>
      <c r="F18" s="358"/>
      <c r="G18" s="142"/>
      <c r="H18" s="142"/>
      <c r="I18" s="142"/>
      <c r="J18" s="439">
        <v>200000</v>
      </c>
      <c r="K18" s="417">
        <v>0.28000000000000003</v>
      </c>
      <c r="L18" s="417">
        <v>0.33600000000000002</v>
      </c>
      <c r="M18" s="417">
        <v>0.4032</v>
      </c>
      <c r="N18" s="417">
        <v>0.33600000000000002</v>
      </c>
      <c r="O18" s="417">
        <v>0.16800000000000001</v>
      </c>
      <c r="P18" s="417">
        <v>0.18664800000000001</v>
      </c>
      <c r="Q18" s="417">
        <v>0.20535200000000003</v>
      </c>
      <c r="R18" s="418">
        <v>0.13439999999999999</v>
      </c>
      <c r="S18" s="142"/>
      <c r="T18" s="142"/>
      <c r="U18" s="142"/>
      <c r="V18" s="439">
        <v>180000</v>
      </c>
      <c r="W18" s="419">
        <v>0.38500000000000001</v>
      </c>
      <c r="X18" s="404"/>
      <c r="Y18" s="398"/>
      <c r="Z18" s="401"/>
      <c r="AA18" s="404"/>
      <c r="AB18" s="398"/>
      <c r="AC18" s="402"/>
      <c r="AD18" s="404"/>
    </row>
    <row r="19" spans="1:30" x14ac:dyDescent="0.25">
      <c r="A19" s="470" t="s">
        <v>1092</v>
      </c>
      <c r="B19" s="471"/>
      <c r="C19" s="357"/>
      <c r="D19" s="142"/>
      <c r="E19" s="357"/>
      <c r="F19" s="358"/>
      <c r="G19" s="142"/>
      <c r="H19" s="142"/>
      <c r="I19" s="142"/>
      <c r="J19" s="439">
        <v>225000</v>
      </c>
      <c r="K19" s="417">
        <v>0.3</v>
      </c>
      <c r="L19" s="417">
        <v>0.36</v>
      </c>
      <c r="M19" s="417">
        <v>0.43199999999999994</v>
      </c>
      <c r="N19" s="417">
        <v>0.36</v>
      </c>
      <c r="O19" s="417">
        <v>0.18</v>
      </c>
      <c r="P19" s="417">
        <v>0.19997999999999996</v>
      </c>
      <c r="Q19" s="417">
        <v>0.22002000000000002</v>
      </c>
      <c r="R19" s="418">
        <v>0.14399999999999999</v>
      </c>
      <c r="S19" s="142"/>
      <c r="T19" s="142"/>
      <c r="U19" s="142"/>
      <c r="V19" s="439">
        <v>200000</v>
      </c>
      <c r="W19" s="419">
        <v>0.42</v>
      </c>
      <c r="X19" s="404"/>
      <c r="Y19" s="398"/>
      <c r="Z19" s="401"/>
      <c r="AA19" s="404"/>
      <c r="AB19" s="398"/>
      <c r="AC19" s="402"/>
      <c r="AD19" s="404"/>
    </row>
    <row r="20" spans="1:30" x14ac:dyDescent="0.25">
      <c r="A20" s="470" t="s">
        <v>1093</v>
      </c>
      <c r="B20" s="471"/>
      <c r="C20" s="357"/>
      <c r="D20" s="142"/>
      <c r="E20" s="357"/>
      <c r="F20" s="358"/>
      <c r="G20" s="142"/>
      <c r="H20" s="142"/>
      <c r="I20" s="142"/>
      <c r="J20" s="439">
        <v>250000</v>
      </c>
      <c r="K20" s="417">
        <v>0.32</v>
      </c>
      <c r="L20" s="417">
        <v>0.38400000000000001</v>
      </c>
      <c r="M20" s="417">
        <v>0.46079999999999999</v>
      </c>
      <c r="N20" s="417">
        <v>0.38400000000000001</v>
      </c>
      <c r="O20" s="417">
        <v>0.192</v>
      </c>
      <c r="P20" s="417">
        <v>0.213312</v>
      </c>
      <c r="Q20" s="417">
        <v>0.23468800000000001</v>
      </c>
      <c r="R20" s="418">
        <v>0.15359999999999999</v>
      </c>
      <c r="S20" s="142"/>
      <c r="T20" s="142"/>
      <c r="U20" s="142"/>
      <c r="V20" s="439">
        <v>225000</v>
      </c>
      <c r="W20" s="419">
        <v>0.45500000000000002</v>
      </c>
      <c r="X20" s="404"/>
      <c r="Y20" s="398"/>
      <c r="Z20" s="401"/>
      <c r="AA20" s="404"/>
      <c r="AB20" s="398"/>
      <c r="AC20" s="402"/>
      <c r="AD20" s="404"/>
    </row>
    <row r="21" spans="1:30" x14ac:dyDescent="0.25">
      <c r="A21" s="470" t="s">
        <v>1094</v>
      </c>
      <c r="B21" s="471"/>
      <c r="C21" s="357"/>
      <c r="D21" s="142"/>
      <c r="E21" s="357"/>
      <c r="F21" s="358"/>
      <c r="G21" s="142"/>
      <c r="H21" s="142"/>
      <c r="I21" s="142"/>
      <c r="J21" s="439">
        <v>275000</v>
      </c>
      <c r="K21" s="417">
        <v>0.34</v>
      </c>
      <c r="L21" s="417">
        <v>0.40799999999999997</v>
      </c>
      <c r="M21" s="417">
        <v>0.48960000000000004</v>
      </c>
      <c r="N21" s="417">
        <v>0.40799999999999997</v>
      </c>
      <c r="O21" s="417">
        <v>0.20399999999999999</v>
      </c>
      <c r="P21" s="417">
        <v>0.22664400000000001</v>
      </c>
      <c r="Q21" s="417">
        <v>0.24935600000000002</v>
      </c>
      <c r="R21" s="418">
        <v>0.16320000000000001</v>
      </c>
      <c r="S21" s="142"/>
      <c r="T21" s="142"/>
      <c r="U21" s="142"/>
      <c r="V21" s="439">
        <v>250000</v>
      </c>
      <c r="W21" s="419">
        <v>0.49</v>
      </c>
      <c r="X21" s="404"/>
      <c r="Y21" s="398"/>
      <c r="Z21" s="401"/>
      <c r="AA21" s="404"/>
      <c r="AB21" s="398"/>
      <c r="AC21" s="403"/>
      <c r="AD21" s="404"/>
    </row>
    <row r="22" spans="1:30" x14ac:dyDescent="0.25">
      <c r="A22" s="470" t="s">
        <v>1095</v>
      </c>
      <c r="B22" s="471"/>
      <c r="C22" s="357"/>
      <c r="D22" s="142"/>
      <c r="E22" s="357"/>
      <c r="F22" s="358"/>
      <c r="G22" s="142"/>
      <c r="H22" s="142"/>
      <c r="I22" s="142"/>
      <c r="J22" s="439">
        <v>300000</v>
      </c>
      <c r="K22" s="417">
        <v>0.36</v>
      </c>
      <c r="L22" s="417">
        <v>0.43199999999999994</v>
      </c>
      <c r="M22" s="417">
        <v>0.51839999999999997</v>
      </c>
      <c r="N22" s="417">
        <v>0.43199999999999994</v>
      </c>
      <c r="O22" s="417">
        <v>0.21599999999999997</v>
      </c>
      <c r="P22" s="417">
        <v>0.23997599999999999</v>
      </c>
      <c r="Q22" s="417">
        <v>0.26402399999999998</v>
      </c>
      <c r="R22" s="418">
        <v>0.17280000000000001</v>
      </c>
      <c r="S22" s="142"/>
      <c r="T22" s="142"/>
      <c r="U22" s="142"/>
      <c r="V22" s="439">
        <v>275000</v>
      </c>
      <c r="W22" s="419">
        <v>0.52500000000000002</v>
      </c>
      <c r="X22" s="404"/>
      <c r="Y22" s="398"/>
      <c r="Z22" s="401"/>
      <c r="AA22" s="404"/>
      <c r="AB22" s="398"/>
      <c r="AC22" s="403"/>
      <c r="AD22" s="404"/>
    </row>
    <row r="23" spans="1:30" x14ac:dyDescent="0.25">
      <c r="A23" s="470" t="s">
        <v>1096</v>
      </c>
      <c r="B23" s="471"/>
      <c r="C23" s="357"/>
      <c r="D23" s="142"/>
      <c r="E23" s="357"/>
      <c r="F23" s="358"/>
      <c r="G23" s="142"/>
      <c r="H23" s="142"/>
      <c r="I23" s="142"/>
      <c r="J23" s="439">
        <v>325000</v>
      </c>
      <c r="K23" s="417">
        <v>0.38</v>
      </c>
      <c r="L23" s="417">
        <v>0.45600000000000002</v>
      </c>
      <c r="M23" s="417">
        <v>0.54720000000000002</v>
      </c>
      <c r="N23" s="417">
        <v>0.45600000000000002</v>
      </c>
      <c r="O23" s="417">
        <v>0.22800000000000001</v>
      </c>
      <c r="P23" s="417">
        <v>0.25330799999999998</v>
      </c>
      <c r="Q23" s="417">
        <v>0.27869200000000005</v>
      </c>
      <c r="R23" s="418">
        <v>0.18239999999999998</v>
      </c>
      <c r="S23" s="142"/>
      <c r="T23" s="142"/>
      <c r="U23" s="142"/>
      <c r="V23" s="439">
        <v>300000</v>
      </c>
      <c r="W23" s="419">
        <v>0.56000000000000005</v>
      </c>
      <c r="X23" s="404"/>
      <c r="Y23" s="398"/>
      <c r="Z23" s="401"/>
      <c r="AA23" s="404"/>
      <c r="AB23" s="398"/>
      <c r="AC23" s="403"/>
      <c r="AD23" s="404"/>
    </row>
    <row r="24" spans="1:30" x14ac:dyDescent="0.25">
      <c r="A24" s="470" t="s">
        <v>1097</v>
      </c>
      <c r="B24" s="471"/>
      <c r="C24" s="357"/>
      <c r="D24" s="142"/>
      <c r="E24" s="357"/>
      <c r="F24" s="358"/>
      <c r="G24" s="142"/>
      <c r="H24" s="142"/>
      <c r="I24" s="142"/>
      <c r="J24" s="439">
        <v>350000</v>
      </c>
      <c r="K24" s="417">
        <v>0.4</v>
      </c>
      <c r="L24" s="417">
        <v>0.48</v>
      </c>
      <c r="M24" s="417">
        <v>0.57599999999999996</v>
      </c>
      <c r="N24" s="417">
        <v>0.48</v>
      </c>
      <c r="O24" s="417">
        <v>0.24</v>
      </c>
      <c r="P24" s="417">
        <v>0.26663999999999999</v>
      </c>
      <c r="Q24" s="417">
        <v>0.29336000000000001</v>
      </c>
      <c r="R24" s="418">
        <v>0.192</v>
      </c>
      <c r="S24" s="142"/>
      <c r="T24" s="142"/>
      <c r="U24" s="142"/>
      <c r="V24" s="439">
        <v>325000</v>
      </c>
      <c r="W24" s="419">
        <v>0.59499999999999997</v>
      </c>
      <c r="X24" s="404"/>
      <c r="Y24" s="398"/>
      <c r="Z24" s="401"/>
      <c r="AA24" s="404"/>
      <c r="AB24" s="398"/>
      <c r="AC24" s="403"/>
      <c r="AD24" s="404"/>
    </row>
    <row r="25" spans="1:30" x14ac:dyDescent="0.25">
      <c r="A25" s="470" t="s">
        <v>1098</v>
      </c>
      <c r="B25" s="471"/>
      <c r="C25" s="357"/>
      <c r="D25" s="142"/>
      <c r="E25" s="357"/>
      <c r="F25" s="358"/>
      <c r="G25" s="142"/>
      <c r="H25" s="142"/>
      <c r="I25" s="142"/>
      <c r="J25" s="439">
        <v>375000</v>
      </c>
      <c r="K25" s="417">
        <v>0.42</v>
      </c>
      <c r="L25" s="417">
        <v>0.504</v>
      </c>
      <c r="M25" s="417">
        <v>0.6048</v>
      </c>
      <c r="N25" s="417">
        <v>0.504</v>
      </c>
      <c r="O25" s="417">
        <v>0.252</v>
      </c>
      <c r="P25" s="417">
        <v>0.279972</v>
      </c>
      <c r="Q25" s="417">
        <v>0.30802800000000002</v>
      </c>
      <c r="R25" s="418">
        <v>0.2016</v>
      </c>
      <c r="S25" s="142"/>
      <c r="T25" s="142"/>
      <c r="U25" s="142"/>
      <c r="V25" s="439">
        <v>350000</v>
      </c>
      <c r="W25" s="419">
        <v>0.63</v>
      </c>
      <c r="X25" s="404"/>
      <c r="Y25" s="398"/>
      <c r="Z25" s="401"/>
      <c r="AA25" s="404"/>
      <c r="AB25" s="398"/>
      <c r="AC25" s="403"/>
      <c r="AD25" s="404"/>
    </row>
    <row r="26" spans="1:30" x14ac:dyDescent="0.25">
      <c r="A26" s="470" t="s">
        <v>1099</v>
      </c>
      <c r="B26" s="471"/>
      <c r="C26" s="357"/>
      <c r="D26" s="142"/>
      <c r="E26" s="357"/>
      <c r="F26" s="358"/>
      <c r="G26" s="142"/>
      <c r="H26" s="142"/>
      <c r="I26" s="142"/>
      <c r="J26" s="439">
        <v>400000</v>
      </c>
      <c r="K26" s="417">
        <v>0.44</v>
      </c>
      <c r="L26" s="417">
        <v>0.52800000000000002</v>
      </c>
      <c r="M26" s="417">
        <v>0.63359999999999994</v>
      </c>
      <c r="N26" s="417">
        <v>0.52800000000000002</v>
      </c>
      <c r="O26" s="417">
        <v>0.26400000000000001</v>
      </c>
      <c r="P26" s="417">
        <v>0.29330399999999995</v>
      </c>
      <c r="Q26" s="417">
        <v>0.32269600000000004</v>
      </c>
      <c r="R26" s="418">
        <v>0.21119999999999997</v>
      </c>
      <c r="S26" s="142"/>
      <c r="T26" s="142"/>
      <c r="U26" s="142"/>
      <c r="V26" s="439">
        <v>375000</v>
      </c>
      <c r="W26" s="419">
        <v>0.66500000000000004</v>
      </c>
      <c r="X26" s="404"/>
      <c r="Y26" s="398"/>
      <c r="Z26" s="401"/>
      <c r="AA26" s="404"/>
      <c r="AB26" s="398"/>
      <c r="AC26" s="403"/>
      <c r="AD26" s="404"/>
    </row>
    <row r="27" spans="1:30" x14ac:dyDescent="0.25">
      <c r="A27" s="470" t="s">
        <v>1100</v>
      </c>
      <c r="B27" s="471"/>
      <c r="C27" s="357"/>
      <c r="D27" s="142"/>
      <c r="E27" s="357"/>
      <c r="F27" s="358"/>
      <c r="G27" s="142"/>
      <c r="H27" s="142"/>
      <c r="I27" s="142"/>
      <c r="J27" s="439">
        <v>450000</v>
      </c>
      <c r="K27" s="417">
        <v>0.46</v>
      </c>
      <c r="L27" s="417">
        <v>0.55199999999999994</v>
      </c>
      <c r="M27" s="417">
        <v>0.66239999999999999</v>
      </c>
      <c r="N27" s="417">
        <v>0.55199999999999994</v>
      </c>
      <c r="O27" s="417">
        <v>0.27599999999999997</v>
      </c>
      <c r="P27" s="417">
        <v>0.30663599999999996</v>
      </c>
      <c r="Q27" s="417">
        <v>0.33736400000000005</v>
      </c>
      <c r="R27" s="418">
        <v>0.2208</v>
      </c>
      <c r="S27" s="142"/>
      <c r="T27" s="142"/>
      <c r="U27" s="142"/>
      <c r="V27" s="439">
        <v>400000</v>
      </c>
      <c r="W27" s="419">
        <v>0.7</v>
      </c>
      <c r="X27" s="404"/>
      <c r="Y27" s="398"/>
      <c r="Z27" s="401"/>
      <c r="AA27" s="404"/>
      <c r="AB27" s="398"/>
      <c r="AC27" s="402"/>
      <c r="AD27" s="404"/>
    </row>
    <row r="28" spans="1:30" x14ac:dyDescent="0.25">
      <c r="A28" s="470" t="s">
        <v>1101</v>
      </c>
      <c r="B28" s="471"/>
      <c r="C28" s="357"/>
      <c r="D28" s="142"/>
      <c r="E28" s="357"/>
      <c r="F28" s="358"/>
      <c r="G28" s="142"/>
      <c r="H28" s="142"/>
      <c r="I28" s="142"/>
      <c r="J28" s="439">
        <v>500000</v>
      </c>
      <c r="K28" s="417">
        <v>0.48</v>
      </c>
      <c r="L28" s="417">
        <v>0.57599999999999996</v>
      </c>
      <c r="M28" s="417">
        <v>0.69120000000000004</v>
      </c>
      <c r="N28" s="417">
        <v>0.57599999999999996</v>
      </c>
      <c r="O28" s="417">
        <v>0.28799999999999998</v>
      </c>
      <c r="P28" s="417">
        <v>0.31996800000000003</v>
      </c>
      <c r="Q28" s="417">
        <v>0.35203200000000001</v>
      </c>
      <c r="R28" s="418">
        <v>0.23039999999999999</v>
      </c>
      <c r="S28" s="142"/>
      <c r="T28" s="142"/>
      <c r="U28" s="142"/>
      <c r="V28" s="357"/>
      <c r="W28" s="358"/>
      <c r="X28" s="404"/>
      <c r="Y28" s="398"/>
      <c r="Z28" s="401"/>
      <c r="AA28" s="404"/>
      <c r="AB28" s="398"/>
      <c r="AC28" s="402"/>
      <c r="AD28" s="404"/>
    </row>
    <row r="29" spans="1:30" x14ac:dyDescent="0.25">
      <c r="A29" s="470"/>
      <c r="B29" s="471"/>
      <c r="C29" s="357"/>
      <c r="D29" s="142"/>
      <c r="E29" s="357"/>
      <c r="F29" s="358"/>
      <c r="G29" s="142"/>
      <c r="H29" s="142"/>
      <c r="I29" s="142"/>
      <c r="J29" s="439">
        <v>550000</v>
      </c>
      <c r="K29" s="417">
        <v>0.5</v>
      </c>
      <c r="L29" s="417">
        <v>0.6</v>
      </c>
      <c r="M29" s="417">
        <v>0.72</v>
      </c>
      <c r="N29" s="417">
        <v>0.6</v>
      </c>
      <c r="O29" s="417">
        <v>0.3</v>
      </c>
      <c r="P29" s="417">
        <v>0.33329999999999999</v>
      </c>
      <c r="Q29" s="417">
        <v>0.36670000000000003</v>
      </c>
      <c r="R29" s="418">
        <v>0.24</v>
      </c>
      <c r="S29" s="142"/>
      <c r="T29" s="142"/>
      <c r="U29" s="142"/>
      <c r="V29" s="357"/>
      <c r="W29" s="358"/>
      <c r="X29" s="404"/>
      <c r="Y29" s="398"/>
      <c r="Z29" s="401"/>
      <c r="AA29" s="404"/>
      <c r="AB29" s="404"/>
      <c r="AC29" s="404"/>
      <c r="AD29" s="404"/>
    </row>
    <row r="30" spans="1:30" x14ac:dyDescent="0.25">
      <c r="A30" s="456" t="s">
        <v>611</v>
      </c>
      <c r="B30" s="458"/>
      <c r="C30" s="472">
        <v>6</v>
      </c>
      <c r="D30" s="474"/>
      <c r="E30" s="472">
        <v>11</v>
      </c>
      <c r="F30" s="474"/>
      <c r="G30" s="472">
        <v>5</v>
      </c>
      <c r="H30" s="473"/>
      <c r="I30" s="474"/>
      <c r="J30" s="483">
        <v>25</v>
      </c>
      <c r="K30" s="484"/>
      <c r="L30" s="484"/>
      <c r="M30" s="484"/>
      <c r="N30" s="484"/>
      <c r="O30" s="484"/>
      <c r="P30" s="484"/>
      <c r="Q30" s="484"/>
      <c r="R30" s="485"/>
      <c r="S30" s="472">
        <v>11</v>
      </c>
      <c r="T30" s="473"/>
      <c r="U30" s="474"/>
      <c r="V30" s="472">
        <v>24</v>
      </c>
      <c r="W30" s="474"/>
      <c r="X30" s="404"/>
      <c r="Y30" s="398"/>
      <c r="Z30" s="401"/>
      <c r="AA30" s="404"/>
      <c r="AB30" s="404"/>
      <c r="AC30" s="404"/>
      <c r="AD30" s="404"/>
    </row>
    <row r="31" spans="1:30" ht="15" customHeight="1" x14ac:dyDescent="0.25">
      <c r="A31" s="470"/>
      <c r="B31" s="471"/>
      <c r="C31" s="475" t="s">
        <v>748</v>
      </c>
      <c r="D31" s="476"/>
      <c r="E31" s="476"/>
      <c r="F31" s="477"/>
      <c r="G31" s="475" t="s">
        <v>1113</v>
      </c>
      <c r="H31" s="476"/>
      <c r="I31" s="477"/>
      <c r="J31" s="478" t="s">
        <v>1122</v>
      </c>
      <c r="K31" s="479"/>
      <c r="L31" s="479"/>
      <c r="M31" s="479"/>
      <c r="N31" s="479"/>
      <c r="O31" s="479"/>
      <c r="P31" s="479"/>
      <c r="Q31" s="479"/>
      <c r="R31" s="480"/>
      <c r="S31" s="475" t="s">
        <v>1102</v>
      </c>
      <c r="T31" s="476"/>
      <c r="U31" s="477"/>
      <c r="V31" s="478" t="s">
        <v>1123</v>
      </c>
      <c r="W31" s="480"/>
      <c r="X31" s="404"/>
      <c r="Y31" s="398"/>
      <c r="Z31" s="401"/>
      <c r="AA31" s="404"/>
      <c r="AB31" s="404"/>
      <c r="AC31" s="404"/>
      <c r="AD31" s="404"/>
    </row>
    <row r="32" spans="1:30" x14ac:dyDescent="0.25">
      <c r="A32" s="470"/>
      <c r="B32" s="471"/>
      <c r="C32" s="331" t="s">
        <v>650</v>
      </c>
      <c r="D32" s="41"/>
      <c r="E32" s="407"/>
      <c r="F32" s="407"/>
      <c r="G32" s="396"/>
      <c r="H32" s="396"/>
      <c r="I32" s="396"/>
      <c r="X32" s="404"/>
      <c r="Y32" s="398"/>
      <c r="Z32" s="401"/>
      <c r="AA32" s="404"/>
      <c r="AB32" s="404"/>
      <c r="AC32" s="404"/>
      <c r="AD32" s="404"/>
    </row>
    <row r="33" spans="1:30" x14ac:dyDescent="0.25">
      <c r="A33" s="470"/>
      <c r="B33" s="471"/>
      <c r="C33" s="333" t="s">
        <v>711</v>
      </c>
      <c r="D33" s="332"/>
      <c r="E33" s="407"/>
      <c r="F33" s="407"/>
      <c r="G33" s="396"/>
      <c r="H33" s="396"/>
      <c r="I33" s="396"/>
      <c r="X33" s="404"/>
      <c r="Y33" s="398"/>
      <c r="Z33" s="401"/>
      <c r="AA33" s="404"/>
      <c r="AB33" s="404"/>
      <c r="AC33" s="404"/>
      <c r="AD33" s="404"/>
    </row>
    <row r="34" spans="1:30" x14ac:dyDescent="0.25">
      <c r="A34" s="470"/>
      <c r="B34" s="471"/>
      <c r="C34" s="332"/>
      <c r="D34" s="333" t="s">
        <v>1090</v>
      </c>
      <c r="E34" s="407"/>
      <c r="F34" s="407"/>
      <c r="G34" s="396"/>
      <c r="H34" s="396"/>
      <c r="I34" s="396"/>
      <c r="X34" s="404"/>
      <c r="Y34" s="398"/>
      <c r="Z34" s="401"/>
      <c r="AA34" s="404"/>
      <c r="AB34" s="404"/>
      <c r="AC34" s="404"/>
      <c r="AD34" s="404"/>
    </row>
    <row r="35" spans="1:30" x14ac:dyDescent="0.25">
      <c r="A35" s="420"/>
      <c r="B35" s="424"/>
      <c r="C35" s="332"/>
      <c r="D35" s="333"/>
      <c r="E35" s="407"/>
      <c r="F35" s="407"/>
      <c r="G35" s="396"/>
      <c r="H35" s="396"/>
      <c r="I35" s="396"/>
      <c r="X35" s="404"/>
      <c r="Y35" s="398"/>
      <c r="Z35" s="401"/>
      <c r="AA35" s="404"/>
      <c r="AB35" s="404"/>
      <c r="AC35" s="404"/>
      <c r="AD35" s="404"/>
    </row>
    <row r="36" spans="1:30" x14ac:dyDescent="0.25">
      <c r="A36" s="470"/>
      <c r="B36" s="471"/>
      <c r="C36" s="331" t="s">
        <v>511</v>
      </c>
      <c r="D36" s="396"/>
      <c r="E36" s="407"/>
      <c r="F36" s="407"/>
      <c r="G36" s="396"/>
      <c r="H36" s="396"/>
      <c r="I36" s="396"/>
      <c r="X36" s="404"/>
      <c r="Y36" s="398"/>
      <c r="Z36" s="401"/>
      <c r="AA36" s="404"/>
      <c r="AB36" s="404"/>
      <c r="AC36" s="404"/>
      <c r="AD36" s="404"/>
    </row>
    <row r="37" spans="1:30" x14ac:dyDescent="0.25">
      <c r="A37" s="470"/>
      <c r="B37" s="471"/>
      <c r="C37" s="452" t="s">
        <v>1108</v>
      </c>
      <c r="D37" s="452"/>
      <c r="E37" s="452"/>
      <c r="F37" s="452"/>
      <c r="G37" s="452"/>
      <c r="H37" s="452"/>
      <c r="I37" s="452"/>
      <c r="J37" s="452"/>
      <c r="K37" s="452"/>
      <c r="L37" s="452"/>
      <c r="M37" s="452"/>
      <c r="N37" s="452"/>
      <c r="O37" s="452"/>
      <c r="P37" s="452"/>
      <c r="Q37" s="452"/>
      <c r="R37" s="452"/>
      <c r="S37" s="452"/>
      <c r="T37" s="452"/>
      <c r="U37" s="452"/>
      <c r="V37" s="452"/>
      <c r="W37" s="452"/>
      <c r="X37" s="404"/>
      <c r="Y37" s="404"/>
      <c r="Z37" s="404"/>
      <c r="AA37" s="404"/>
      <c r="AB37" s="404"/>
      <c r="AC37" s="404"/>
      <c r="AD37" s="404"/>
    </row>
    <row r="38" spans="1:30" x14ac:dyDescent="0.25">
      <c r="A38" s="470"/>
      <c r="B38" s="471"/>
      <c r="C38" s="333"/>
      <c r="D38" t="s">
        <v>1110</v>
      </c>
      <c r="E38" s="423"/>
      <c r="F38" s="423"/>
      <c r="G38" s="404"/>
      <c r="H38" s="404"/>
      <c r="I38" s="404"/>
      <c r="X38" s="400"/>
      <c r="Y38" s="397"/>
      <c r="Z38" s="397"/>
      <c r="AA38" s="397"/>
      <c r="AB38" s="397"/>
      <c r="AC38" s="397"/>
      <c r="AD38" s="397"/>
    </row>
    <row r="39" spans="1:30" x14ac:dyDescent="0.25">
      <c r="A39" s="470"/>
      <c r="B39" s="471"/>
      <c r="D39" t="s">
        <v>1109</v>
      </c>
      <c r="X39" s="397"/>
      <c r="Y39" s="397"/>
      <c r="Z39" s="397"/>
      <c r="AA39" s="397"/>
      <c r="AB39" s="397"/>
      <c r="AC39" s="397"/>
      <c r="AD39" s="397"/>
    </row>
    <row r="40" spans="1:30" x14ac:dyDescent="0.25">
      <c r="A40" s="470"/>
      <c r="B40" s="471"/>
      <c r="C40" s="452" t="s">
        <v>1111</v>
      </c>
      <c r="D40" s="452"/>
      <c r="E40" s="452"/>
      <c r="F40" s="452"/>
      <c r="G40" s="452"/>
      <c r="H40" s="452"/>
      <c r="I40" s="452"/>
      <c r="J40" s="452"/>
      <c r="K40" s="452"/>
      <c r="L40" s="452"/>
      <c r="M40" s="452"/>
      <c r="N40" s="452"/>
      <c r="O40" s="452"/>
      <c r="P40" s="452"/>
      <c r="Q40" s="452"/>
      <c r="R40" s="452"/>
      <c r="S40" s="452"/>
      <c r="T40" s="452"/>
      <c r="U40" s="452"/>
      <c r="V40" s="452"/>
      <c r="W40" s="452"/>
      <c r="X40" s="397"/>
      <c r="Y40" s="397"/>
      <c r="Z40" s="397"/>
      <c r="AA40" s="397"/>
      <c r="AB40" s="397"/>
      <c r="AC40" s="397"/>
      <c r="AD40" s="397"/>
    </row>
    <row r="41" spans="1:30" x14ac:dyDescent="0.25">
      <c r="A41" s="470"/>
      <c r="B41" s="471"/>
      <c r="D41" s="329" t="s">
        <v>1112</v>
      </c>
      <c r="X41" s="397"/>
      <c r="Y41" s="397"/>
      <c r="Z41" s="397"/>
      <c r="AA41" s="397"/>
      <c r="AB41" s="397"/>
      <c r="AC41" s="397"/>
      <c r="AD41" s="397"/>
    </row>
    <row r="42" spans="1:30" x14ac:dyDescent="0.25">
      <c r="A42" s="470"/>
      <c r="B42" s="471"/>
      <c r="D42" t="s">
        <v>1114</v>
      </c>
      <c r="X42" s="397"/>
      <c r="Y42" s="397"/>
      <c r="Z42" s="397"/>
      <c r="AA42" s="397"/>
      <c r="AB42" s="397"/>
      <c r="AC42" s="397"/>
      <c r="AD42" s="397"/>
    </row>
    <row r="43" spans="1:30" x14ac:dyDescent="0.25">
      <c r="A43" s="470"/>
      <c r="B43" s="471"/>
      <c r="D43" s="423" t="s">
        <v>1115</v>
      </c>
      <c r="E43" s="423"/>
      <c r="F43" s="423"/>
      <c r="I43" s="395"/>
      <c r="X43" s="397"/>
      <c r="Y43" s="397"/>
      <c r="Z43" s="397"/>
      <c r="AA43" s="397"/>
      <c r="AB43" s="397"/>
      <c r="AC43" s="397"/>
      <c r="AD43" s="397"/>
    </row>
    <row r="44" spans="1:30" x14ac:dyDescent="0.25">
      <c r="A44" s="470"/>
      <c r="B44" s="471"/>
      <c r="C44" s="452" t="s">
        <v>1116</v>
      </c>
      <c r="D44" s="452"/>
      <c r="E44" s="452"/>
      <c r="F44" s="452"/>
      <c r="G44" s="452"/>
      <c r="H44" s="452"/>
      <c r="I44" s="452"/>
      <c r="J44" s="452"/>
      <c r="K44" s="452"/>
      <c r="L44" s="452"/>
      <c r="M44" s="452"/>
      <c r="N44" s="452"/>
      <c r="O44" s="452"/>
      <c r="P44" s="452"/>
      <c r="Q44" s="452"/>
      <c r="R44" s="452"/>
      <c r="S44" s="452"/>
      <c r="T44" s="452"/>
      <c r="U44" s="452"/>
      <c r="V44" s="452"/>
      <c r="W44" s="452"/>
      <c r="X44" s="399"/>
      <c r="Y44" s="397"/>
      <c r="Z44" s="397"/>
      <c r="AA44" s="397"/>
      <c r="AB44" s="397"/>
      <c r="AC44" s="397"/>
      <c r="AD44" s="397"/>
    </row>
    <row r="45" spans="1:30" ht="15" customHeight="1" x14ac:dyDescent="0.25">
      <c r="A45" s="470"/>
      <c r="B45" s="471"/>
      <c r="D45" t="s">
        <v>1117</v>
      </c>
      <c r="I45" s="395"/>
      <c r="X45" s="397"/>
      <c r="Y45" s="397"/>
      <c r="Z45" s="397"/>
      <c r="AA45" s="397"/>
      <c r="AB45" s="397"/>
      <c r="AC45" s="397"/>
      <c r="AD45" s="397"/>
    </row>
    <row r="46" spans="1:30" x14ac:dyDescent="0.25">
      <c r="A46" s="470"/>
      <c r="B46" s="471"/>
      <c r="D46" t="s">
        <v>1118</v>
      </c>
      <c r="I46" s="395"/>
    </row>
    <row r="47" spans="1:30" x14ac:dyDescent="0.25">
      <c r="A47" s="470"/>
      <c r="B47" s="471"/>
      <c r="D47" t="s">
        <v>1119</v>
      </c>
      <c r="I47" s="397"/>
    </row>
    <row r="48" spans="1:30" ht="15" customHeight="1" x14ac:dyDescent="0.25">
      <c r="A48" s="470"/>
      <c r="B48" s="471"/>
      <c r="D48" t="s">
        <v>1120</v>
      </c>
      <c r="I48" s="397"/>
    </row>
    <row r="49" spans="1:23" ht="15" customHeight="1" x14ac:dyDescent="0.25">
      <c r="A49" s="470"/>
      <c r="B49" s="471"/>
      <c r="D49" t="s">
        <v>1121</v>
      </c>
      <c r="I49" s="397"/>
    </row>
    <row r="50" spans="1:23" ht="15" customHeight="1" x14ac:dyDescent="0.25">
      <c r="A50" s="470"/>
      <c r="B50" s="471"/>
      <c r="C50" s="452" t="s">
        <v>1105</v>
      </c>
      <c r="D50" s="452"/>
      <c r="E50" s="452"/>
      <c r="F50" s="452"/>
      <c r="G50" s="452"/>
      <c r="H50" s="452"/>
      <c r="I50" s="452"/>
      <c r="J50" s="452"/>
      <c r="K50" s="452"/>
      <c r="L50" s="452"/>
      <c r="M50" s="452"/>
      <c r="N50" s="452"/>
      <c r="O50" s="452"/>
      <c r="P50" s="452"/>
      <c r="Q50" s="452"/>
      <c r="R50" s="452"/>
      <c r="S50" s="452"/>
      <c r="T50" s="452"/>
      <c r="U50" s="452"/>
      <c r="V50" s="452"/>
      <c r="W50" s="452"/>
    </row>
    <row r="51" spans="1:23" x14ac:dyDescent="0.25">
      <c r="A51" s="470"/>
      <c r="B51" s="471"/>
      <c r="C51" s="62"/>
      <c r="D51" s="322" t="s">
        <v>1104</v>
      </c>
      <c r="E51" s="62"/>
      <c r="F51" s="62"/>
      <c r="G51" s="62"/>
      <c r="H51" s="62"/>
      <c r="I51" s="62"/>
      <c r="J51" s="62"/>
      <c r="K51" s="62"/>
      <c r="L51" s="62"/>
      <c r="M51" s="62"/>
      <c r="N51" s="62"/>
      <c r="O51" s="62"/>
      <c r="P51" s="62"/>
      <c r="Q51" s="62"/>
      <c r="R51" s="62"/>
      <c r="S51" s="62"/>
      <c r="T51" s="62"/>
      <c r="U51" s="62"/>
      <c r="V51" s="62"/>
      <c r="W51" s="62"/>
    </row>
    <row r="52" spans="1:23" x14ac:dyDescent="0.25">
      <c r="A52" s="470"/>
      <c r="B52" s="471"/>
      <c r="C52" s="396"/>
      <c r="D52" s="322" t="s">
        <v>1103</v>
      </c>
      <c r="E52" s="408"/>
      <c r="F52" s="408"/>
      <c r="G52" s="396"/>
      <c r="H52" s="396"/>
      <c r="I52" s="396"/>
    </row>
    <row r="53" spans="1:23" x14ac:dyDescent="0.25">
      <c r="A53" s="470"/>
      <c r="B53" s="471"/>
      <c r="C53" s="396"/>
      <c r="D53" s="322" t="s">
        <v>1106</v>
      </c>
      <c r="E53" s="408"/>
      <c r="F53" s="408"/>
      <c r="G53" s="396"/>
      <c r="H53" s="396"/>
      <c r="I53" s="396"/>
    </row>
    <row r="54" spans="1:23" x14ac:dyDescent="0.25">
      <c r="A54" s="470"/>
      <c r="B54" s="471"/>
      <c r="C54" s="452" t="s">
        <v>1124</v>
      </c>
      <c r="D54" s="452"/>
      <c r="E54" s="452"/>
      <c r="F54" s="452"/>
      <c r="G54" s="452"/>
      <c r="H54" s="452"/>
      <c r="I54" s="452"/>
      <c r="J54" s="452"/>
      <c r="K54" s="452"/>
      <c r="L54" s="452"/>
      <c r="M54" s="452"/>
      <c r="N54" s="452"/>
      <c r="O54" s="452"/>
      <c r="P54" s="452"/>
      <c r="Q54" s="452"/>
      <c r="R54" s="452"/>
      <c r="S54" s="452"/>
      <c r="T54" s="452"/>
      <c r="U54" s="452"/>
      <c r="V54" s="452"/>
      <c r="W54" s="452"/>
    </row>
    <row r="62" spans="1:23" x14ac:dyDescent="0.25">
      <c r="D62" s="394"/>
      <c r="E62" s="406"/>
      <c r="F62" s="406"/>
      <c r="G62" s="394"/>
      <c r="H62" s="394"/>
      <c r="I62" s="395"/>
    </row>
    <row r="63" spans="1:23" x14ac:dyDescent="0.25">
      <c r="D63" s="394"/>
      <c r="E63" s="406"/>
      <c r="F63" s="406"/>
      <c r="G63" s="394"/>
      <c r="H63" s="394"/>
      <c r="I63" s="395"/>
    </row>
    <row r="64" spans="1:23" x14ac:dyDescent="0.25">
      <c r="D64" s="421"/>
      <c r="E64" s="329"/>
      <c r="F64" s="148"/>
      <c r="G64" s="148"/>
      <c r="H64" s="394"/>
      <c r="I64" s="395"/>
    </row>
    <row r="65" spans="4:9" x14ac:dyDescent="0.25">
      <c r="D65" s="329"/>
      <c r="F65" s="148"/>
      <c r="G65" s="148"/>
      <c r="H65" s="394"/>
      <c r="I65" s="395"/>
    </row>
    <row r="66" spans="4:9" x14ac:dyDescent="0.25">
      <c r="D66" s="329"/>
      <c r="E66" s="329"/>
      <c r="F66" s="422"/>
      <c r="G66" s="422"/>
    </row>
    <row r="67" spans="4:9" x14ac:dyDescent="0.25">
      <c r="D67" s="329"/>
      <c r="E67" s="329"/>
      <c r="F67" s="422"/>
      <c r="G67" s="422"/>
    </row>
    <row r="68" spans="4:9" x14ac:dyDescent="0.25">
      <c r="D68" s="329"/>
      <c r="E68" s="329"/>
      <c r="F68" s="422"/>
      <c r="G68" s="422"/>
    </row>
    <row r="69" spans="4:9" x14ac:dyDescent="0.25">
      <c r="D69" s="329"/>
      <c r="E69" s="329"/>
      <c r="F69" s="422"/>
      <c r="G69" s="422"/>
    </row>
    <row r="70" spans="4:9" x14ac:dyDescent="0.25">
      <c r="D70" s="329"/>
    </row>
    <row r="71" spans="4:9" x14ac:dyDescent="0.25">
      <c r="D71" s="329"/>
    </row>
  </sheetData>
  <mergeCells count="78">
    <mergeCell ref="A1:W1"/>
    <mergeCell ref="X2:X3"/>
    <mergeCell ref="Y2:Y3"/>
    <mergeCell ref="Z2:Z3"/>
    <mergeCell ref="A54:B54"/>
    <mergeCell ref="C30:D30"/>
    <mergeCell ref="E30:F30"/>
    <mergeCell ref="G30:I30"/>
    <mergeCell ref="J30:R30"/>
    <mergeCell ref="A49:B49"/>
    <mergeCell ref="A50:B50"/>
    <mergeCell ref="A51:B51"/>
    <mergeCell ref="A52:B52"/>
    <mergeCell ref="A53:B53"/>
    <mergeCell ref="A44:B44"/>
    <mergeCell ref="A45:B45"/>
    <mergeCell ref="A48:B48"/>
    <mergeCell ref="C50:W50"/>
    <mergeCell ref="S31:U31"/>
    <mergeCell ref="C31:F31"/>
    <mergeCell ref="C37:W37"/>
    <mergeCell ref="C40:W40"/>
    <mergeCell ref="G31:I31"/>
    <mergeCell ref="J31:R31"/>
    <mergeCell ref="C44:W44"/>
    <mergeCell ref="V31:W31"/>
    <mergeCell ref="C54:W54"/>
    <mergeCell ref="S30:U30"/>
    <mergeCell ref="A43:B43"/>
    <mergeCell ref="A38:B38"/>
    <mergeCell ref="A39:B39"/>
    <mergeCell ref="A40:B40"/>
    <mergeCell ref="A41:B41"/>
    <mergeCell ref="A42:B42"/>
    <mergeCell ref="A32:B32"/>
    <mergeCell ref="A33:B33"/>
    <mergeCell ref="A34:B34"/>
    <mergeCell ref="A36:B36"/>
    <mergeCell ref="A37:B37"/>
    <mergeCell ref="V30:W30"/>
    <mergeCell ref="A46:B46"/>
    <mergeCell ref="A47:B47"/>
    <mergeCell ref="A29:B29"/>
    <mergeCell ref="A30:B30"/>
    <mergeCell ref="A31:B31"/>
    <mergeCell ref="A24:B24"/>
    <mergeCell ref="A25:B25"/>
    <mergeCell ref="A26:B26"/>
    <mergeCell ref="A27:B27"/>
    <mergeCell ref="A28:B28"/>
    <mergeCell ref="A19:B19"/>
    <mergeCell ref="A20:B20"/>
    <mergeCell ref="A21:B21"/>
    <mergeCell ref="A22:B22"/>
    <mergeCell ref="A23:B23"/>
    <mergeCell ref="A14:B14"/>
    <mergeCell ref="A15:B15"/>
    <mergeCell ref="A16:B16"/>
    <mergeCell ref="A17:B17"/>
    <mergeCell ref="A18:B18"/>
    <mergeCell ref="A9:B9"/>
    <mergeCell ref="A10:B10"/>
    <mergeCell ref="A11:B11"/>
    <mergeCell ref="A12:B12"/>
    <mergeCell ref="A13:B13"/>
    <mergeCell ref="A4:B4"/>
    <mergeCell ref="A5:B5"/>
    <mergeCell ref="A6:B6"/>
    <mergeCell ref="A7:B7"/>
    <mergeCell ref="A8:B8"/>
    <mergeCell ref="A3:B3"/>
    <mergeCell ref="J2:R2"/>
    <mergeCell ref="S2:U2"/>
    <mergeCell ref="V2:W2"/>
    <mergeCell ref="G2:I2"/>
    <mergeCell ref="A2:B2"/>
    <mergeCell ref="C2:D2"/>
    <mergeCell ref="E2:F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A20" sqref="A20"/>
    </sheetView>
  </sheetViews>
  <sheetFormatPr baseColWidth="10" defaultColWidth="15.7109375" defaultRowHeight="15" x14ac:dyDescent="0.25"/>
  <cols>
    <col min="1" max="1" width="7.28515625" style="50" bestFit="1" customWidth="1"/>
    <col min="2" max="2" width="12.7109375" style="50" bestFit="1" customWidth="1"/>
    <col min="3" max="3" width="12.28515625" style="26" customWidth="1"/>
    <col min="4" max="4" width="15.7109375" style="26"/>
    <col min="5" max="5" width="14.42578125" style="26" bestFit="1" customWidth="1"/>
    <col min="6" max="6" width="21.42578125" style="26" bestFit="1" customWidth="1"/>
    <col min="7" max="7" width="14" style="26" customWidth="1"/>
    <col min="8" max="8" width="13.85546875" style="26" customWidth="1"/>
    <col min="9" max="9" width="15.7109375" style="26"/>
    <col min="10" max="10" width="14.140625" style="26" customWidth="1"/>
    <col min="11" max="11" width="14" style="26" customWidth="1"/>
    <col min="12" max="12" width="21.7109375" style="312" bestFit="1" customWidth="1"/>
    <col min="13" max="13" width="30.140625" style="26" bestFit="1" customWidth="1"/>
    <col min="14" max="14" width="128" style="26" bestFit="1" customWidth="1"/>
    <col min="15" max="16384" width="15.7109375" style="26"/>
  </cols>
  <sheetData>
    <row r="1" spans="1:15" hidden="1" x14ac:dyDescent="0.25">
      <c r="A1" s="262" t="s">
        <v>1130</v>
      </c>
      <c r="B1" s="262" t="s">
        <v>1131</v>
      </c>
      <c r="C1" s="262" t="s">
        <v>49</v>
      </c>
      <c r="D1" s="263" t="s">
        <v>137</v>
      </c>
      <c r="E1" s="263" t="s">
        <v>138</v>
      </c>
      <c r="F1" s="263" t="s">
        <v>478</v>
      </c>
      <c r="G1" s="263" t="s">
        <v>50</v>
      </c>
      <c r="H1" s="263" t="s">
        <v>51</v>
      </c>
      <c r="I1" s="263" t="s">
        <v>53</v>
      </c>
      <c r="J1" s="263" t="s">
        <v>52</v>
      </c>
      <c r="K1" s="263" t="s">
        <v>54</v>
      </c>
      <c r="L1" s="263" t="s">
        <v>1135</v>
      </c>
      <c r="M1" s="169"/>
      <c r="N1" s="169"/>
    </row>
    <row r="2" spans="1:15" ht="60" x14ac:dyDescent="0.25">
      <c r="A2" s="486" t="s">
        <v>997</v>
      </c>
      <c r="B2" s="487"/>
      <c r="C2" s="492" t="s">
        <v>692</v>
      </c>
      <c r="D2" s="492"/>
      <c r="E2" s="492"/>
      <c r="F2" s="168" t="s">
        <v>380</v>
      </c>
      <c r="G2" s="493" t="s">
        <v>586</v>
      </c>
      <c r="H2" s="493"/>
      <c r="I2" s="493"/>
      <c r="J2" s="493" t="s">
        <v>587</v>
      </c>
      <c r="K2" s="493"/>
      <c r="L2" s="494" t="s">
        <v>588</v>
      </c>
      <c r="M2" s="454" t="s">
        <v>667</v>
      </c>
      <c r="N2" s="495" t="s">
        <v>1</v>
      </c>
    </row>
    <row r="3" spans="1:15" ht="30" x14ac:dyDescent="0.25">
      <c r="A3" s="383" t="s">
        <v>214</v>
      </c>
      <c r="B3" s="383" t="s">
        <v>996</v>
      </c>
      <c r="C3" s="167" t="s">
        <v>378</v>
      </c>
      <c r="D3" s="168" t="s">
        <v>684</v>
      </c>
      <c r="E3" s="168" t="s">
        <v>685</v>
      </c>
      <c r="F3" s="300" t="s">
        <v>379</v>
      </c>
      <c r="G3" s="168" t="s">
        <v>585</v>
      </c>
      <c r="H3" s="168" t="s">
        <v>377</v>
      </c>
      <c r="I3" s="168" t="s">
        <v>381</v>
      </c>
      <c r="J3" s="168" t="s">
        <v>585</v>
      </c>
      <c r="K3" s="168" t="s">
        <v>381</v>
      </c>
      <c r="L3" s="494"/>
      <c r="M3" s="454"/>
      <c r="N3" s="495"/>
    </row>
    <row r="4" spans="1:15" s="385" customFormat="1" x14ac:dyDescent="0.25">
      <c r="A4" s="142">
        <v>2014</v>
      </c>
      <c r="B4" s="142">
        <v>2013</v>
      </c>
      <c r="C4" s="143"/>
      <c r="D4" s="117"/>
      <c r="E4" s="117"/>
      <c r="F4" s="31">
        <v>0.1</v>
      </c>
      <c r="G4" s="30">
        <v>424</v>
      </c>
      <c r="H4" s="30">
        <v>931</v>
      </c>
      <c r="I4" s="30">
        <v>374</v>
      </c>
      <c r="J4" s="30">
        <v>12097</v>
      </c>
      <c r="K4" s="30">
        <v>3660</v>
      </c>
      <c r="L4" s="161" t="s">
        <v>872</v>
      </c>
      <c r="M4" s="123"/>
      <c r="N4" s="123"/>
    </row>
    <row r="5" spans="1:15" s="110" customFormat="1" x14ac:dyDescent="0.25">
      <c r="A5" s="142">
        <v>2013</v>
      </c>
      <c r="B5" s="142">
        <v>2012</v>
      </c>
      <c r="C5" s="143"/>
      <c r="D5" s="117"/>
      <c r="E5" s="117"/>
      <c r="F5" s="31">
        <v>0.1</v>
      </c>
      <c r="G5" s="30">
        <v>421</v>
      </c>
      <c r="H5" s="30">
        <v>924</v>
      </c>
      <c r="I5" s="30">
        <v>374</v>
      </c>
      <c r="J5" s="30">
        <v>12000</v>
      </c>
      <c r="K5" s="30">
        <v>3660</v>
      </c>
      <c r="L5" s="161" t="s">
        <v>834</v>
      </c>
      <c r="M5" s="123"/>
      <c r="N5" s="452" t="s">
        <v>481</v>
      </c>
    </row>
    <row r="6" spans="1:15" s="110" customFormat="1" x14ac:dyDescent="0.25">
      <c r="A6" s="142">
        <v>2012</v>
      </c>
      <c r="B6" s="142">
        <v>2011</v>
      </c>
      <c r="C6" s="143"/>
      <c r="D6" s="117"/>
      <c r="E6" s="117"/>
      <c r="F6" s="31">
        <v>0.1</v>
      </c>
      <c r="G6" s="30">
        <v>421</v>
      </c>
      <c r="H6" s="30">
        <v>924</v>
      </c>
      <c r="I6" s="30">
        <v>374</v>
      </c>
      <c r="J6" s="30">
        <v>14157</v>
      </c>
      <c r="K6" s="30">
        <v>3660</v>
      </c>
      <c r="L6" s="371" t="s">
        <v>865</v>
      </c>
      <c r="M6" s="163" t="s">
        <v>577</v>
      </c>
      <c r="N6" s="452"/>
    </row>
    <row r="7" spans="1:15" s="50" customFormat="1" x14ac:dyDescent="0.25">
      <c r="A7" s="142">
        <v>2011</v>
      </c>
      <c r="B7" s="142">
        <v>2010</v>
      </c>
      <c r="C7" s="81"/>
      <c r="D7" s="81"/>
      <c r="E7" s="81"/>
      <c r="F7" s="31">
        <v>0.1</v>
      </c>
      <c r="G7" s="30">
        <v>421</v>
      </c>
      <c r="H7" s="30">
        <v>924</v>
      </c>
      <c r="I7" s="30">
        <v>374</v>
      </c>
      <c r="J7" s="30">
        <v>14157</v>
      </c>
      <c r="K7" s="30">
        <v>3660</v>
      </c>
      <c r="L7" s="371" t="s">
        <v>835</v>
      </c>
      <c r="M7" s="163" t="s">
        <v>14</v>
      </c>
      <c r="N7" s="452"/>
    </row>
    <row r="8" spans="1:15" s="50" customFormat="1" x14ac:dyDescent="0.25">
      <c r="A8" s="142">
        <v>2010</v>
      </c>
      <c r="B8" s="142">
        <v>2009</v>
      </c>
      <c r="C8" s="81"/>
      <c r="D8" s="81"/>
      <c r="E8" s="81"/>
      <c r="F8" s="31">
        <v>0.1</v>
      </c>
      <c r="G8" s="30">
        <v>415</v>
      </c>
      <c r="H8" s="30">
        <v>910</v>
      </c>
      <c r="I8" s="30">
        <v>368</v>
      </c>
      <c r="J8" s="30">
        <v>13948</v>
      </c>
      <c r="K8" s="30">
        <v>3606</v>
      </c>
      <c r="L8" s="371" t="s">
        <v>836</v>
      </c>
      <c r="M8" s="163" t="s">
        <v>15</v>
      </c>
      <c r="N8" s="43"/>
    </row>
    <row r="9" spans="1:15" s="50" customFormat="1" x14ac:dyDescent="0.25">
      <c r="A9" s="142">
        <v>2009</v>
      </c>
      <c r="B9" s="142">
        <v>2008</v>
      </c>
      <c r="C9" s="81"/>
      <c r="D9" s="81"/>
      <c r="E9" s="81"/>
      <c r="F9" s="31">
        <v>0.1</v>
      </c>
      <c r="G9" s="30">
        <v>413</v>
      </c>
      <c r="H9" s="30">
        <v>906</v>
      </c>
      <c r="I9" s="30">
        <v>367</v>
      </c>
      <c r="J9" s="30">
        <v>13893</v>
      </c>
      <c r="K9" s="30">
        <v>3592</v>
      </c>
      <c r="L9" s="371" t="s">
        <v>837</v>
      </c>
      <c r="M9" s="163" t="s">
        <v>16</v>
      </c>
      <c r="N9" s="43"/>
    </row>
    <row r="10" spans="1:15" s="50" customFormat="1" x14ac:dyDescent="0.25">
      <c r="A10" s="142">
        <v>2008</v>
      </c>
      <c r="B10" s="142">
        <v>2007</v>
      </c>
      <c r="C10" s="131"/>
      <c r="D10" s="131"/>
      <c r="E10" s="131"/>
      <c r="F10" s="132">
        <v>0.1</v>
      </c>
      <c r="G10" s="133">
        <v>401</v>
      </c>
      <c r="H10" s="133">
        <v>880</v>
      </c>
      <c r="I10" s="133">
        <v>357</v>
      </c>
      <c r="J10" s="133">
        <v>13501</v>
      </c>
      <c r="K10" s="133">
        <v>3491</v>
      </c>
      <c r="L10" s="371" t="s">
        <v>838</v>
      </c>
      <c r="M10" s="149" t="s">
        <v>17</v>
      </c>
      <c r="N10" s="43"/>
      <c r="O10" s="80"/>
    </row>
    <row r="11" spans="1:15" s="50" customFormat="1" x14ac:dyDescent="0.25">
      <c r="A11" s="142">
        <v>2007</v>
      </c>
      <c r="B11" s="142">
        <v>2006</v>
      </c>
      <c r="C11" s="131"/>
      <c r="D11" s="131"/>
      <c r="E11" s="131"/>
      <c r="F11" s="132">
        <v>0.1</v>
      </c>
      <c r="G11" s="133">
        <v>396</v>
      </c>
      <c r="H11" s="133">
        <v>869</v>
      </c>
      <c r="I11" s="133">
        <v>352</v>
      </c>
      <c r="J11" s="133">
        <v>13328</v>
      </c>
      <c r="K11" s="133">
        <v>3446</v>
      </c>
      <c r="L11" s="371" t="s">
        <v>839</v>
      </c>
      <c r="M11" s="163" t="s">
        <v>18</v>
      </c>
      <c r="N11" s="129" t="s">
        <v>479</v>
      </c>
      <c r="O11" s="80"/>
    </row>
    <row r="12" spans="1:15" s="50" customFormat="1" x14ac:dyDescent="0.25">
      <c r="A12" s="142">
        <v>2006</v>
      </c>
      <c r="B12" s="142">
        <v>2005</v>
      </c>
      <c r="C12" s="132">
        <v>0.2</v>
      </c>
      <c r="D12" s="133">
        <v>24020</v>
      </c>
      <c r="E12" s="133">
        <v>120100</v>
      </c>
      <c r="F12" s="132">
        <v>0.1</v>
      </c>
      <c r="G12" s="133">
        <v>389</v>
      </c>
      <c r="H12" s="133">
        <v>854</v>
      </c>
      <c r="I12" s="133">
        <v>346</v>
      </c>
      <c r="J12" s="30">
        <v>13093</v>
      </c>
      <c r="K12" s="133">
        <v>3385</v>
      </c>
      <c r="L12" s="371" t="s">
        <v>840</v>
      </c>
      <c r="M12" s="163" t="s">
        <v>19</v>
      </c>
      <c r="N12" s="43"/>
      <c r="O12" s="80"/>
    </row>
    <row r="13" spans="1:15" s="50" customFormat="1" x14ac:dyDescent="0.25">
      <c r="A13" s="142">
        <v>2005</v>
      </c>
      <c r="B13" s="142">
        <v>2004</v>
      </c>
      <c r="C13" s="132">
        <v>0.2</v>
      </c>
      <c r="D13" s="133">
        <v>23580</v>
      </c>
      <c r="E13" s="133">
        <v>117900</v>
      </c>
      <c r="F13" s="132">
        <v>0.1</v>
      </c>
      <c r="G13" s="133">
        <v>382</v>
      </c>
      <c r="H13" s="133">
        <v>839</v>
      </c>
      <c r="I13" s="133">
        <v>340</v>
      </c>
      <c r="J13" s="133">
        <v>12862</v>
      </c>
      <c r="K13" s="133">
        <v>3325</v>
      </c>
      <c r="L13" s="371" t="s">
        <v>841</v>
      </c>
      <c r="M13" s="163" t="s">
        <v>20</v>
      </c>
      <c r="N13" s="43"/>
      <c r="O13" s="80"/>
    </row>
    <row r="14" spans="1:15" s="50" customFormat="1" x14ac:dyDescent="0.25">
      <c r="A14" s="142">
        <v>2004</v>
      </c>
      <c r="B14" s="142">
        <v>2003</v>
      </c>
      <c r="C14" s="132">
        <v>0.2</v>
      </c>
      <c r="D14" s="133">
        <v>23180</v>
      </c>
      <c r="E14" s="133">
        <v>115900</v>
      </c>
      <c r="F14" s="132">
        <v>0.1</v>
      </c>
      <c r="G14" s="133">
        <v>376</v>
      </c>
      <c r="H14" s="133">
        <v>825</v>
      </c>
      <c r="I14" s="133">
        <v>334</v>
      </c>
      <c r="J14" s="133">
        <v>12648</v>
      </c>
      <c r="K14" s="133">
        <v>3269</v>
      </c>
      <c r="L14" s="371" t="s">
        <v>842</v>
      </c>
      <c r="M14" s="163" t="s">
        <v>21</v>
      </c>
      <c r="N14" s="43"/>
      <c r="O14" s="80"/>
    </row>
    <row r="15" spans="1:15" s="50" customFormat="1" x14ac:dyDescent="0.25">
      <c r="A15" s="142">
        <v>2003</v>
      </c>
      <c r="B15" s="142">
        <v>2002</v>
      </c>
      <c r="C15" s="132">
        <v>0.2</v>
      </c>
      <c r="D15" s="133">
        <v>22780</v>
      </c>
      <c r="E15" s="133">
        <v>113900</v>
      </c>
      <c r="F15" s="132">
        <v>0.1</v>
      </c>
      <c r="G15" s="133">
        <v>370</v>
      </c>
      <c r="H15" s="133">
        <v>811</v>
      </c>
      <c r="I15" s="133">
        <v>328</v>
      </c>
      <c r="J15" s="133">
        <v>12437</v>
      </c>
      <c r="K15" s="133">
        <v>3214</v>
      </c>
      <c r="L15" s="371" t="s">
        <v>843</v>
      </c>
      <c r="M15" s="163" t="s">
        <v>22</v>
      </c>
      <c r="N15" s="43"/>
      <c r="O15" s="80"/>
    </row>
    <row r="16" spans="1:15" s="50" customFormat="1" x14ac:dyDescent="0.25">
      <c r="A16" s="142">
        <v>2002</v>
      </c>
      <c r="B16" s="142">
        <v>2001</v>
      </c>
      <c r="C16" s="132">
        <v>0.2</v>
      </c>
      <c r="D16" s="133">
        <v>22380</v>
      </c>
      <c r="E16" s="133">
        <v>111900</v>
      </c>
      <c r="F16" s="132">
        <v>0.1</v>
      </c>
      <c r="G16" s="133">
        <v>364</v>
      </c>
      <c r="H16" s="133">
        <v>797</v>
      </c>
      <c r="I16" s="133">
        <v>323</v>
      </c>
      <c r="J16" s="133">
        <v>12229</v>
      </c>
      <c r="K16" s="133">
        <v>3160</v>
      </c>
      <c r="L16" s="371" t="s">
        <v>844</v>
      </c>
      <c r="M16" s="163" t="s">
        <v>23</v>
      </c>
      <c r="N16" s="334" t="s">
        <v>681</v>
      </c>
      <c r="O16" s="80"/>
    </row>
    <row r="17" spans="1:15" s="51" customFormat="1" x14ac:dyDescent="0.25">
      <c r="A17" s="142">
        <v>2001</v>
      </c>
      <c r="B17" s="142">
        <v>2000</v>
      </c>
      <c r="C17" s="132">
        <v>0.2</v>
      </c>
      <c r="D17" s="135">
        <v>144400</v>
      </c>
      <c r="E17" s="135">
        <v>722000</v>
      </c>
      <c r="F17" s="132">
        <v>0.1</v>
      </c>
      <c r="G17" s="135">
        <v>2350</v>
      </c>
      <c r="H17" s="135">
        <v>5140</v>
      </c>
      <c r="I17" s="135">
        <v>2080</v>
      </c>
      <c r="J17" s="135">
        <v>78950</v>
      </c>
      <c r="K17" s="135">
        <v>20400</v>
      </c>
      <c r="L17" s="371" t="s">
        <v>845</v>
      </c>
      <c r="M17" s="163" t="s">
        <v>24</v>
      </c>
      <c r="N17" s="136"/>
      <c r="O17" s="80"/>
    </row>
    <row r="18" spans="1:15" s="51" customFormat="1" x14ac:dyDescent="0.25">
      <c r="A18" s="142">
        <v>2000</v>
      </c>
      <c r="B18" s="142">
        <v>1999</v>
      </c>
      <c r="C18" s="132">
        <v>0.2</v>
      </c>
      <c r="D18" s="135">
        <v>142200</v>
      </c>
      <c r="E18" s="135">
        <v>711000</v>
      </c>
      <c r="F18" s="132">
        <v>0.1</v>
      </c>
      <c r="G18" s="135">
        <v>2320</v>
      </c>
      <c r="H18" s="135">
        <v>5070</v>
      </c>
      <c r="I18" s="135">
        <v>2050</v>
      </c>
      <c r="J18" s="135">
        <v>77850</v>
      </c>
      <c r="K18" s="135">
        <v>20100</v>
      </c>
      <c r="L18" s="371" t="s">
        <v>846</v>
      </c>
      <c r="M18" s="163" t="s">
        <v>78</v>
      </c>
      <c r="N18" s="71" t="s">
        <v>682</v>
      </c>
      <c r="O18" s="80"/>
    </row>
    <row r="19" spans="1:15" s="51" customFormat="1" x14ac:dyDescent="0.25">
      <c r="A19" s="142">
        <v>1999</v>
      </c>
      <c r="B19" s="142">
        <v>1998</v>
      </c>
      <c r="C19" s="132">
        <v>0.2</v>
      </c>
      <c r="D19" s="135">
        <v>141400</v>
      </c>
      <c r="E19" s="135">
        <v>707000</v>
      </c>
      <c r="F19" s="132">
        <v>0.1</v>
      </c>
      <c r="G19" s="135">
        <v>2310</v>
      </c>
      <c r="H19" s="135">
        <v>5040</v>
      </c>
      <c r="I19" s="135">
        <v>2040</v>
      </c>
      <c r="J19" s="336">
        <v>77460</v>
      </c>
      <c r="K19" s="135">
        <v>20000</v>
      </c>
      <c r="L19" s="371" t="s">
        <v>847</v>
      </c>
      <c r="M19" s="212" t="s">
        <v>691</v>
      </c>
      <c r="N19" s="335"/>
      <c r="O19" s="80"/>
    </row>
    <row r="20" spans="1:15" s="51" customFormat="1" x14ac:dyDescent="0.25">
      <c r="A20" s="142">
        <v>1998</v>
      </c>
      <c r="B20" s="142">
        <v>1997</v>
      </c>
      <c r="C20" s="132">
        <v>0.2</v>
      </c>
      <c r="D20" s="135">
        <v>140200</v>
      </c>
      <c r="E20" s="135">
        <v>701000</v>
      </c>
      <c r="F20" s="132">
        <v>0.1</v>
      </c>
      <c r="G20" s="135">
        <v>2290</v>
      </c>
      <c r="H20" s="135">
        <v>5000</v>
      </c>
      <c r="I20" s="135">
        <f>2020</f>
        <v>2020</v>
      </c>
      <c r="J20" s="336">
        <v>76840</v>
      </c>
      <c r="K20" s="135">
        <f>24000</f>
        <v>24000</v>
      </c>
      <c r="L20" s="371" t="s">
        <v>848</v>
      </c>
      <c r="M20" s="144"/>
      <c r="N20" s="440" t="s">
        <v>480</v>
      </c>
      <c r="O20" s="80"/>
    </row>
    <row r="21" spans="1:15" s="51" customFormat="1" x14ac:dyDescent="0.25">
      <c r="A21" s="142">
        <v>1997</v>
      </c>
      <c r="B21" s="142">
        <v>1996</v>
      </c>
      <c r="C21" s="132">
        <v>0.2</v>
      </c>
      <c r="D21" s="135">
        <v>138600</v>
      </c>
      <c r="E21" s="135">
        <v>693000</v>
      </c>
      <c r="F21" s="132">
        <v>0.1</v>
      </c>
      <c r="G21" s="135">
        <v>2270</v>
      </c>
      <c r="H21" s="137"/>
      <c r="I21" s="135">
        <v>2000</v>
      </c>
      <c r="J21" s="336">
        <v>76010</v>
      </c>
      <c r="K21" s="135">
        <v>28000</v>
      </c>
      <c r="L21" s="371" t="s">
        <v>849</v>
      </c>
      <c r="M21" s="144"/>
      <c r="N21" s="48"/>
      <c r="O21" s="80"/>
    </row>
    <row r="22" spans="1:15" s="51" customFormat="1" x14ac:dyDescent="0.25">
      <c r="A22" s="142">
        <v>1996</v>
      </c>
      <c r="B22" s="142">
        <v>1995</v>
      </c>
      <c r="C22" s="132">
        <v>0.2</v>
      </c>
      <c r="D22" s="135">
        <v>136000</v>
      </c>
      <c r="E22" s="135">
        <v>680000</v>
      </c>
      <c r="F22" s="132">
        <v>0.1</v>
      </c>
      <c r="G22" s="135">
        <v>2230</v>
      </c>
      <c r="H22" s="137"/>
      <c r="I22" s="135">
        <v>1960</v>
      </c>
      <c r="J22" s="336">
        <v>74590</v>
      </c>
      <c r="K22" s="135">
        <v>31900.000000000004</v>
      </c>
      <c r="L22" s="371" t="s">
        <v>866</v>
      </c>
      <c r="M22" s="136"/>
      <c r="N22" s="48"/>
      <c r="O22" s="80"/>
    </row>
    <row r="23" spans="1:15" s="51" customFormat="1" x14ac:dyDescent="0.25">
      <c r="A23" s="142">
        <v>1995</v>
      </c>
      <c r="B23" s="142">
        <v>1994</v>
      </c>
      <c r="C23" s="132">
        <v>0.2</v>
      </c>
      <c r="D23" s="135">
        <v>133400</v>
      </c>
      <c r="E23" s="135">
        <v>667000</v>
      </c>
      <c r="F23" s="132">
        <v>0.1</v>
      </c>
      <c r="G23" s="135">
        <v>2190</v>
      </c>
      <c r="H23" s="137"/>
      <c r="I23" s="135">
        <v>1930</v>
      </c>
      <c r="J23" s="336">
        <v>73270</v>
      </c>
      <c r="K23" s="135">
        <v>31300.000000000004</v>
      </c>
      <c r="L23" s="371" t="s">
        <v>850</v>
      </c>
      <c r="M23" s="145"/>
      <c r="N23" s="48"/>
      <c r="O23" s="80"/>
    </row>
    <row r="24" spans="1:15" x14ac:dyDescent="0.25">
      <c r="A24" s="142">
        <v>1994</v>
      </c>
      <c r="B24" s="142">
        <v>1993</v>
      </c>
      <c r="C24" s="132">
        <v>0.2</v>
      </c>
      <c r="D24" s="135">
        <v>131400</v>
      </c>
      <c r="E24" s="135">
        <v>657000</v>
      </c>
      <c r="F24" s="132">
        <v>0.1</v>
      </c>
      <c r="G24" s="135">
        <v>2160</v>
      </c>
      <c r="H24" s="139"/>
      <c r="I24" s="26" t="s">
        <v>281</v>
      </c>
      <c r="J24" s="336">
        <v>72250</v>
      </c>
      <c r="K24" s="26" t="s">
        <v>280</v>
      </c>
      <c r="L24" s="371" t="s">
        <v>851</v>
      </c>
      <c r="M24" s="49"/>
      <c r="N24" s="71" t="s">
        <v>737</v>
      </c>
      <c r="O24" s="80"/>
    </row>
    <row r="25" spans="1:15" x14ac:dyDescent="0.25">
      <c r="A25" s="142">
        <v>1993</v>
      </c>
      <c r="B25" s="142">
        <v>1992</v>
      </c>
      <c r="C25" s="132">
        <v>0.2</v>
      </c>
      <c r="D25" s="135">
        <v>128800</v>
      </c>
      <c r="E25" s="135">
        <v>644000</v>
      </c>
      <c r="F25" s="132">
        <v>0.1</v>
      </c>
      <c r="G25" s="27" t="s">
        <v>239</v>
      </c>
      <c r="H25" s="139"/>
      <c r="I25" s="27" t="s">
        <v>277</v>
      </c>
      <c r="J25" s="336">
        <v>70900</v>
      </c>
      <c r="K25" s="27" t="s">
        <v>240</v>
      </c>
      <c r="L25" s="371" t="s">
        <v>852</v>
      </c>
      <c r="M25" s="49"/>
      <c r="N25" s="48"/>
      <c r="O25" s="80"/>
    </row>
    <row r="26" spans="1:15" x14ac:dyDescent="0.25">
      <c r="A26" s="142">
        <v>1992</v>
      </c>
      <c r="B26" s="142">
        <v>1991</v>
      </c>
      <c r="C26" s="132">
        <v>0.2</v>
      </c>
      <c r="D26" s="135">
        <v>125200</v>
      </c>
      <c r="E26" s="135">
        <v>626000</v>
      </c>
      <c r="F26" s="132">
        <v>0.1</v>
      </c>
      <c r="G26" s="27" t="s">
        <v>238</v>
      </c>
      <c r="H26" s="139"/>
      <c r="I26" s="27" t="s">
        <v>270</v>
      </c>
      <c r="J26" s="336">
        <v>68960</v>
      </c>
      <c r="K26" s="27" t="s">
        <v>272</v>
      </c>
      <c r="L26" s="371" t="s">
        <v>853</v>
      </c>
      <c r="M26" s="136"/>
      <c r="N26" s="136"/>
      <c r="O26" s="80"/>
    </row>
    <row r="27" spans="1:15" x14ac:dyDescent="0.25">
      <c r="A27" s="142">
        <v>1991</v>
      </c>
      <c r="B27" s="142">
        <v>1990</v>
      </c>
      <c r="C27" s="132">
        <v>0.2</v>
      </c>
      <c r="D27" s="135">
        <v>121400</v>
      </c>
      <c r="E27" s="135">
        <v>607000</v>
      </c>
      <c r="F27" s="132">
        <v>0.1</v>
      </c>
      <c r="G27" s="27" t="s">
        <v>244</v>
      </c>
      <c r="H27" s="139"/>
      <c r="I27" s="27" t="s">
        <v>276</v>
      </c>
      <c r="J27" s="336">
        <v>66950</v>
      </c>
      <c r="K27" s="27" t="s">
        <v>279</v>
      </c>
      <c r="L27" s="371" t="s">
        <v>854</v>
      </c>
      <c r="M27" s="136"/>
      <c r="N27" s="136"/>
      <c r="O27" s="80"/>
    </row>
    <row r="28" spans="1:15" x14ac:dyDescent="0.25">
      <c r="A28" s="142">
        <v>1990</v>
      </c>
      <c r="B28" s="142">
        <v>1989</v>
      </c>
      <c r="C28" s="132">
        <v>0.2</v>
      </c>
      <c r="D28" s="135">
        <v>117600</v>
      </c>
      <c r="E28" s="135">
        <v>588000</v>
      </c>
      <c r="F28" s="132">
        <v>0.1</v>
      </c>
      <c r="G28" s="34" t="s">
        <v>270</v>
      </c>
      <c r="H28" s="139"/>
      <c r="I28" s="27" t="s">
        <v>270</v>
      </c>
      <c r="J28" s="336">
        <v>64870</v>
      </c>
      <c r="K28" s="27" t="s">
        <v>278</v>
      </c>
      <c r="L28" s="371" t="s">
        <v>855</v>
      </c>
      <c r="M28" s="136"/>
      <c r="N28" s="136"/>
      <c r="O28" s="80"/>
    </row>
    <row r="29" spans="1:15" x14ac:dyDescent="0.25">
      <c r="A29" s="142">
        <v>1989</v>
      </c>
      <c r="B29" s="142">
        <v>1988</v>
      </c>
      <c r="C29" s="132">
        <v>0.2</v>
      </c>
      <c r="D29" s="135">
        <v>113800</v>
      </c>
      <c r="E29" s="135">
        <v>569000</v>
      </c>
      <c r="F29" s="132">
        <v>0.1</v>
      </c>
      <c r="G29" s="135">
        <v>1800</v>
      </c>
      <c r="H29" s="139"/>
      <c r="I29" s="135">
        <v>1800</v>
      </c>
      <c r="J29" s="336">
        <v>62790</v>
      </c>
      <c r="K29" s="135">
        <v>26600</v>
      </c>
      <c r="L29" s="371" t="s">
        <v>856</v>
      </c>
      <c r="M29" s="136"/>
      <c r="N29" s="149" t="s">
        <v>136</v>
      </c>
      <c r="O29" s="80"/>
    </row>
    <row r="30" spans="1:15" x14ac:dyDescent="0.25">
      <c r="A30" s="142">
        <v>1988</v>
      </c>
      <c r="B30" s="142">
        <v>1987</v>
      </c>
      <c r="C30" s="132">
        <v>0.2</v>
      </c>
      <c r="D30" s="135">
        <v>110800</v>
      </c>
      <c r="E30" s="135">
        <v>554000</v>
      </c>
      <c r="F30" s="132">
        <v>0.1</v>
      </c>
      <c r="G30" s="135">
        <v>1800</v>
      </c>
      <c r="H30" s="139"/>
      <c r="I30" s="27" t="s">
        <v>270</v>
      </c>
      <c r="J30" s="336">
        <v>61190</v>
      </c>
      <c r="K30" s="27" t="s">
        <v>275</v>
      </c>
      <c r="L30" s="371" t="s">
        <v>857</v>
      </c>
      <c r="M30" s="136"/>
      <c r="N30" s="136"/>
      <c r="O30" s="80"/>
    </row>
    <row r="31" spans="1:15" x14ac:dyDescent="0.25">
      <c r="A31" s="142">
        <v>1987</v>
      </c>
      <c r="B31" s="142">
        <v>1986</v>
      </c>
      <c r="C31" s="132">
        <v>0.2</v>
      </c>
      <c r="D31" s="135">
        <v>107200</v>
      </c>
      <c r="E31" s="135">
        <v>536000</v>
      </c>
      <c r="F31" s="132">
        <v>0.1</v>
      </c>
      <c r="G31" s="135">
        <v>1800</v>
      </c>
      <c r="H31" s="139"/>
      <c r="I31" s="27" t="s">
        <v>270</v>
      </c>
      <c r="J31" s="336">
        <v>59230</v>
      </c>
      <c r="K31" s="27" t="s">
        <v>273</v>
      </c>
      <c r="L31" s="371" t="s">
        <v>858</v>
      </c>
      <c r="M31" s="136"/>
      <c r="N31" s="136"/>
      <c r="O31" s="80"/>
    </row>
    <row r="32" spans="1:15" x14ac:dyDescent="0.25">
      <c r="A32" s="142">
        <v>1986</v>
      </c>
      <c r="B32" s="142">
        <v>1985</v>
      </c>
      <c r="C32" s="132">
        <v>0.2</v>
      </c>
      <c r="D32" s="135">
        <v>104600</v>
      </c>
      <c r="E32" s="135">
        <v>523000</v>
      </c>
      <c r="F32" s="132">
        <v>0.1</v>
      </c>
      <c r="G32" s="135">
        <v>1800</v>
      </c>
      <c r="H32" s="139"/>
      <c r="I32" s="27" t="s">
        <v>270</v>
      </c>
      <c r="J32" s="336">
        <v>57840</v>
      </c>
      <c r="K32" s="27" t="s">
        <v>271</v>
      </c>
      <c r="L32" s="371" t="s">
        <v>859</v>
      </c>
      <c r="M32" s="136"/>
      <c r="N32" s="136"/>
      <c r="O32" s="80"/>
    </row>
    <row r="33" spans="1:15" x14ac:dyDescent="0.25">
      <c r="A33" s="142">
        <v>1985</v>
      </c>
      <c r="B33" s="142">
        <v>1984</v>
      </c>
      <c r="C33" s="132">
        <v>0.2</v>
      </c>
      <c r="D33" s="135">
        <v>99000</v>
      </c>
      <c r="E33" s="135">
        <v>495000</v>
      </c>
      <c r="F33" s="132">
        <v>0.1</v>
      </c>
      <c r="G33" s="135">
        <v>1800</v>
      </c>
      <c r="H33" s="139"/>
      <c r="I33" s="27" t="s">
        <v>270</v>
      </c>
      <c r="J33" s="336">
        <v>54770</v>
      </c>
      <c r="K33" s="27" t="s">
        <v>282</v>
      </c>
      <c r="L33" s="371" t="s">
        <v>860</v>
      </c>
      <c r="M33" s="136"/>
      <c r="N33" s="136"/>
      <c r="O33" s="80"/>
    </row>
    <row r="34" spans="1:15" x14ac:dyDescent="0.25">
      <c r="A34" s="142">
        <v>1984</v>
      </c>
      <c r="B34" s="142">
        <v>1983</v>
      </c>
      <c r="C34" s="132">
        <v>0.2</v>
      </c>
      <c r="D34" s="135">
        <v>92000</v>
      </c>
      <c r="E34" s="135">
        <v>460000</v>
      </c>
      <c r="F34" s="132">
        <v>0.1</v>
      </c>
      <c r="G34" s="135">
        <v>1800</v>
      </c>
      <c r="H34" s="139"/>
      <c r="I34" s="27" t="s">
        <v>270</v>
      </c>
      <c r="J34" s="336">
        <v>50900</v>
      </c>
      <c r="K34" s="27" t="s">
        <v>274</v>
      </c>
      <c r="L34" s="371" t="s">
        <v>861</v>
      </c>
      <c r="M34" s="136"/>
      <c r="N34" s="136"/>
      <c r="O34" s="80"/>
    </row>
    <row r="35" spans="1:15" x14ac:dyDescent="0.25">
      <c r="A35" s="142">
        <v>1983</v>
      </c>
      <c r="B35" s="142">
        <v>1982</v>
      </c>
      <c r="C35" s="132">
        <v>0.2</v>
      </c>
      <c r="D35" s="135">
        <v>92000</v>
      </c>
      <c r="E35" s="135">
        <v>460000</v>
      </c>
      <c r="F35" s="132">
        <v>0.1</v>
      </c>
      <c r="G35" s="135">
        <v>1800</v>
      </c>
      <c r="H35" s="139"/>
      <c r="I35" s="27" t="s">
        <v>270</v>
      </c>
      <c r="J35" s="336">
        <v>50900</v>
      </c>
      <c r="K35" s="27" t="s">
        <v>284</v>
      </c>
      <c r="L35" s="371" t="s">
        <v>862</v>
      </c>
      <c r="M35" s="136"/>
      <c r="N35" s="136"/>
      <c r="O35" s="80"/>
    </row>
    <row r="36" spans="1:15" x14ac:dyDescent="0.25">
      <c r="A36" s="142">
        <v>1982</v>
      </c>
      <c r="B36" s="142">
        <v>1981</v>
      </c>
      <c r="C36" s="132">
        <v>0.2</v>
      </c>
      <c r="D36" s="135">
        <v>92000</v>
      </c>
      <c r="E36" s="135">
        <v>460000</v>
      </c>
      <c r="F36" s="132">
        <v>0.1</v>
      </c>
      <c r="G36" s="135">
        <v>1800</v>
      </c>
      <c r="H36" s="139"/>
      <c r="I36" s="27" t="s">
        <v>270</v>
      </c>
      <c r="J36" s="336">
        <v>50900</v>
      </c>
      <c r="K36" s="27" t="s">
        <v>283</v>
      </c>
      <c r="L36" s="371" t="s">
        <v>863</v>
      </c>
      <c r="M36" s="136"/>
      <c r="N36" s="136"/>
      <c r="O36" s="80"/>
    </row>
    <row r="37" spans="1:15" x14ac:dyDescent="0.25">
      <c r="A37" s="142">
        <v>1981</v>
      </c>
      <c r="B37" s="142">
        <v>1980</v>
      </c>
      <c r="C37" s="132">
        <v>0.2</v>
      </c>
      <c r="D37" s="135">
        <v>82000</v>
      </c>
      <c r="E37" s="135">
        <v>410000</v>
      </c>
      <c r="F37" s="132">
        <v>0.1</v>
      </c>
      <c r="G37" s="135">
        <v>1800</v>
      </c>
      <c r="H37" s="139"/>
      <c r="I37" s="27" t="s">
        <v>270</v>
      </c>
      <c r="J37" s="336">
        <v>44800</v>
      </c>
      <c r="K37" s="27" t="s">
        <v>356</v>
      </c>
      <c r="L37" s="371" t="s">
        <v>864</v>
      </c>
      <c r="M37" s="136"/>
      <c r="N37" s="136"/>
      <c r="O37" s="80"/>
    </row>
    <row r="38" spans="1:15" x14ac:dyDescent="0.25">
      <c r="A38" s="142">
        <v>1980</v>
      </c>
      <c r="B38" s="142">
        <v>1979</v>
      </c>
      <c r="C38" s="132">
        <v>0.2</v>
      </c>
      <c r="D38" s="135">
        <v>72000</v>
      </c>
      <c r="E38" s="135">
        <v>360000</v>
      </c>
      <c r="F38" s="132">
        <v>0.1</v>
      </c>
      <c r="G38" s="135">
        <v>1800</v>
      </c>
      <c r="H38" s="139"/>
      <c r="I38" s="27" t="s">
        <v>270</v>
      </c>
      <c r="J38" s="336">
        <v>40000</v>
      </c>
      <c r="K38" s="27" t="s">
        <v>293</v>
      </c>
      <c r="L38" s="371" t="s">
        <v>875</v>
      </c>
      <c r="M38" s="136"/>
      <c r="N38" s="136"/>
      <c r="O38" s="80"/>
    </row>
    <row r="39" spans="1:15" x14ac:dyDescent="0.25">
      <c r="A39" s="142">
        <v>1979</v>
      </c>
      <c r="B39" s="142">
        <v>1978</v>
      </c>
      <c r="C39" s="132">
        <v>0.2</v>
      </c>
      <c r="D39" s="135">
        <v>72000</v>
      </c>
      <c r="E39" s="135">
        <v>360000</v>
      </c>
      <c r="F39" s="132">
        <v>0.1</v>
      </c>
      <c r="G39" s="135">
        <v>1800</v>
      </c>
      <c r="H39" s="139"/>
      <c r="I39" s="27" t="s">
        <v>270</v>
      </c>
      <c r="J39" s="139"/>
      <c r="K39" s="27" t="s">
        <v>285</v>
      </c>
      <c r="L39" s="371" t="s">
        <v>876</v>
      </c>
      <c r="M39" s="136"/>
      <c r="N39" s="282" t="s">
        <v>689</v>
      </c>
      <c r="O39" s="80"/>
    </row>
    <row r="40" spans="1:15" x14ac:dyDescent="0.25">
      <c r="A40" s="142">
        <v>1978</v>
      </c>
      <c r="B40" s="142">
        <v>1977</v>
      </c>
      <c r="C40" s="132">
        <v>0.2</v>
      </c>
      <c r="D40" s="135">
        <v>72000</v>
      </c>
      <c r="E40" s="135">
        <v>360000</v>
      </c>
      <c r="F40" s="132">
        <v>0.1</v>
      </c>
      <c r="G40" s="27" t="s">
        <v>308</v>
      </c>
      <c r="H40" s="139"/>
      <c r="I40" s="139"/>
      <c r="J40" s="139"/>
      <c r="K40" s="27" t="s">
        <v>286</v>
      </c>
      <c r="L40" s="371" t="s">
        <v>877</v>
      </c>
      <c r="M40" s="136"/>
      <c r="N40" s="136"/>
      <c r="O40" s="80"/>
    </row>
    <row r="41" spans="1:15" x14ac:dyDescent="0.25">
      <c r="A41" s="142">
        <v>1976</v>
      </c>
      <c r="B41" s="142">
        <v>1975</v>
      </c>
      <c r="C41" s="132">
        <v>0.2</v>
      </c>
      <c r="D41" s="135">
        <v>68000</v>
      </c>
      <c r="E41" s="135">
        <v>340000</v>
      </c>
      <c r="F41" s="132">
        <v>0.1</v>
      </c>
      <c r="G41" s="136"/>
      <c r="H41" s="139"/>
      <c r="I41" s="139"/>
      <c r="J41" s="139"/>
      <c r="K41" s="139"/>
      <c r="M41" s="136"/>
      <c r="N41" s="136"/>
      <c r="O41" s="80"/>
    </row>
    <row r="42" spans="1:15" x14ac:dyDescent="0.25">
      <c r="A42" s="142">
        <v>1975</v>
      </c>
      <c r="B42" s="142">
        <v>1974</v>
      </c>
      <c r="C42" s="132">
        <v>0.2</v>
      </c>
      <c r="D42" s="135">
        <v>62000</v>
      </c>
      <c r="E42" s="135">
        <v>310000</v>
      </c>
      <c r="F42" s="132">
        <v>0.1</v>
      </c>
      <c r="G42" s="136"/>
      <c r="H42" s="139"/>
      <c r="I42" s="139"/>
      <c r="J42" s="139"/>
      <c r="K42" s="139"/>
      <c r="M42" s="136"/>
      <c r="N42" s="488" t="s">
        <v>688</v>
      </c>
      <c r="O42" s="80"/>
    </row>
    <row r="43" spans="1:15" x14ac:dyDescent="0.25">
      <c r="A43" s="142">
        <v>1974</v>
      </c>
      <c r="B43" s="142">
        <v>1973</v>
      </c>
      <c r="C43" s="132">
        <v>0.2</v>
      </c>
      <c r="D43" s="135">
        <v>56000</v>
      </c>
      <c r="E43" s="135">
        <v>280000</v>
      </c>
      <c r="F43" s="132">
        <v>0.1</v>
      </c>
      <c r="G43" s="136"/>
      <c r="H43" s="139"/>
      <c r="I43" s="139"/>
      <c r="J43" s="139"/>
      <c r="K43" s="139"/>
      <c r="M43" s="136"/>
      <c r="N43" s="489"/>
      <c r="O43" s="80"/>
    </row>
    <row r="44" spans="1:15" x14ac:dyDescent="0.25">
      <c r="A44" s="142">
        <v>1961</v>
      </c>
      <c r="B44" s="142">
        <v>1960</v>
      </c>
      <c r="C44" s="132">
        <v>0.2</v>
      </c>
      <c r="D44" s="137"/>
      <c r="E44" s="137"/>
      <c r="F44" s="132">
        <v>0.1</v>
      </c>
      <c r="G44" s="136"/>
      <c r="H44" s="139"/>
      <c r="I44" s="139"/>
      <c r="J44" s="139"/>
      <c r="K44" s="139"/>
      <c r="L44" s="366"/>
      <c r="M44" s="136"/>
      <c r="N44" s="136"/>
      <c r="O44" s="80"/>
    </row>
    <row r="45" spans="1:15" x14ac:dyDescent="0.25">
      <c r="A45" s="142">
        <v>1960</v>
      </c>
      <c r="B45" s="142">
        <v>1959</v>
      </c>
      <c r="C45" s="132">
        <v>0.19</v>
      </c>
      <c r="D45" s="137"/>
      <c r="E45" s="137"/>
      <c r="F45" s="132">
        <v>0.1</v>
      </c>
      <c r="G45" s="136"/>
      <c r="H45" s="139"/>
      <c r="I45" s="139"/>
      <c r="J45" s="139"/>
      <c r="K45" s="139"/>
      <c r="L45" s="366"/>
      <c r="M45" s="136"/>
      <c r="N45" s="136"/>
      <c r="O45" s="80"/>
    </row>
    <row r="46" spans="1:15" x14ac:dyDescent="0.25">
      <c r="A46" s="142">
        <v>1955</v>
      </c>
      <c r="B46" s="142">
        <v>1954</v>
      </c>
      <c r="C46" s="132">
        <v>0.15</v>
      </c>
      <c r="D46" s="137"/>
      <c r="E46" s="137"/>
      <c r="F46" s="132">
        <v>0.1</v>
      </c>
      <c r="G46" s="136"/>
      <c r="H46" s="139"/>
      <c r="I46" s="139"/>
      <c r="J46" s="139"/>
      <c r="K46" s="139"/>
      <c r="L46" s="366"/>
      <c r="M46" s="136"/>
      <c r="N46" s="136"/>
      <c r="O46" s="80"/>
    </row>
    <row r="47" spans="1:15" x14ac:dyDescent="0.25">
      <c r="A47" s="142">
        <v>1954</v>
      </c>
      <c r="B47" s="142">
        <v>1953</v>
      </c>
      <c r="C47" s="132">
        <v>0.1</v>
      </c>
      <c r="D47" s="139"/>
      <c r="E47" s="139"/>
      <c r="F47" s="132">
        <v>0.1</v>
      </c>
      <c r="G47" s="136"/>
      <c r="H47" s="139"/>
      <c r="I47" s="139"/>
      <c r="J47" s="139"/>
      <c r="K47" s="139"/>
      <c r="L47" s="366"/>
      <c r="M47" s="136"/>
      <c r="N47" s="282" t="s">
        <v>686</v>
      </c>
      <c r="O47" s="80"/>
    </row>
    <row r="48" spans="1:15" x14ac:dyDescent="0.25">
      <c r="A48" s="142">
        <v>1953</v>
      </c>
      <c r="B48" s="142">
        <v>1952</v>
      </c>
      <c r="C48" s="139"/>
      <c r="D48" s="139"/>
      <c r="E48" s="139"/>
      <c r="F48" s="132">
        <v>0.1</v>
      </c>
      <c r="G48" s="136"/>
      <c r="H48" s="139"/>
      <c r="I48" s="139"/>
      <c r="J48" s="139"/>
      <c r="K48" s="139"/>
      <c r="L48" s="366"/>
      <c r="M48" s="136"/>
      <c r="N48" s="496" t="s">
        <v>687</v>
      </c>
      <c r="O48" s="80"/>
    </row>
    <row r="49" spans="1:20" x14ac:dyDescent="0.25">
      <c r="A49" s="142">
        <v>1952</v>
      </c>
      <c r="B49" s="142">
        <v>1951</v>
      </c>
      <c r="C49" s="139"/>
      <c r="D49" s="139"/>
      <c r="E49" s="139"/>
      <c r="F49" s="132">
        <v>0.1</v>
      </c>
      <c r="G49" s="136"/>
      <c r="H49" s="139"/>
      <c r="I49" s="139"/>
      <c r="J49" s="336">
        <v>200000</v>
      </c>
      <c r="K49" s="139"/>
      <c r="L49" s="366"/>
      <c r="M49" s="136"/>
      <c r="N49" s="496"/>
      <c r="O49" s="80"/>
    </row>
    <row r="50" spans="1:20" x14ac:dyDescent="0.25">
      <c r="A50" s="142">
        <v>1947</v>
      </c>
      <c r="B50" s="142">
        <v>1946</v>
      </c>
      <c r="C50" s="139"/>
      <c r="D50" s="139"/>
      <c r="E50" s="139"/>
      <c r="F50" s="132">
        <v>0.1</v>
      </c>
      <c r="G50" s="136"/>
      <c r="H50" s="139"/>
      <c r="I50" s="139"/>
      <c r="J50" s="336">
        <v>50000</v>
      </c>
      <c r="K50" s="139"/>
      <c r="L50" s="366"/>
      <c r="M50" s="136"/>
      <c r="N50" s="496"/>
      <c r="O50" s="80"/>
    </row>
    <row r="51" spans="1:20" x14ac:dyDescent="0.25">
      <c r="A51" s="142">
        <v>1944</v>
      </c>
      <c r="B51" s="142">
        <v>1943</v>
      </c>
      <c r="C51" s="139"/>
      <c r="D51" s="139"/>
      <c r="E51" s="139"/>
      <c r="F51" s="337">
        <v>0.1</v>
      </c>
      <c r="H51" s="139"/>
      <c r="I51" s="139"/>
      <c r="J51" s="336">
        <v>20000</v>
      </c>
      <c r="K51" s="139"/>
      <c r="L51" s="366"/>
      <c r="N51" s="496"/>
    </row>
    <row r="52" spans="1:20" s="286" customFormat="1" x14ac:dyDescent="0.25">
      <c r="A52" s="139">
        <v>1943</v>
      </c>
      <c r="B52" s="139">
        <v>1942</v>
      </c>
      <c r="C52" s="139"/>
      <c r="D52" s="139"/>
      <c r="E52" s="139"/>
      <c r="F52" s="139"/>
      <c r="G52" s="139"/>
      <c r="H52" s="139"/>
      <c r="I52" s="139"/>
      <c r="J52" s="139"/>
      <c r="K52" s="139"/>
      <c r="L52" s="312"/>
    </row>
    <row r="53" spans="1:20" x14ac:dyDescent="0.25">
      <c r="C53" s="288" t="s">
        <v>511</v>
      </c>
    </row>
    <row r="54" spans="1:20" x14ac:dyDescent="0.25">
      <c r="C54" s="312" t="s">
        <v>722</v>
      </c>
    </row>
    <row r="55" spans="1:20" x14ac:dyDescent="0.25">
      <c r="D55" s="312" t="s">
        <v>714</v>
      </c>
    </row>
    <row r="56" spans="1:20" x14ac:dyDescent="0.25">
      <c r="C56" s="312" t="s">
        <v>683</v>
      </c>
    </row>
    <row r="57" spans="1:20" x14ac:dyDescent="0.25">
      <c r="C57" s="312" t="s">
        <v>690</v>
      </c>
      <c r="N57" s="490"/>
      <c r="O57" s="491"/>
      <c r="P57" s="491"/>
      <c r="Q57" s="491"/>
      <c r="R57" s="491"/>
      <c r="S57" s="491"/>
      <c r="T57" s="491"/>
    </row>
    <row r="58" spans="1:20" x14ac:dyDescent="0.25">
      <c r="C58" s="312"/>
      <c r="D58" s="312" t="s">
        <v>715</v>
      </c>
    </row>
    <row r="69" spans="1:2" x14ac:dyDescent="0.25">
      <c r="A69" s="97"/>
      <c r="B69" s="97"/>
    </row>
    <row r="70" spans="1:2" x14ac:dyDescent="0.25">
      <c r="A70" s="97"/>
      <c r="B70" s="97"/>
    </row>
    <row r="71" spans="1:2" x14ac:dyDescent="0.25">
      <c r="A71" s="97"/>
      <c r="B71" s="97"/>
    </row>
    <row r="72" spans="1:2" x14ac:dyDescent="0.25">
      <c r="A72" s="97"/>
      <c r="B72" s="97"/>
    </row>
    <row r="73" spans="1:2" x14ac:dyDescent="0.25">
      <c r="A73" s="97"/>
      <c r="B73" s="97"/>
    </row>
  </sheetData>
  <mergeCells count="11">
    <mergeCell ref="A2:B2"/>
    <mergeCell ref="N42:N43"/>
    <mergeCell ref="N57:T57"/>
    <mergeCell ref="N5:N7"/>
    <mergeCell ref="C2:E2"/>
    <mergeCell ref="G2:I2"/>
    <mergeCell ref="J2:K2"/>
    <mergeCell ref="M2:M3"/>
    <mergeCell ref="L2:L3"/>
    <mergeCell ref="N2:N3"/>
    <mergeCell ref="N48:N5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15.7109375" defaultRowHeight="15" x14ac:dyDescent="0.25"/>
  <cols>
    <col min="1" max="1" width="7.28515625" style="26" bestFit="1" customWidth="1"/>
    <col min="2" max="2" width="12.7109375" style="26" bestFit="1" customWidth="1"/>
    <col min="3" max="3" width="15.7109375" style="26"/>
    <col min="4" max="4" width="12.5703125" style="26" bestFit="1" customWidth="1"/>
    <col min="5" max="5" width="11.7109375" style="26" bestFit="1" customWidth="1"/>
    <col min="6" max="6" width="16.28515625" style="26" bestFit="1" customWidth="1"/>
    <col min="7" max="7" width="16.28515625" style="286" customWidth="1"/>
    <col min="8" max="8" width="100.7109375" style="26" customWidth="1"/>
    <col min="9" max="16384" width="15.7109375" style="26"/>
  </cols>
  <sheetData>
    <row r="1" spans="1:8" hidden="1" x14ac:dyDescent="0.25">
      <c r="A1" s="266" t="s">
        <v>1130</v>
      </c>
      <c r="B1" s="266" t="s">
        <v>1131</v>
      </c>
      <c r="C1" s="266" t="s">
        <v>87</v>
      </c>
      <c r="D1" s="267" t="s">
        <v>88</v>
      </c>
      <c r="E1" s="267" t="s">
        <v>89</v>
      </c>
      <c r="F1" s="268" t="s">
        <v>117</v>
      </c>
      <c r="G1" s="268" t="s">
        <v>1135</v>
      </c>
      <c r="H1" s="172"/>
    </row>
    <row r="2" spans="1:8" ht="45" x14ac:dyDescent="0.25">
      <c r="A2" s="486" t="s">
        <v>997</v>
      </c>
      <c r="B2" s="487"/>
      <c r="C2" s="167" t="s">
        <v>382</v>
      </c>
      <c r="D2" s="493" t="s">
        <v>384</v>
      </c>
      <c r="E2" s="493"/>
      <c r="F2" s="493"/>
      <c r="G2" s="454" t="s">
        <v>588</v>
      </c>
      <c r="H2" s="497" t="s">
        <v>1</v>
      </c>
    </row>
    <row r="3" spans="1:8" ht="30" x14ac:dyDescent="0.25">
      <c r="A3" s="383" t="s">
        <v>214</v>
      </c>
      <c r="B3" s="383" t="s">
        <v>996</v>
      </c>
      <c r="C3" s="170" t="s">
        <v>383</v>
      </c>
      <c r="D3" s="171" t="s">
        <v>385</v>
      </c>
      <c r="E3" s="171" t="s">
        <v>386</v>
      </c>
      <c r="F3" s="170" t="s">
        <v>387</v>
      </c>
      <c r="G3" s="454"/>
      <c r="H3" s="495"/>
    </row>
    <row r="4" spans="1:8" s="110" customFormat="1" x14ac:dyDescent="0.25">
      <c r="A4" s="142">
        <v>2013</v>
      </c>
      <c r="B4" s="142">
        <v>2012</v>
      </c>
      <c r="C4" s="30">
        <v>4600</v>
      </c>
      <c r="D4" s="31">
        <v>0.4</v>
      </c>
      <c r="E4" s="30">
        <v>0</v>
      </c>
      <c r="F4" s="125"/>
      <c r="G4" s="312" t="s">
        <v>834</v>
      </c>
      <c r="H4" s="40"/>
    </row>
    <row r="5" spans="1:8" s="50" customFormat="1" x14ac:dyDescent="0.25">
      <c r="A5" s="142">
        <v>2011</v>
      </c>
      <c r="B5" s="142">
        <v>2010</v>
      </c>
      <c r="C5" s="30">
        <v>4600</v>
      </c>
      <c r="D5" s="31">
        <v>0.4</v>
      </c>
      <c r="E5" s="30">
        <v>1525</v>
      </c>
      <c r="F5" s="81"/>
      <c r="G5" s="312" t="s">
        <v>835</v>
      </c>
      <c r="H5" s="40" t="s">
        <v>868</v>
      </c>
    </row>
    <row r="6" spans="1:8" s="50" customFormat="1" x14ac:dyDescent="0.25">
      <c r="A6" s="142">
        <v>2005</v>
      </c>
      <c r="B6" s="142">
        <v>2004</v>
      </c>
      <c r="C6" s="133">
        <v>4600</v>
      </c>
      <c r="D6" s="190">
        <v>0.5</v>
      </c>
      <c r="E6" s="133">
        <v>1220</v>
      </c>
      <c r="F6" s="133">
        <v>115</v>
      </c>
      <c r="G6" s="312" t="s">
        <v>841</v>
      </c>
      <c r="H6" s="370" t="s">
        <v>867</v>
      </c>
    </row>
    <row r="7" spans="1:8" s="50" customFormat="1" x14ac:dyDescent="0.25">
      <c r="A7" s="142">
        <v>2002</v>
      </c>
      <c r="B7" s="142">
        <v>2001</v>
      </c>
      <c r="C7" s="133">
        <v>4600</v>
      </c>
      <c r="D7" s="190">
        <v>0.5</v>
      </c>
      <c r="E7" s="133">
        <v>1220</v>
      </c>
      <c r="F7" s="131"/>
      <c r="G7" s="312" t="s">
        <v>844</v>
      </c>
    </row>
    <row r="8" spans="1:8" s="51" customFormat="1" x14ac:dyDescent="0.25">
      <c r="A8" s="142">
        <v>1998</v>
      </c>
      <c r="B8" s="142">
        <v>1997</v>
      </c>
      <c r="C8" s="135">
        <v>30000</v>
      </c>
      <c r="D8" s="190">
        <v>0.5</v>
      </c>
      <c r="E8" s="135">
        <v>8000</v>
      </c>
      <c r="F8" s="137"/>
      <c r="G8" s="312" t="s">
        <v>848</v>
      </c>
      <c r="H8" s="368" t="s">
        <v>869</v>
      </c>
    </row>
    <row r="9" spans="1:8" x14ac:dyDescent="0.25">
      <c r="A9" s="142">
        <v>1989</v>
      </c>
      <c r="B9" s="142">
        <v>1988</v>
      </c>
      <c r="C9" s="146"/>
      <c r="D9" s="190">
        <v>0.5</v>
      </c>
      <c r="E9" s="75" t="s">
        <v>309</v>
      </c>
      <c r="F9" s="137"/>
      <c r="G9" s="312" t="s">
        <v>856</v>
      </c>
      <c r="H9" s="136"/>
    </row>
    <row r="10" spans="1:8" x14ac:dyDescent="0.25">
      <c r="A10" s="142">
        <v>1985</v>
      </c>
      <c r="B10" s="142">
        <v>1984</v>
      </c>
      <c r="C10" s="146"/>
      <c r="D10" s="190">
        <v>0.5</v>
      </c>
      <c r="E10" s="75" t="s">
        <v>286</v>
      </c>
      <c r="F10" s="137"/>
      <c r="G10" s="312" t="s">
        <v>860</v>
      </c>
      <c r="H10" s="136"/>
    </row>
    <row r="11" spans="1:8" x14ac:dyDescent="0.25">
      <c r="A11" s="142">
        <v>1980</v>
      </c>
      <c r="B11" s="142">
        <v>1979</v>
      </c>
      <c r="C11" s="146"/>
      <c r="D11" s="190">
        <v>0.5</v>
      </c>
      <c r="E11" s="75" t="s">
        <v>310</v>
      </c>
      <c r="F11" s="137"/>
      <c r="G11" s="312" t="s">
        <v>875</v>
      </c>
      <c r="H11" s="136"/>
    </row>
    <row r="12" spans="1:8" x14ac:dyDescent="0.25">
      <c r="A12" s="142">
        <v>1979</v>
      </c>
      <c r="B12" s="142">
        <v>1978</v>
      </c>
      <c r="C12" s="139"/>
      <c r="D12" s="139"/>
      <c r="E12" s="139"/>
      <c r="F12" s="137"/>
      <c r="H12" s="136"/>
    </row>
    <row r="14" spans="1:8" x14ac:dyDescent="0.25">
      <c r="C14" s="288" t="s">
        <v>511</v>
      </c>
    </row>
    <row r="15" spans="1:8" x14ac:dyDescent="0.25">
      <c r="C15" s="372" t="s">
        <v>832</v>
      </c>
    </row>
    <row r="16" spans="1:8" x14ac:dyDescent="0.25">
      <c r="C16" s="370" t="s">
        <v>870</v>
      </c>
    </row>
    <row r="30" spans="1:2" x14ac:dyDescent="0.25">
      <c r="A30" s="52"/>
      <c r="B30" s="52"/>
    </row>
    <row r="31" spans="1:2" x14ac:dyDescent="0.25">
      <c r="A31" s="52"/>
      <c r="B31" s="52"/>
    </row>
    <row r="32" spans="1:2" x14ac:dyDescent="0.25">
      <c r="A32" s="52"/>
      <c r="B32" s="52"/>
    </row>
    <row r="33" spans="1:2" x14ac:dyDescent="0.25">
      <c r="A33" s="52"/>
      <c r="B33" s="52"/>
    </row>
    <row r="34" spans="1:2" x14ac:dyDescent="0.25">
      <c r="A34" s="52"/>
      <c r="B34" s="52"/>
    </row>
  </sheetData>
  <mergeCells count="4">
    <mergeCell ref="D2:F2"/>
    <mergeCell ref="H2:H3"/>
    <mergeCell ref="G2:G3"/>
    <mergeCell ref="A2:B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activeCell="G33" sqref="G33"/>
    </sheetView>
  </sheetViews>
  <sheetFormatPr baseColWidth="10" defaultColWidth="15.7109375" defaultRowHeight="15" x14ac:dyDescent="0.25"/>
  <cols>
    <col min="1" max="1" width="7.28515625" style="26" bestFit="1" customWidth="1"/>
    <col min="2" max="2" width="12.7109375" style="26" bestFit="1" customWidth="1"/>
    <col min="3" max="3" width="17.140625" style="26" customWidth="1"/>
    <col min="4" max="4" width="17.7109375" style="26" customWidth="1"/>
    <col min="5" max="5" width="15.7109375" style="26"/>
    <col min="6" max="6" width="18.5703125" style="26" customWidth="1"/>
    <col min="7" max="7" width="19.140625" style="26" customWidth="1"/>
    <col min="8" max="8" width="9" style="26" customWidth="1"/>
    <col min="9" max="9" width="18.42578125" style="26" bestFit="1" customWidth="1"/>
    <col min="10" max="10" width="9.140625" style="26" customWidth="1"/>
    <col min="11" max="12" width="15.5703125" style="26" bestFit="1" customWidth="1"/>
    <col min="13" max="13" width="21.7109375" style="26" bestFit="1" customWidth="1"/>
    <col min="14" max="14" width="248.140625" style="26" bestFit="1" customWidth="1"/>
    <col min="15" max="16384" width="15.7109375" style="26"/>
  </cols>
  <sheetData>
    <row r="1" spans="1:14" hidden="1" x14ac:dyDescent="0.25">
      <c r="A1" s="268" t="s">
        <v>1130</v>
      </c>
      <c r="B1" s="268" t="s">
        <v>1131</v>
      </c>
      <c r="C1" s="268" t="s">
        <v>72</v>
      </c>
      <c r="D1" s="268" t="s">
        <v>73</v>
      </c>
      <c r="E1" s="268" t="s">
        <v>74</v>
      </c>
      <c r="F1" s="268" t="s">
        <v>75</v>
      </c>
      <c r="G1" s="268" t="s">
        <v>76</v>
      </c>
      <c r="H1" s="268" t="s">
        <v>77</v>
      </c>
      <c r="I1" s="268" t="s">
        <v>139</v>
      </c>
      <c r="J1" s="268" t="s">
        <v>81</v>
      </c>
      <c r="K1" s="268" t="s">
        <v>92</v>
      </c>
      <c r="L1" s="268" t="s">
        <v>93</v>
      </c>
      <c r="M1" s="268" t="s">
        <v>1135</v>
      </c>
      <c r="N1" s="141"/>
    </row>
    <row r="2" spans="1:14" ht="45" customHeight="1" x14ac:dyDescent="0.25">
      <c r="A2" s="486" t="s">
        <v>997</v>
      </c>
      <c r="B2" s="487"/>
      <c r="C2" s="500" t="s">
        <v>606</v>
      </c>
      <c r="D2" s="501"/>
      <c r="E2" s="502"/>
      <c r="F2" s="503" t="s">
        <v>607</v>
      </c>
      <c r="G2" s="503"/>
      <c r="H2" s="503"/>
      <c r="I2" s="500" t="s">
        <v>608</v>
      </c>
      <c r="J2" s="502"/>
      <c r="K2" s="500" t="s">
        <v>599</v>
      </c>
      <c r="L2" s="502"/>
      <c r="M2" s="454" t="s">
        <v>588</v>
      </c>
      <c r="N2" s="498" t="s">
        <v>1</v>
      </c>
    </row>
    <row r="3" spans="1:14" s="47" customFormat="1" ht="30" customHeight="1" x14ac:dyDescent="0.25">
      <c r="A3" s="383" t="s">
        <v>214</v>
      </c>
      <c r="B3" s="383" t="s">
        <v>996</v>
      </c>
      <c r="C3" s="317" t="s">
        <v>601</v>
      </c>
      <c r="D3" s="318" t="s">
        <v>603</v>
      </c>
      <c r="E3" s="318" t="s">
        <v>602</v>
      </c>
      <c r="F3" s="213" t="s">
        <v>388</v>
      </c>
      <c r="G3" s="213" t="s">
        <v>389</v>
      </c>
      <c r="H3" s="213" t="s">
        <v>379</v>
      </c>
      <c r="I3" s="311" t="s">
        <v>390</v>
      </c>
      <c r="J3" s="311" t="s">
        <v>379</v>
      </c>
      <c r="K3" s="311" t="s">
        <v>597</v>
      </c>
      <c r="L3" s="311" t="s">
        <v>598</v>
      </c>
      <c r="M3" s="454"/>
      <c r="N3" s="499"/>
    </row>
    <row r="4" spans="1:14" s="110" customFormat="1" x14ac:dyDescent="0.25">
      <c r="A4" s="142">
        <v>2014</v>
      </c>
      <c r="B4" s="142">
        <v>2013</v>
      </c>
      <c r="C4" s="132">
        <v>0.71</v>
      </c>
      <c r="D4" s="132">
        <v>0.5</v>
      </c>
      <c r="E4" s="133">
        <v>305</v>
      </c>
      <c r="F4" s="147">
        <v>82200</v>
      </c>
      <c r="G4" s="147">
        <v>32900</v>
      </c>
      <c r="H4" s="132">
        <f>34%</f>
        <v>0.34</v>
      </c>
      <c r="I4" s="150">
        <f>15000</f>
        <v>15000</v>
      </c>
      <c r="J4" s="132">
        <f t="shared" ref="J4:J10" si="0">30/100</f>
        <v>0.3</v>
      </c>
      <c r="K4" s="30">
        <v>106225</v>
      </c>
      <c r="L4" s="30">
        <v>10700</v>
      </c>
      <c r="M4" s="161" t="s">
        <v>872</v>
      </c>
      <c r="N4" s="241"/>
    </row>
    <row r="5" spans="1:14" s="110" customFormat="1" x14ac:dyDescent="0.25">
      <c r="A5" s="142">
        <v>2013</v>
      </c>
      <c r="B5" s="142">
        <v>2012</v>
      </c>
      <c r="C5" s="132">
        <v>0.71</v>
      </c>
      <c r="D5" s="132">
        <v>0.5</v>
      </c>
      <c r="E5" s="133">
        <v>305</v>
      </c>
      <c r="F5" s="147">
        <v>81500</v>
      </c>
      <c r="G5" s="147">
        <v>32600</v>
      </c>
      <c r="H5" s="132">
        <f>34%</f>
        <v>0.34</v>
      </c>
      <c r="I5" s="150">
        <f>15000</f>
        <v>15000</v>
      </c>
      <c r="J5" s="132">
        <f t="shared" si="0"/>
        <v>0.3</v>
      </c>
      <c r="K5" s="30">
        <v>106225</v>
      </c>
      <c r="L5" s="30">
        <v>10700</v>
      </c>
      <c r="M5" s="350" t="s">
        <v>834</v>
      </c>
      <c r="N5" s="205" t="s">
        <v>605</v>
      </c>
    </row>
    <row r="6" spans="1:14" s="110" customFormat="1" x14ac:dyDescent="0.25">
      <c r="A6" s="142">
        <v>2012</v>
      </c>
      <c r="B6" s="142">
        <v>2011</v>
      </c>
      <c r="C6" s="132">
        <v>0.71</v>
      </c>
      <c r="D6" s="132">
        <v>0.5</v>
      </c>
      <c r="E6" s="133">
        <v>305</v>
      </c>
      <c r="F6" s="147">
        <v>81500</v>
      </c>
      <c r="G6" s="147">
        <v>32600</v>
      </c>
      <c r="H6" s="132">
        <f>34%</f>
        <v>0.34</v>
      </c>
      <c r="I6" s="150">
        <f>15000</f>
        <v>15000</v>
      </c>
      <c r="J6" s="132">
        <f t="shared" si="0"/>
        <v>0.3</v>
      </c>
      <c r="K6" s="30">
        <v>106225</v>
      </c>
      <c r="L6" s="30">
        <v>10700</v>
      </c>
      <c r="M6" s="163" t="s">
        <v>865</v>
      </c>
    </row>
    <row r="7" spans="1:14" s="50" customFormat="1" x14ac:dyDescent="0.25">
      <c r="A7" s="142">
        <v>2011</v>
      </c>
      <c r="B7" s="142">
        <v>2010</v>
      </c>
      <c r="C7" s="132">
        <v>0.71</v>
      </c>
      <c r="D7" s="132">
        <v>0.5</v>
      </c>
      <c r="E7" s="133">
        <v>305</v>
      </c>
      <c r="F7" s="133">
        <v>80300</v>
      </c>
      <c r="G7" s="133">
        <v>32100</v>
      </c>
      <c r="H7" s="132">
        <f>34%</f>
        <v>0.34</v>
      </c>
      <c r="I7" s="133">
        <f>15000</f>
        <v>15000</v>
      </c>
      <c r="J7" s="132">
        <f t="shared" si="0"/>
        <v>0.3</v>
      </c>
      <c r="K7" s="30">
        <v>104665</v>
      </c>
      <c r="L7" s="30">
        <v>10700</v>
      </c>
      <c r="M7" s="163" t="s">
        <v>835</v>
      </c>
    </row>
    <row r="8" spans="1:14" s="50" customFormat="1" x14ac:dyDescent="0.25">
      <c r="A8" s="142">
        <v>2010</v>
      </c>
      <c r="B8" s="142">
        <v>2009</v>
      </c>
      <c r="C8" s="132">
        <v>0.71</v>
      </c>
      <c r="D8" s="132">
        <v>0.5</v>
      </c>
      <c r="E8" s="133">
        <v>305</v>
      </c>
      <c r="F8" s="133">
        <v>80000</v>
      </c>
      <c r="G8" s="133">
        <v>32000</v>
      </c>
      <c r="H8" s="132">
        <f>34%</f>
        <v>0.34</v>
      </c>
      <c r="I8" s="133">
        <f>15000</f>
        <v>15000</v>
      </c>
      <c r="J8" s="132">
        <f t="shared" si="0"/>
        <v>0.3</v>
      </c>
      <c r="K8" s="30">
        <v>104238</v>
      </c>
      <c r="L8" s="30">
        <v>10700</v>
      </c>
      <c r="M8" s="163" t="s">
        <v>836</v>
      </c>
    </row>
    <row r="9" spans="1:14" s="50" customFormat="1" x14ac:dyDescent="0.25">
      <c r="A9" s="142">
        <v>2008</v>
      </c>
      <c r="B9" s="142">
        <v>2007</v>
      </c>
      <c r="C9" s="132">
        <v>0.71</v>
      </c>
      <c r="D9" s="132">
        <v>0.5</v>
      </c>
      <c r="E9" s="133">
        <v>305</v>
      </c>
      <c r="F9" s="133">
        <v>76300</v>
      </c>
      <c r="G9" s="133">
        <v>27000</v>
      </c>
      <c r="H9" s="132">
        <f>34%</f>
        <v>0.34</v>
      </c>
      <c r="I9" s="133">
        <v>15000</v>
      </c>
      <c r="J9" s="132">
        <f t="shared" si="0"/>
        <v>0.3</v>
      </c>
      <c r="K9" s="30">
        <v>101300</v>
      </c>
      <c r="L9" s="30">
        <v>10700</v>
      </c>
      <c r="M9" s="163" t="s">
        <v>838</v>
      </c>
      <c r="N9" s="148"/>
    </row>
    <row r="10" spans="1:14" s="50" customFormat="1" x14ac:dyDescent="0.25">
      <c r="A10" s="142">
        <v>2007</v>
      </c>
      <c r="B10" s="142">
        <v>2006</v>
      </c>
      <c r="C10" s="132">
        <v>0.71</v>
      </c>
      <c r="D10" s="132">
        <v>0.5</v>
      </c>
      <c r="E10" s="133">
        <v>305</v>
      </c>
      <c r="F10" s="133">
        <v>76300</v>
      </c>
      <c r="G10" s="133">
        <v>27000</v>
      </c>
      <c r="H10" s="132">
        <f>34%</f>
        <v>0.34</v>
      </c>
      <c r="I10" s="133">
        <v>15000</v>
      </c>
      <c r="J10" s="132">
        <f t="shared" si="0"/>
        <v>0.3</v>
      </c>
      <c r="K10" s="30">
        <v>100000</v>
      </c>
      <c r="L10" s="30">
        <v>10700</v>
      </c>
      <c r="M10" s="163" t="s">
        <v>839</v>
      </c>
      <c r="N10" s="148"/>
    </row>
    <row r="11" spans="1:14" s="50" customFormat="1" x14ac:dyDescent="0.25">
      <c r="A11" s="142">
        <v>2005</v>
      </c>
      <c r="B11" s="142">
        <v>2004</v>
      </c>
      <c r="C11" s="132">
        <v>0.72</v>
      </c>
      <c r="D11" s="132">
        <v>0.52</v>
      </c>
      <c r="E11" s="133">
        <v>305</v>
      </c>
      <c r="F11" s="133">
        <v>76300</v>
      </c>
      <c r="G11" s="133">
        <v>27000</v>
      </c>
      <c r="H11" s="132">
        <v>0.37</v>
      </c>
      <c r="I11" s="133">
        <v>15000</v>
      </c>
      <c r="J11" s="132">
        <f t="shared" ref="J11:J15" si="1">40/100</f>
        <v>0.4</v>
      </c>
      <c r="K11" s="30">
        <v>60000</v>
      </c>
      <c r="L11" s="30">
        <v>10700</v>
      </c>
      <c r="M11" s="163" t="s">
        <v>841</v>
      </c>
      <c r="N11" s="148"/>
    </row>
    <row r="12" spans="1:14" s="50" customFormat="1" x14ac:dyDescent="0.25">
      <c r="A12" s="142">
        <v>2003</v>
      </c>
      <c r="B12" s="142">
        <v>2002</v>
      </c>
      <c r="C12" s="132">
        <v>0.72</v>
      </c>
      <c r="D12" s="132">
        <v>0.52</v>
      </c>
      <c r="E12" s="133">
        <v>305</v>
      </c>
      <c r="F12" s="133">
        <v>76300</v>
      </c>
      <c r="G12" s="133">
        <v>27000</v>
      </c>
      <c r="H12" s="132">
        <v>0.37</v>
      </c>
      <c r="I12" s="133">
        <v>15000</v>
      </c>
      <c r="J12" s="132">
        <f t="shared" si="1"/>
        <v>0.4</v>
      </c>
      <c r="K12" s="30">
        <v>53360</v>
      </c>
      <c r="L12" s="30">
        <v>10700</v>
      </c>
      <c r="M12" s="163" t="s">
        <v>843</v>
      </c>
      <c r="N12" s="134"/>
    </row>
    <row r="13" spans="1:14" s="51" customFormat="1" x14ac:dyDescent="0.25">
      <c r="A13" s="142">
        <v>2002</v>
      </c>
      <c r="B13" s="142">
        <v>2001</v>
      </c>
      <c r="C13" s="132">
        <v>0.7</v>
      </c>
      <c r="D13" s="132">
        <v>0.5</v>
      </c>
      <c r="E13" s="133">
        <v>305</v>
      </c>
      <c r="F13" s="133">
        <v>76224.509999999995</v>
      </c>
      <c r="G13" s="133">
        <v>26678.58</v>
      </c>
      <c r="H13" s="132">
        <v>0.35</v>
      </c>
      <c r="I13" s="133">
        <v>15000</v>
      </c>
      <c r="J13" s="132">
        <f t="shared" si="1"/>
        <v>0.4</v>
      </c>
      <c r="K13" s="30">
        <v>53360</v>
      </c>
      <c r="L13" s="30">
        <f>10700</f>
        <v>10700</v>
      </c>
      <c r="M13" s="212" t="s">
        <v>844</v>
      </c>
      <c r="N13" s="148"/>
    </row>
    <row r="14" spans="1:14" s="51" customFormat="1" x14ac:dyDescent="0.25">
      <c r="A14" s="142">
        <v>2001</v>
      </c>
      <c r="B14" s="142">
        <v>2000</v>
      </c>
      <c r="C14" s="132">
        <v>0.7</v>
      </c>
      <c r="D14" s="132">
        <v>0.5</v>
      </c>
      <c r="E14" s="135">
        <v>2000</v>
      </c>
      <c r="F14" s="135">
        <v>500000</v>
      </c>
      <c r="G14" s="135">
        <v>175000</v>
      </c>
      <c r="H14" s="132">
        <v>0.35</v>
      </c>
      <c r="I14" s="135">
        <v>60000</v>
      </c>
      <c r="J14" s="132">
        <f t="shared" si="1"/>
        <v>0.4</v>
      </c>
      <c r="K14" s="35">
        <v>350000</v>
      </c>
      <c r="L14" s="35">
        <f t="shared" ref="L14:L19" si="2">70000</f>
        <v>70000</v>
      </c>
      <c r="M14" s="163" t="s">
        <v>845</v>
      </c>
      <c r="N14" s="148"/>
    </row>
    <row r="15" spans="1:14" s="51" customFormat="1" x14ac:dyDescent="0.25">
      <c r="A15" s="142">
        <v>2000</v>
      </c>
      <c r="B15" s="142">
        <v>1999</v>
      </c>
      <c r="C15" s="132">
        <v>0.7</v>
      </c>
      <c r="D15" s="132">
        <v>0.5</v>
      </c>
      <c r="E15" s="135">
        <v>2000</v>
      </c>
      <c r="F15" s="135">
        <v>500000</v>
      </c>
      <c r="G15" s="135">
        <v>175000</v>
      </c>
      <c r="H15" s="132">
        <v>0.35</v>
      </c>
      <c r="I15" s="135">
        <v>60000</v>
      </c>
      <c r="J15" s="132">
        <f t="shared" si="1"/>
        <v>0.4</v>
      </c>
      <c r="K15" s="35">
        <v>200000</v>
      </c>
      <c r="L15" s="35">
        <f t="shared" si="2"/>
        <v>70000</v>
      </c>
      <c r="M15" s="163" t="s">
        <v>846</v>
      </c>
      <c r="N15" s="205" t="s">
        <v>94</v>
      </c>
    </row>
    <row r="16" spans="1:14" s="51" customFormat="1" x14ac:dyDescent="0.25">
      <c r="A16" s="142">
        <v>1999</v>
      </c>
      <c r="B16" s="142">
        <v>1998</v>
      </c>
      <c r="C16" s="438">
        <v>0.5</v>
      </c>
      <c r="D16" s="438">
        <v>0.5</v>
      </c>
      <c r="E16" s="135">
        <v>2000</v>
      </c>
      <c r="F16" s="437">
        <v>100000</v>
      </c>
      <c r="G16" s="437">
        <v>100000</v>
      </c>
      <c r="H16" s="132">
        <v>0.25</v>
      </c>
      <c r="I16" s="135">
        <v>30000</v>
      </c>
      <c r="J16" s="132">
        <f>0.333333333333333*100%</f>
        <v>0.33333333333333298</v>
      </c>
      <c r="K16" s="35">
        <v>200000</v>
      </c>
      <c r="L16" s="35">
        <f t="shared" si="2"/>
        <v>70000</v>
      </c>
      <c r="M16" s="365" t="s">
        <v>847</v>
      </c>
      <c r="N16" s="173" t="s">
        <v>215</v>
      </c>
    </row>
    <row r="17" spans="1:14" s="51" customFormat="1" x14ac:dyDescent="0.25">
      <c r="A17" s="142">
        <v>1998</v>
      </c>
      <c r="B17" s="142">
        <v>1997</v>
      </c>
      <c r="C17" s="438">
        <v>0.5</v>
      </c>
      <c r="D17" s="438">
        <v>0.5</v>
      </c>
      <c r="E17" s="135">
        <v>2000</v>
      </c>
      <c r="F17" s="437">
        <v>100000</v>
      </c>
      <c r="G17" s="437">
        <v>100000</v>
      </c>
      <c r="H17" s="132">
        <v>0.25</v>
      </c>
      <c r="I17" s="135">
        <v>30000</v>
      </c>
      <c r="J17" s="132">
        <f t="shared" ref="J17" si="3">0.333333333333333*100%</f>
        <v>0.33333333333333298</v>
      </c>
      <c r="K17" s="35">
        <v>200000</v>
      </c>
      <c r="L17" s="35">
        <f t="shared" si="2"/>
        <v>70000</v>
      </c>
      <c r="M17" s="366" t="s">
        <v>848</v>
      </c>
      <c r="N17" s="28" t="s">
        <v>871</v>
      </c>
    </row>
    <row r="18" spans="1:14" s="51" customFormat="1" x14ac:dyDescent="0.25">
      <c r="A18" s="142">
        <v>1997</v>
      </c>
      <c r="B18" s="142">
        <v>1996</v>
      </c>
      <c r="C18" s="438">
        <v>0.5</v>
      </c>
      <c r="D18" s="438">
        <v>0.5</v>
      </c>
      <c r="E18" s="135">
        <v>2000</v>
      </c>
      <c r="F18" s="437">
        <v>100000</v>
      </c>
      <c r="G18" s="437">
        <v>100000</v>
      </c>
      <c r="H18" s="132">
        <v>0.25</v>
      </c>
      <c r="I18" s="178"/>
      <c r="J18" s="179"/>
      <c r="K18" s="35">
        <v>200000</v>
      </c>
      <c r="L18" s="35">
        <f t="shared" si="2"/>
        <v>70000</v>
      </c>
      <c r="M18" s="366" t="s">
        <v>873</v>
      </c>
      <c r="N18" s="148"/>
    </row>
    <row r="19" spans="1:14" s="51" customFormat="1" x14ac:dyDescent="0.25">
      <c r="A19" s="142">
        <v>1996</v>
      </c>
      <c r="B19" s="142">
        <v>1995</v>
      </c>
      <c r="C19" s="438">
        <v>0.5</v>
      </c>
      <c r="D19" s="438">
        <v>0.5</v>
      </c>
      <c r="E19" s="135">
        <v>2000</v>
      </c>
      <c r="F19" s="437">
        <v>70000</v>
      </c>
      <c r="G19" s="437">
        <v>70000</v>
      </c>
      <c r="H19" s="132">
        <v>0.25</v>
      </c>
      <c r="I19" s="178"/>
      <c r="J19" s="179"/>
      <c r="K19" s="35">
        <v>200000</v>
      </c>
      <c r="L19" s="35">
        <f t="shared" si="2"/>
        <v>70000</v>
      </c>
      <c r="M19" s="365" t="s">
        <v>866</v>
      </c>
      <c r="N19" s="148"/>
    </row>
    <row r="20" spans="1:14" x14ac:dyDescent="0.25">
      <c r="A20" s="142">
        <v>1995</v>
      </c>
      <c r="B20" s="142">
        <v>1994</v>
      </c>
      <c r="C20" s="438">
        <v>0.5</v>
      </c>
      <c r="D20" s="438">
        <v>0.5</v>
      </c>
      <c r="E20" s="135">
        <v>2000</v>
      </c>
      <c r="F20" s="437">
        <v>70000</v>
      </c>
      <c r="G20" s="437">
        <v>70000</v>
      </c>
      <c r="H20" s="132">
        <v>0.25</v>
      </c>
      <c r="I20" s="178"/>
      <c r="J20" s="179"/>
      <c r="K20" s="35">
        <v>150000</v>
      </c>
      <c r="L20" s="35">
        <f>50000</f>
        <v>50000</v>
      </c>
      <c r="M20" s="343" t="s">
        <v>850</v>
      </c>
      <c r="N20" s="148"/>
    </row>
    <row r="21" spans="1:14" x14ac:dyDescent="0.25">
      <c r="A21" s="142">
        <v>1994</v>
      </c>
      <c r="B21" s="142">
        <v>1993</v>
      </c>
      <c r="C21" s="438">
        <v>0.5</v>
      </c>
      <c r="D21" s="438">
        <v>0.5</v>
      </c>
      <c r="E21" s="27" t="s">
        <v>287</v>
      </c>
      <c r="F21" s="437">
        <v>70000</v>
      </c>
      <c r="G21" s="437">
        <v>70000</v>
      </c>
      <c r="H21" s="132">
        <v>0.25</v>
      </c>
      <c r="I21" s="179"/>
      <c r="J21" s="180"/>
      <c r="K21" s="27" t="s">
        <v>241</v>
      </c>
      <c r="L21" s="27" t="s">
        <v>243</v>
      </c>
      <c r="M21" s="365" t="s">
        <v>851</v>
      </c>
      <c r="N21" s="356"/>
    </row>
    <row r="22" spans="1:14" x14ac:dyDescent="0.25">
      <c r="A22" s="142">
        <v>1993</v>
      </c>
      <c r="B22" s="142">
        <v>1992</v>
      </c>
      <c r="C22" s="438">
        <v>0.5</v>
      </c>
      <c r="D22" s="438">
        <v>0.5</v>
      </c>
      <c r="E22" s="27" t="s">
        <v>287</v>
      </c>
      <c r="F22" s="437">
        <v>70000</v>
      </c>
      <c r="G22" s="437">
        <v>70000</v>
      </c>
      <c r="H22" s="132">
        <v>0.25</v>
      </c>
      <c r="I22" s="181"/>
      <c r="J22" s="181"/>
      <c r="K22" s="27" t="s">
        <v>241</v>
      </c>
      <c r="L22" s="75" t="s">
        <v>243</v>
      </c>
      <c r="M22" s="365" t="s">
        <v>874</v>
      </c>
      <c r="N22" s="343"/>
    </row>
    <row r="23" spans="1:14" x14ac:dyDescent="0.25">
      <c r="A23" s="142">
        <v>1992</v>
      </c>
      <c r="B23" s="142">
        <v>1991</v>
      </c>
      <c r="C23" s="438">
        <v>0.5</v>
      </c>
      <c r="D23" s="438">
        <v>0.5</v>
      </c>
      <c r="E23" s="27" t="s">
        <v>287</v>
      </c>
      <c r="F23" s="437">
        <v>70000</v>
      </c>
      <c r="G23" s="437">
        <v>70000</v>
      </c>
      <c r="H23" s="132">
        <v>0.25</v>
      </c>
      <c r="I23" s="181"/>
      <c r="J23" s="181"/>
      <c r="K23" s="27" t="s">
        <v>241</v>
      </c>
      <c r="L23" s="139"/>
      <c r="M23" s="365" t="s">
        <v>853</v>
      </c>
      <c r="N23" s="356"/>
    </row>
    <row r="24" spans="1:14" x14ac:dyDescent="0.25">
      <c r="A24" s="142">
        <v>1991</v>
      </c>
      <c r="B24" s="142">
        <v>1990</v>
      </c>
      <c r="C24" s="139"/>
      <c r="D24" s="139"/>
      <c r="E24" s="139"/>
      <c r="F24" s="139"/>
      <c r="G24" s="139"/>
      <c r="H24" s="139"/>
      <c r="I24" s="181"/>
      <c r="J24" s="181"/>
      <c r="K24" s="27" t="s">
        <v>241</v>
      </c>
      <c r="L24" s="139"/>
      <c r="M24" s="365" t="s">
        <v>854</v>
      </c>
      <c r="N24" s="356"/>
    </row>
    <row r="25" spans="1:14" x14ac:dyDescent="0.25">
      <c r="A25" s="142">
        <v>1990</v>
      </c>
      <c r="B25" s="142">
        <v>1989</v>
      </c>
      <c r="C25" s="139"/>
      <c r="D25" s="139"/>
      <c r="E25" s="139"/>
      <c r="F25" s="139"/>
      <c r="G25" s="139"/>
      <c r="H25" s="139"/>
      <c r="I25" s="181"/>
      <c r="J25" s="181"/>
      <c r="K25" s="27" t="s">
        <v>241</v>
      </c>
      <c r="L25" s="139"/>
      <c r="M25" s="365" t="s">
        <v>855</v>
      </c>
      <c r="N25" s="356"/>
    </row>
    <row r="26" spans="1:14" x14ac:dyDescent="0.25">
      <c r="A26" s="142">
        <v>1989</v>
      </c>
      <c r="B26" s="142">
        <v>1988</v>
      </c>
      <c r="C26" s="139"/>
      <c r="D26" s="139"/>
      <c r="E26" s="139"/>
      <c r="F26" s="139"/>
      <c r="G26" s="139"/>
      <c r="H26" s="139"/>
      <c r="I26" s="181"/>
      <c r="J26" s="181"/>
      <c r="K26" s="27" t="s">
        <v>242</v>
      </c>
      <c r="L26" s="139"/>
      <c r="M26" s="365" t="s">
        <v>856</v>
      </c>
      <c r="N26" s="356"/>
    </row>
    <row r="27" spans="1:14" x14ac:dyDescent="0.25">
      <c r="A27" s="142">
        <v>1988</v>
      </c>
      <c r="B27" s="142">
        <v>1987</v>
      </c>
      <c r="C27" s="139"/>
      <c r="D27" s="139"/>
      <c r="E27" s="139"/>
      <c r="F27" s="139"/>
      <c r="G27" s="139"/>
      <c r="H27" s="139"/>
      <c r="I27" s="181"/>
      <c r="J27" s="181"/>
      <c r="K27" s="27" t="s">
        <v>288</v>
      </c>
      <c r="L27" s="139"/>
      <c r="M27" s="365" t="s">
        <v>857</v>
      </c>
      <c r="N27" s="356"/>
    </row>
    <row r="28" spans="1:14" x14ac:dyDescent="0.25">
      <c r="A28" s="142">
        <v>1987</v>
      </c>
      <c r="B28" s="142">
        <v>1986</v>
      </c>
      <c r="C28" s="139"/>
      <c r="D28" s="139"/>
      <c r="E28" s="139"/>
      <c r="F28" s="139"/>
      <c r="G28" s="139"/>
      <c r="H28" s="139"/>
      <c r="I28" s="181"/>
      <c r="J28" s="181"/>
      <c r="K28" s="27" t="s">
        <v>288</v>
      </c>
      <c r="L28" s="139"/>
      <c r="M28" s="365" t="s">
        <v>858</v>
      </c>
      <c r="N28" s="356"/>
    </row>
    <row r="29" spans="1:14" x14ac:dyDescent="0.25">
      <c r="A29" s="142">
        <v>1986</v>
      </c>
      <c r="B29" s="142">
        <v>1985</v>
      </c>
      <c r="C29" s="139"/>
      <c r="D29" s="139"/>
      <c r="E29" s="139"/>
      <c r="F29" s="139"/>
      <c r="G29" s="139"/>
      <c r="H29" s="139"/>
      <c r="I29" s="181"/>
      <c r="J29" s="181"/>
      <c r="K29" s="27" t="s">
        <v>288</v>
      </c>
      <c r="L29" s="139"/>
      <c r="M29" s="365" t="s">
        <v>859</v>
      </c>
      <c r="N29" s="356"/>
    </row>
    <row r="30" spans="1:14" x14ac:dyDescent="0.25">
      <c r="A30" s="142">
        <v>1985</v>
      </c>
      <c r="B30" s="142">
        <v>1984</v>
      </c>
      <c r="C30" s="139"/>
      <c r="D30" s="139"/>
      <c r="E30" s="139"/>
      <c r="F30" s="139"/>
      <c r="G30" s="139"/>
      <c r="H30" s="139"/>
      <c r="I30" s="181"/>
      <c r="J30" s="181"/>
      <c r="K30" s="27" t="s">
        <v>288</v>
      </c>
      <c r="L30" s="139"/>
      <c r="M30" s="365" t="s">
        <v>860</v>
      </c>
      <c r="N30" s="356"/>
    </row>
    <row r="31" spans="1:14" x14ac:dyDescent="0.25">
      <c r="A31" s="142">
        <v>1984</v>
      </c>
      <c r="B31" s="142">
        <v>1983</v>
      </c>
      <c r="C31" s="139"/>
      <c r="D31" s="139"/>
      <c r="E31" s="139"/>
      <c r="F31" s="139"/>
      <c r="G31" s="139"/>
      <c r="H31" s="139"/>
      <c r="I31" s="181"/>
      <c r="J31" s="181"/>
      <c r="K31" s="27" t="s">
        <v>288</v>
      </c>
      <c r="L31" s="139"/>
      <c r="M31" s="365" t="s">
        <v>861</v>
      </c>
      <c r="N31" s="356"/>
    </row>
    <row r="32" spans="1:14" x14ac:dyDescent="0.25">
      <c r="A32" s="142">
        <v>1983</v>
      </c>
      <c r="B32" s="142">
        <v>1982</v>
      </c>
      <c r="C32" s="139"/>
      <c r="D32" s="139"/>
      <c r="E32" s="139"/>
      <c r="F32" s="139"/>
      <c r="G32" s="139"/>
      <c r="H32" s="139"/>
      <c r="I32" s="181"/>
      <c r="J32" s="181"/>
      <c r="K32" s="27" t="s">
        <v>288</v>
      </c>
      <c r="L32" s="139"/>
      <c r="M32" s="365" t="s">
        <v>862</v>
      </c>
      <c r="N32" s="356"/>
    </row>
    <row r="33" spans="1:14" x14ac:dyDescent="0.25">
      <c r="A33" s="142">
        <v>1982</v>
      </c>
      <c r="B33" s="142">
        <v>1981</v>
      </c>
      <c r="C33" s="139"/>
      <c r="D33" s="139"/>
      <c r="E33" s="139"/>
      <c r="F33" s="139"/>
      <c r="G33" s="139"/>
      <c r="H33" s="139"/>
      <c r="I33" s="181"/>
      <c r="J33" s="181"/>
      <c r="K33" s="27" t="s">
        <v>288</v>
      </c>
      <c r="L33" s="139"/>
      <c r="M33" s="371" t="s">
        <v>863</v>
      </c>
      <c r="N33" s="356"/>
    </row>
    <row r="34" spans="1:14" x14ac:dyDescent="0.25">
      <c r="A34" s="142">
        <v>1981</v>
      </c>
      <c r="B34" s="142">
        <v>1980</v>
      </c>
      <c r="C34" s="139"/>
      <c r="D34" s="139"/>
      <c r="E34" s="139"/>
      <c r="F34" s="139"/>
      <c r="G34" s="139"/>
      <c r="H34" s="139"/>
      <c r="I34" s="181"/>
      <c r="J34" s="181"/>
      <c r="K34" s="27" t="s">
        <v>288</v>
      </c>
      <c r="L34" s="139"/>
      <c r="M34" s="371" t="s">
        <v>864</v>
      </c>
      <c r="N34" s="356"/>
    </row>
    <row r="35" spans="1:14" x14ac:dyDescent="0.25">
      <c r="A35" s="142">
        <v>1980</v>
      </c>
      <c r="B35" s="142">
        <v>1979</v>
      </c>
      <c r="C35" s="139"/>
      <c r="D35" s="139"/>
      <c r="E35" s="139"/>
      <c r="F35" s="139"/>
      <c r="G35" s="139"/>
      <c r="H35" s="139"/>
      <c r="I35" s="181"/>
      <c r="J35" s="181"/>
      <c r="K35" s="27" t="s">
        <v>288</v>
      </c>
      <c r="L35" s="139"/>
      <c r="M35" s="371" t="s">
        <v>875</v>
      </c>
      <c r="N35" s="136"/>
    </row>
    <row r="37" spans="1:14" x14ac:dyDescent="0.25">
      <c r="C37" s="289" t="s">
        <v>511</v>
      </c>
    </row>
    <row r="38" spans="1:14" x14ac:dyDescent="0.25">
      <c r="C38" s="312" t="s">
        <v>609</v>
      </c>
    </row>
    <row r="39" spans="1:14" x14ac:dyDescent="0.25">
      <c r="C39" s="312" t="s">
        <v>604</v>
      </c>
    </row>
    <row r="40" spans="1:14" x14ac:dyDescent="0.25">
      <c r="C40" s="312" t="s">
        <v>600</v>
      </c>
    </row>
    <row r="41" spans="1:14" x14ac:dyDescent="0.25">
      <c r="C41" s="312" t="s">
        <v>595</v>
      </c>
    </row>
    <row r="42" spans="1:14" x14ac:dyDescent="0.25">
      <c r="C42" s="312" t="s">
        <v>596</v>
      </c>
    </row>
    <row r="43" spans="1:14" x14ac:dyDescent="0.25">
      <c r="C43" s="312"/>
    </row>
    <row r="45" spans="1:14" x14ac:dyDescent="0.25">
      <c r="C45" s="316"/>
    </row>
    <row r="53" spans="1:2" x14ac:dyDescent="0.25">
      <c r="A53" s="52"/>
      <c r="B53" s="52"/>
    </row>
    <row r="54" spans="1:2" x14ac:dyDescent="0.25">
      <c r="A54" s="52"/>
      <c r="B54" s="52"/>
    </row>
    <row r="55" spans="1:2" x14ac:dyDescent="0.25">
      <c r="A55" s="52"/>
      <c r="B55" s="52"/>
    </row>
    <row r="56" spans="1:2" x14ac:dyDescent="0.25">
      <c r="A56" s="52"/>
      <c r="B56" s="52"/>
    </row>
    <row r="57" spans="1:2" x14ac:dyDescent="0.25">
      <c r="A57" s="52"/>
      <c r="B57" s="52"/>
    </row>
  </sheetData>
  <mergeCells count="7">
    <mergeCell ref="A2:B2"/>
    <mergeCell ref="M2:M3"/>
    <mergeCell ref="N2:N3"/>
    <mergeCell ref="C2:E2"/>
    <mergeCell ref="K2:L2"/>
    <mergeCell ref="F2:H2"/>
    <mergeCell ref="I2:J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zoomScale="85" zoomScaleNormal="85" workbookViewId="0">
      <pane xSplit="2" ySplit="1" topLeftCell="C29" activePane="bottomRight" state="frozen"/>
      <selection activeCell="C3" sqref="C3:E3"/>
      <selection pane="topRight" activeCell="C3" sqref="C3:E3"/>
      <selection pane="bottomLeft" activeCell="C3" sqref="C3:E3"/>
      <selection pane="bottomRight" activeCell="C56" sqref="C56"/>
    </sheetView>
  </sheetViews>
  <sheetFormatPr baseColWidth="10" defaultColWidth="15.7109375" defaultRowHeight="15" x14ac:dyDescent="0.25"/>
  <cols>
    <col min="1" max="1" width="7.42578125" style="26" bestFit="1" customWidth="1"/>
    <col min="2" max="2" width="12.7109375" style="26" bestFit="1" customWidth="1"/>
    <col min="3" max="3" width="22.42578125" style="26" customWidth="1"/>
    <col min="4" max="4" width="15.7109375" style="26"/>
    <col min="5" max="15" width="18.5703125" style="26" customWidth="1"/>
    <col min="16" max="16" width="21.28515625" style="26" customWidth="1"/>
    <col min="17" max="17" width="18.5703125" style="26" customWidth="1"/>
    <col min="18" max="18" width="21.42578125" style="26" customWidth="1"/>
    <col min="19" max="19" width="21.5703125" style="26" customWidth="1"/>
    <col min="20" max="21" width="18.5703125" style="26" customWidth="1"/>
    <col min="22" max="22" width="21.7109375" style="26" bestFit="1" customWidth="1"/>
    <col min="23" max="23" width="126.5703125" style="26" customWidth="1"/>
    <col min="24" max="16384" width="15.7109375" style="26"/>
  </cols>
  <sheetData>
    <row r="1" spans="1:23" s="174" customFormat="1" hidden="1" x14ac:dyDescent="0.25">
      <c r="A1" s="269" t="s">
        <v>1130</v>
      </c>
      <c r="B1" s="269" t="s">
        <v>1131</v>
      </c>
      <c r="C1" s="262" t="s">
        <v>55</v>
      </c>
      <c r="D1" s="262" t="s">
        <v>45</v>
      </c>
      <c r="E1" s="262" t="s">
        <v>103</v>
      </c>
      <c r="F1" s="262" t="s">
        <v>104</v>
      </c>
      <c r="G1" s="264" t="s">
        <v>144</v>
      </c>
      <c r="H1" s="264" t="s">
        <v>145</v>
      </c>
      <c r="I1" s="262" t="s">
        <v>140</v>
      </c>
      <c r="J1" s="262" t="s">
        <v>141</v>
      </c>
      <c r="K1" s="262" t="s">
        <v>142</v>
      </c>
      <c r="L1" s="262" t="s">
        <v>146</v>
      </c>
      <c r="M1" s="262" t="s">
        <v>147</v>
      </c>
      <c r="N1" s="262" t="s">
        <v>1136</v>
      </c>
      <c r="O1" s="262" t="s">
        <v>1156</v>
      </c>
      <c r="P1" s="262" t="s">
        <v>1157</v>
      </c>
      <c r="Q1" s="262" t="s">
        <v>156</v>
      </c>
      <c r="R1" s="262" t="s">
        <v>155</v>
      </c>
      <c r="S1" s="262" t="s">
        <v>149</v>
      </c>
      <c r="T1" s="262" t="s">
        <v>148</v>
      </c>
      <c r="U1" s="262" t="s">
        <v>150</v>
      </c>
      <c r="V1" s="426" t="s">
        <v>1135</v>
      </c>
      <c r="W1" s="141"/>
    </row>
    <row r="2" spans="1:23" s="174" customFormat="1" ht="60" x14ac:dyDescent="0.25">
      <c r="A2" s="486" t="s">
        <v>997</v>
      </c>
      <c r="B2" s="487"/>
      <c r="C2" s="308" t="s">
        <v>392</v>
      </c>
      <c r="D2" s="308" t="s">
        <v>393</v>
      </c>
      <c r="E2" s="493" t="s">
        <v>589</v>
      </c>
      <c r="F2" s="493"/>
      <c r="G2" s="506" t="s">
        <v>590</v>
      </c>
      <c r="H2" s="506"/>
      <c r="I2" s="507" t="s">
        <v>397</v>
      </c>
      <c r="J2" s="507"/>
      <c r="K2" s="307" t="s">
        <v>408</v>
      </c>
      <c r="L2" s="492" t="s">
        <v>398</v>
      </c>
      <c r="M2" s="492"/>
      <c r="N2" s="307" t="s">
        <v>401</v>
      </c>
      <c r="O2" s="492" t="s">
        <v>402</v>
      </c>
      <c r="P2" s="492"/>
      <c r="Q2" s="492" t="s">
        <v>404</v>
      </c>
      <c r="R2" s="492"/>
      <c r="S2" s="506" t="s">
        <v>406</v>
      </c>
      <c r="T2" s="506"/>
      <c r="U2" s="307" t="s">
        <v>407</v>
      </c>
      <c r="V2" s="504" t="s">
        <v>588</v>
      </c>
      <c r="W2" s="498" t="s">
        <v>1</v>
      </c>
    </row>
    <row r="3" spans="1:23" s="47" customFormat="1" ht="30" x14ac:dyDescent="0.25">
      <c r="A3" s="383" t="s">
        <v>214</v>
      </c>
      <c r="B3" s="383" t="s">
        <v>996</v>
      </c>
      <c r="C3" s="308" t="s">
        <v>391</v>
      </c>
      <c r="D3" s="308" t="s">
        <v>391</v>
      </c>
      <c r="E3" s="308" t="s">
        <v>394</v>
      </c>
      <c r="F3" s="307" t="s">
        <v>395</v>
      </c>
      <c r="G3" s="311" t="s">
        <v>396</v>
      </c>
      <c r="H3" s="311" t="s">
        <v>591</v>
      </c>
      <c r="I3" s="307" t="s">
        <v>391</v>
      </c>
      <c r="J3" s="307" t="s">
        <v>379</v>
      </c>
      <c r="K3" s="307" t="s">
        <v>391</v>
      </c>
      <c r="L3" s="307" t="s">
        <v>399</v>
      </c>
      <c r="M3" s="307" t="s">
        <v>400</v>
      </c>
      <c r="N3" s="307" t="s">
        <v>391</v>
      </c>
      <c r="O3" s="307" t="s">
        <v>391</v>
      </c>
      <c r="P3" s="311" t="s">
        <v>445</v>
      </c>
      <c r="Q3" s="307" t="s">
        <v>391</v>
      </c>
      <c r="R3" s="307" t="s">
        <v>405</v>
      </c>
      <c r="S3" s="311" t="s">
        <v>591</v>
      </c>
      <c r="T3" s="311" t="s">
        <v>391</v>
      </c>
      <c r="U3" s="311" t="s">
        <v>391</v>
      </c>
      <c r="V3" s="505"/>
      <c r="W3" s="499"/>
    </row>
    <row r="4" spans="1:23" s="110" customFormat="1" ht="15" customHeight="1" x14ac:dyDescent="0.25">
      <c r="A4" s="142">
        <v>2014</v>
      </c>
      <c r="B4" s="142">
        <v>2013</v>
      </c>
      <c r="C4" s="30">
        <v>3359</v>
      </c>
      <c r="D4" s="133">
        <v>5698</v>
      </c>
      <c r="E4" s="133">
        <v>3638</v>
      </c>
      <c r="F4" s="133">
        <f>29098</f>
        <v>29098</v>
      </c>
      <c r="G4" s="116"/>
      <c r="H4" s="116"/>
      <c r="I4" s="125"/>
      <c r="J4" s="125"/>
      <c r="K4" s="125"/>
      <c r="L4" s="125"/>
      <c r="M4" s="125"/>
      <c r="N4" s="125"/>
      <c r="O4" s="125"/>
      <c r="P4" s="125"/>
      <c r="Q4" s="125"/>
      <c r="R4" s="125"/>
      <c r="S4" s="125"/>
      <c r="T4" s="125"/>
      <c r="U4" s="59">
        <v>25000</v>
      </c>
      <c r="V4" s="161" t="s">
        <v>872</v>
      </c>
    </row>
    <row r="5" spans="1:23" s="110" customFormat="1" x14ac:dyDescent="0.25">
      <c r="A5" s="142">
        <v>2012</v>
      </c>
      <c r="B5" s="142">
        <v>2011</v>
      </c>
      <c r="C5" s="30">
        <v>3359</v>
      </c>
      <c r="D5" s="133">
        <v>5698</v>
      </c>
      <c r="E5" s="133">
        <f>F5/8</f>
        <v>3637.125</v>
      </c>
      <c r="F5" s="133">
        <f>29097</f>
        <v>29097</v>
      </c>
      <c r="G5" s="116"/>
      <c r="H5" s="116"/>
      <c r="I5" s="125"/>
      <c r="J5" s="125"/>
      <c r="K5" s="125"/>
      <c r="L5" s="125"/>
      <c r="M5" s="125"/>
      <c r="N5" s="125"/>
      <c r="O5" s="125"/>
      <c r="P5" s="125"/>
      <c r="Q5" s="125"/>
      <c r="R5" s="125"/>
      <c r="S5" s="125"/>
      <c r="T5" s="125"/>
      <c r="U5" s="59">
        <v>25000</v>
      </c>
      <c r="V5" s="163" t="s">
        <v>865</v>
      </c>
    </row>
    <row r="6" spans="1:23" s="50" customFormat="1" x14ac:dyDescent="0.25">
      <c r="A6" s="142">
        <v>2011</v>
      </c>
      <c r="B6" s="142">
        <v>2010</v>
      </c>
      <c r="C6" s="30">
        <v>3359</v>
      </c>
      <c r="D6" s="133">
        <v>5698</v>
      </c>
      <c r="E6" s="133">
        <f>F6/8</f>
        <v>3535.2000000000003</v>
      </c>
      <c r="F6" s="133">
        <v>28281.600000000002</v>
      </c>
      <c r="G6" s="131"/>
      <c r="H6" s="146"/>
      <c r="I6" s="81"/>
      <c r="J6" s="103"/>
      <c r="K6" s="81"/>
      <c r="L6" s="81"/>
      <c r="M6" s="81"/>
      <c r="N6" s="81"/>
      <c r="O6" s="81"/>
      <c r="P6" s="103"/>
      <c r="Q6" s="103"/>
      <c r="R6" s="103"/>
      <c r="S6" s="103"/>
      <c r="T6" s="81"/>
      <c r="U6" s="59">
        <v>25000</v>
      </c>
      <c r="V6" s="163" t="s">
        <v>835</v>
      </c>
    </row>
    <row r="7" spans="1:23" s="50" customFormat="1" x14ac:dyDescent="0.25">
      <c r="A7" s="142">
        <v>2010</v>
      </c>
      <c r="B7" s="142">
        <v>2009</v>
      </c>
      <c r="C7" s="30">
        <v>3309</v>
      </c>
      <c r="D7" s="133">
        <v>5753</v>
      </c>
      <c r="E7" s="133">
        <f>F7/8</f>
        <v>3462</v>
      </c>
      <c r="F7" s="133">
        <v>27696</v>
      </c>
      <c r="G7" s="131"/>
      <c r="H7" s="146"/>
      <c r="I7" s="81"/>
      <c r="J7" s="103"/>
      <c r="K7" s="81"/>
      <c r="L7" s="81"/>
      <c r="M7" s="81"/>
      <c r="N7" s="81"/>
      <c r="O7" s="81"/>
      <c r="P7" s="103"/>
      <c r="Q7" s="103"/>
      <c r="R7" s="103"/>
      <c r="S7" s="103"/>
      <c r="T7" s="81"/>
      <c r="U7" s="59">
        <v>25000</v>
      </c>
      <c r="V7" s="163" t="s">
        <v>836</v>
      </c>
    </row>
    <row r="8" spans="1:23" s="50" customFormat="1" x14ac:dyDescent="0.25">
      <c r="A8" s="142">
        <v>2009</v>
      </c>
      <c r="B8" s="142">
        <v>2008</v>
      </c>
      <c r="C8" s="30">
        <v>3296</v>
      </c>
      <c r="D8" s="133">
        <v>5729</v>
      </c>
      <c r="E8" s="133">
        <f>F8/8</f>
        <v>3430.8</v>
      </c>
      <c r="F8" s="133">
        <v>27446.400000000001</v>
      </c>
      <c r="G8" s="131"/>
      <c r="H8" s="146"/>
      <c r="I8" s="81"/>
      <c r="J8" s="103"/>
      <c r="K8" s="81"/>
      <c r="L8" s="81"/>
      <c r="M8" s="81"/>
      <c r="N8" s="81"/>
      <c r="O8" s="81"/>
      <c r="P8" s="103"/>
      <c r="Q8" s="103"/>
      <c r="R8" s="103"/>
      <c r="S8" s="100">
        <v>0.25</v>
      </c>
      <c r="T8" s="59">
        <v>20000</v>
      </c>
      <c r="U8" s="81"/>
      <c r="V8" s="163" t="s">
        <v>837</v>
      </c>
    </row>
    <row r="9" spans="1:23" s="50" customFormat="1" x14ac:dyDescent="0.25">
      <c r="A9" s="142">
        <v>2008</v>
      </c>
      <c r="B9" s="142">
        <v>2007</v>
      </c>
      <c r="C9" s="133">
        <v>3203</v>
      </c>
      <c r="D9" s="133">
        <v>5568</v>
      </c>
      <c r="E9" s="133">
        <f t="shared" ref="E9:E11" si="0">F9/8</f>
        <v>3327.6000000000004</v>
      </c>
      <c r="F9" s="133">
        <v>26620.800000000003</v>
      </c>
      <c r="G9" s="131"/>
      <c r="H9" s="146"/>
      <c r="I9" s="81"/>
      <c r="J9" s="103"/>
      <c r="K9" s="81"/>
      <c r="L9" s="81"/>
      <c r="M9" s="81"/>
      <c r="N9" s="81"/>
      <c r="O9" s="81"/>
      <c r="P9" s="103"/>
      <c r="Q9" s="103"/>
      <c r="R9" s="103"/>
      <c r="S9" s="100">
        <v>0.25</v>
      </c>
      <c r="T9" s="59">
        <v>20000</v>
      </c>
      <c r="U9" s="81"/>
      <c r="V9" s="163" t="s">
        <v>838</v>
      </c>
    </row>
    <row r="10" spans="1:23" s="50" customFormat="1" x14ac:dyDescent="0.25">
      <c r="A10" s="142">
        <v>2007</v>
      </c>
      <c r="B10" s="142">
        <v>2006</v>
      </c>
      <c r="C10" s="133">
        <v>3162</v>
      </c>
      <c r="D10" s="133">
        <v>5495</v>
      </c>
      <c r="E10" s="133">
        <f t="shared" si="0"/>
        <v>3218.4</v>
      </c>
      <c r="F10" s="133">
        <v>25747.200000000001</v>
      </c>
      <c r="G10" s="131"/>
      <c r="H10" s="146"/>
      <c r="I10" s="81"/>
      <c r="J10" s="103"/>
      <c r="K10" s="81"/>
      <c r="L10" s="30">
        <v>15250</v>
      </c>
      <c r="M10" s="30">
        <v>30000</v>
      </c>
      <c r="N10" s="104"/>
      <c r="O10" s="59">
        <v>19000</v>
      </c>
      <c r="P10" s="31">
        <v>0.25</v>
      </c>
      <c r="Q10" s="103"/>
      <c r="R10" s="103"/>
      <c r="S10" s="103"/>
      <c r="T10" s="103"/>
      <c r="U10" s="103"/>
      <c r="V10" s="163" t="s">
        <v>839</v>
      </c>
      <c r="W10" s="312" t="s">
        <v>617</v>
      </c>
    </row>
    <row r="11" spans="1:23" s="50" customFormat="1" x14ac:dyDescent="0.25">
      <c r="A11" s="142">
        <v>2006</v>
      </c>
      <c r="B11" s="142">
        <v>2005</v>
      </c>
      <c r="C11" s="133">
        <v>3106</v>
      </c>
      <c r="D11" s="133">
        <v>4489</v>
      </c>
      <c r="E11" s="133">
        <f t="shared" si="0"/>
        <v>3106.8</v>
      </c>
      <c r="F11" s="133">
        <v>24854.400000000001</v>
      </c>
      <c r="G11" s="133">
        <v>18000</v>
      </c>
      <c r="H11" s="132">
        <v>0.25</v>
      </c>
      <c r="I11" s="81"/>
      <c r="J11" s="103"/>
      <c r="K11" s="81"/>
      <c r="L11" s="30">
        <v>15250</v>
      </c>
      <c r="M11" s="30">
        <v>30000</v>
      </c>
      <c r="N11" s="99" t="s">
        <v>1181</v>
      </c>
      <c r="O11" s="59">
        <v>19000</v>
      </c>
      <c r="P11" s="31">
        <v>0.25</v>
      </c>
      <c r="Q11" s="103"/>
      <c r="R11" s="103"/>
      <c r="S11" s="103"/>
      <c r="T11" s="103"/>
      <c r="U11" s="103"/>
      <c r="V11" s="163" t="s">
        <v>840</v>
      </c>
    </row>
    <row r="12" spans="1:23" s="50" customFormat="1" x14ac:dyDescent="0.25">
      <c r="A12" s="142">
        <v>2005</v>
      </c>
      <c r="B12" s="142">
        <v>2004</v>
      </c>
      <c r="C12" s="133">
        <v>3051</v>
      </c>
      <c r="D12" s="133">
        <v>4410</v>
      </c>
      <c r="E12" s="133">
        <f>F12/8</f>
        <v>3019.2000000000003</v>
      </c>
      <c r="F12" s="133">
        <v>24153.600000000002</v>
      </c>
      <c r="G12" s="133">
        <v>18000</v>
      </c>
      <c r="H12" s="132">
        <v>0.25</v>
      </c>
      <c r="I12" s="81"/>
      <c r="J12" s="103"/>
      <c r="K12" s="81"/>
      <c r="L12" s="30">
        <v>15250</v>
      </c>
      <c r="M12" s="30">
        <v>30000</v>
      </c>
      <c r="N12" s="99" t="s">
        <v>1181</v>
      </c>
      <c r="O12" s="59">
        <v>19000</v>
      </c>
      <c r="P12" s="31">
        <v>0.25</v>
      </c>
      <c r="Q12" s="103"/>
      <c r="R12" s="103"/>
      <c r="S12" s="103"/>
      <c r="T12" s="103"/>
      <c r="U12" s="103"/>
      <c r="V12" s="163" t="s">
        <v>841</v>
      </c>
    </row>
    <row r="13" spans="1:23" s="108" customFormat="1" x14ac:dyDescent="0.25">
      <c r="A13" s="142">
        <v>2004</v>
      </c>
      <c r="B13" s="142">
        <v>2003</v>
      </c>
      <c r="C13" s="30">
        <v>3000</v>
      </c>
      <c r="D13" s="30">
        <v>4338</v>
      </c>
      <c r="E13" s="81"/>
      <c r="F13" s="81"/>
      <c r="G13" s="30">
        <v>18000</v>
      </c>
      <c r="H13" s="31">
        <v>0.25</v>
      </c>
      <c r="I13" s="105"/>
      <c r="J13" s="106"/>
      <c r="K13" s="81"/>
      <c r="L13" s="59">
        <v>15250</v>
      </c>
      <c r="M13" s="30">
        <v>30000</v>
      </c>
      <c r="N13" s="99" t="s">
        <v>1181</v>
      </c>
      <c r="O13" s="59">
        <v>19000</v>
      </c>
      <c r="P13" s="132">
        <v>0.25</v>
      </c>
      <c r="Q13" s="106"/>
      <c r="R13" s="106"/>
      <c r="S13" s="106"/>
      <c r="T13" s="106"/>
      <c r="U13" s="106"/>
      <c r="V13" s="163" t="s">
        <v>842</v>
      </c>
      <c r="W13" s="312" t="s">
        <v>621</v>
      </c>
    </row>
    <row r="14" spans="1:23" s="108" customFormat="1" x14ac:dyDescent="0.25">
      <c r="A14" s="142">
        <v>2003</v>
      </c>
      <c r="B14" s="142">
        <v>2002</v>
      </c>
      <c r="C14" s="30">
        <v>2862</v>
      </c>
      <c r="D14" s="30">
        <v>4137</v>
      </c>
      <c r="E14" s="81"/>
      <c r="F14" s="81" t="s">
        <v>315</v>
      </c>
      <c r="G14" s="30">
        <v>18000</v>
      </c>
      <c r="H14" s="31">
        <v>0.25</v>
      </c>
      <c r="I14" s="105"/>
      <c r="J14" s="106"/>
      <c r="K14" s="81"/>
      <c r="L14" s="59">
        <v>15250</v>
      </c>
      <c r="M14" s="105"/>
      <c r="N14" s="99" t="s">
        <v>1181</v>
      </c>
      <c r="O14" s="59">
        <v>19000</v>
      </c>
      <c r="P14" s="132">
        <v>0.25</v>
      </c>
      <c r="Q14" s="106"/>
      <c r="R14" s="106"/>
      <c r="S14" s="106"/>
      <c r="T14" s="106"/>
      <c r="U14" s="106"/>
      <c r="V14" s="163" t="s">
        <v>843</v>
      </c>
      <c r="W14" s="107"/>
    </row>
    <row r="15" spans="1:23" s="50" customFormat="1" x14ac:dyDescent="0.25">
      <c r="A15" s="142">
        <v>2002</v>
      </c>
      <c r="B15" s="142">
        <v>2001</v>
      </c>
      <c r="C15" s="133">
        <v>2826</v>
      </c>
      <c r="D15" s="133">
        <v>3824</v>
      </c>
      <c r="E15" s="101"/>
      <c r="F15" s="101"/>
      <c r="G15" s="133">
        <v>18000</v>
      </c>
      <c r="H15" s="132">
        <v>0.25</v>
      </c>
      <c r="I15" s="81"/>
      <c r="J15" s="103"/>
      <c r="K15" s="81"/>
      <c r="L15" s="59">
        <v>15250</v>
      </c>
      <c r="M15" s="81"/>
      <c r="N15" s="99" t="s">
        <v>1181</v>
      </c>
      <c r="O15" s="59">
        <v>19000</v>
      </c>
      <c r="P15" s="132">
        <v>0.25</v>
      </c>
      <c r="Q15" s="103"/>
      <c r="R15" s="103"/>
      <c r="S15" s="103"/>
      <c r="T15" s="103"/>
      <c r="U15" s="103"/>
      <c r="V15" s="163" t="s">
        <v>844</v>
      </c>
    </row>
    <row r="16" spans="1:23" s="51" customFormat="1" x14ac:dyDescent="0.25">
      <c r="A16" s="142">
        <v>2001</v>
      </c>
      <c r="B16" s="142">
        <v>2000</v>
      </c>
      <c r="C16" s="135">
        <v>18140</v>
      </c>
      <c r="D16" s="135">
        <v>23360</v>
      </c>
      <c r="E16" s="102"/>
      <c r="F16" s="102"/>
      <c r="G16" s="135">
        <v>120000</v>
      </c>
      <c r="H16" s="132">
        <v>0.25</v>
      </c>
      <c r="I16" s="104"/>
      <c r="J16" s="103"/>
      <c r="K16" s="99">
        <v>500000</v>
      </c>
      <c r="L16" s="99">
        <v>100000</v>
      </c>
      <c r="M16" s="104"/>
      <c r="N16" s="99" t="s">
        <v>1181</v>
      </c>
      <c r="O16" s="99">
        <v>125000</v>
      </c>
      <c r="P16" s="132">
        <v>0.25</v>
      </c>
      <c r="Q16" s="104"/>
      <c r="R16" s="104"/>
      <c r="S16" s="104"/>
      <c r="T16" s="104"/>
      <c r="U16" s="104"/>
      <c r="V16" s="163" t="s">
        <v>845</v>
      </c>
    </row>
    <row r="17" spans="1:23" s="51" customFormat="1" x14ac:dyDescent="0.25">
      <c r="A17" s="142">
        <v>2000</v>
      </c>
      <c r="B17" s="142">
        <v>1999</v>
      </c>
      <c r="C17" s="135">
        <v>17910</v>
      </c>
      <c r="D17" s="135">
        <v>20480</v>
      </c>
      <c r="E17" s="102"/>
      <c r="F17" s="102"/>
      <c r="G17" s="135">
        <v>120000</v>
      </c>
      <c r="H17" s="132">
        <v>0.25</v>
      </c>
      <c r="I17" s="99">
        <v>25000</v>
      </c>
      <c r="J17" s="100">
        <v>0.25</v>
      </c>
      <c r="K17" s="99">
        <v>500000</v>
      </c>
      <c r="L17" s="99">
        <v>100000</v>
      </c>
      <c r="M17" s="104"/>
      <c r="N17" s="99" t="s">
        <v>1181</v>
      </c>
      <c r="O17" s="99">
        <v>125000</v>
      </c>
      <c r="P17" s="132">
        <v>0.25</v>
      </c>
      <c r="Q17" s="104"/>
      <c r="R17" s="104"/>
      <c r="S17" s="104"/>
      <c r="T17" s="104"/>
      <c r="U17" s="104"/>
      <c r="V17" s="163" t="s">
        <v>846</v>
      </c>
      <c r="W17" s="312" t="s">
        <v>613</v>
      </c>
    </row>
    <row r="18" spans="1:23" s="51" customFormat="1" x14ac:dyDescent="0.25">
      <c r="A18" s="142">
        <v>1999</v>
      </c>
      <c r="B18" s="142">
        <v>1998</v>
      </c>
      <c r="C18" s="135">
        <v>17840</v>
      </c>
      <c r="D18" s="135">
        <v>20370</v>
      </c>
      <c r="E18" s="102"/>
      <c r="F18" s="102"/>
      <c r="G18" s="135">
        <v>120000</v>
      </c>
      <c r="H18" s="132">
        <v>0.25</v>
      </c>
      <c r="I18" s="99">
        <v>25000</v>
      </c>
      <c r="J18" s="100">
        <v>0.25</v>
      </c>
      <c r="K18" s="99">
        <v>500000</v>
      </c>
      <c r="L18" s="99">
        <v>100000</v>
      </c>
      <c r="M18" s="104"/>
      <c r="N18" s="99" t="s">
        <v>1181</v>
      </c>
      <c r="O18" s="99">
        <v>125000</v>
      </c>
      <c r="P18" s="132">
        <v>0.25</v>
      </c>
      <c r="Q18" s="104"/>
      <c r="R18" s="104"/>
      <c r="S18" s="104"/>
      <c r="T18" s="104"/>
      <c r="U18" s="104"/>
      <c r="V18" s="163" t="s">
        <v>847</v>
      </c>
    </row>
    <row r="19" spans="1:23" s="51" customFormat="1" x14ac:dyDescent="0.25">
      <c r="A19" s="142">
        <v>1998</v>
      </c>
      <c r="B19" s="142">
        <v>1997</v>
      </c>
      <c r="C19" s="135">
        <v>17680</v>
      </c>
      <c r="D19" s="135">
        <v>30330</v>
      </c>
      <c r="E19" s="102"/>
      <c r="F19" s="102"/>
      <c r="G19" s="135">
        <v>120000</v>
      </c>
      <c r="H19" s="132">
        <v>0.25</v>
      </c>
      <c r="I19" s="99">
        <v>25000</v>
      </c>
      <c r="J19" s="100">
        <v>0.25</v>
      </c>
      <c r="K19" s="99">
        <v>500000</v>
      </c>
      <c r="L19" s="99">
        <v>100000</v>
      </c>
      <c r="M19" s="104"/>
      <c r="N19" s="99" t="s">
        <v>1181</v>
      </c>
      <c r="O19" s="104"/>
      <c r="P19" s="104"/>
      <c r="Q19" s="104"/>
      <c r="R19" s="104"/>
      <c r="S19" s="104"/>
      <c r="T19" s="104"/>
      <c r="U19" s="104"/>
      <c r="V19" s="163" t="s">
        <v>848</v>
      </c>
    </row>
    <row r="20" spans="1:23" s="51" customFormat="1" x14ac:dyDescent="0.25">
      <c r="A20" s="142">
        <v>1997</v>
      </c>
      <c r="B20" s="142">
        <v>1996</v>
      </c>
      <c r="C20" s="135">
        <v>17550</v>
      </c>
      <c r="D20" s="135">
        <v>30000</v>
      </c>
      <c r="E20" s="102"/>
      <c r="F20" s="102"/>
      <c r="G20" s="139"/>
      <c r="H20" s="132">
        <v>0.25</v>
      </c>
      <c r="I20" s="99">
        <v>25000</v>
      </c>
      <c r="J20" s="100">
        <v>0.25</v>
      </c>
      <c r="K20" s="99">
        <v>500000</v>
      </c>
      <c r="L20" s="99">
        <v>100000</v>
      </c>
      <c r="M20" s="104"/>
      <c r="N20" s="104"/>
      <c r="O20" s="104"/>
      <c r="P20" s="104"/>
      <c r="Q20" s="99">
        <v>6000</v>
      </c>
      <c r="R20" s="99">
        <v>500</v>
      </c>
      <c r="S20" s="104"/>
      <c r="T20" s="104"/>
      <c r="U20" s="104"/>
      <c r="V20" s="163" t="s">
        <v>873</v>
      </c>
    </row>
    <row r="21" spans="1:23" s="51" customFormat="1" x14ac:dyDescent="0.25">
      <c r="A21" s="142">
        <v>1996</v>
      </c>
      <c r="B21" s="142">
        <v>1995</v>
      </c>
      <c r="C21" s="135">
        <v>17160</v>
      </c>
      <c r="D21" s="135">
        <v>27989.999999999996</v>
      </c>
      <c r="E21" s="102"/>
      <c r="F21" s="102"/>
      <c r="G21" s="139"/>
      <c r="H21" s="132">
        <v>0.25</v>
      </c>
      <c r="I21" s="99">
        <v>25000</v>
      </c>
      <c r="J21" s="100">
        <v>0.25</v>
      </c>
      <c r="K21" s="103"/>
      <c r="L21" s="99">
        <v>100000</v>
      </c>
      <c r="M21" s="104"/>
      <c r="N21" s="104"/>
      <c r="O21" s="104"/>
      <c r="P21" s="104"/>
      <c r="Q21" s="99">
        <v>6000</v>
      </c>
      <c r="R21" s="99">
        <v>500</v>
      </c>
      <c r="S21" s="104"/>
      <c r="T21" s="104"/>
      <c r="U21" s="104"/>
      <c r="V21" s="163" t="s">
        <v>866</v>
      </c>
    </row>
    <row r="22" spans="1:23" s="51" customFormat="1" x14ac:dyDescent="0.25">
      <c r="A22" s="142">
        <v>1995</v>
      </c>
      <c r="B22" s="142">
        <v>1994</v>
      </c>
      <c r="C22" s="135">
        <v>16910</v>
      </c>
      <c r="D22" s="135">
        <v>27500</v>
      </c>
      <c r="E22" s="102"/>
      <c r="F22" s="102"/>
      <c r="G22" s="139"/>
      <c r="H22" s="132">
        <v>0.25</v>
      </c>
      <c r="I22" s="99" t="s">
        <v>273</v>
      </c>
      <c r="J22" s="100">
        <v>0.25</v>
      </c>
      <c r="K22" s="103"/>
      <c r="L22" s="99" t="s">
        <v>241</v>
      </c>
      <c r="M22" s="104"/>
      <c r="N22" s="104"/>
      <c r="O22" s="104"/>
      <c r="P22" s="104"/>
      <c r="Q22" s="99">
        <v>6000</v>
      </c>
      <c r="R22" s="99">
        <v>500</v>
      </c>
      <c r="S22" s="104"/>
      <c r="T22" s="104"/>
      <c r="U22" s="104"/>
      <c r="V22" s="163" t="s">
        <v>850</v>
      </c>
    </row>
    <row r="23" spans="1:23" x14ac:dyDescent="0.25">
      <c r="A23" s="142">
        <v>1994</v>
      </c>
      <c r="B23" s="142">
        <v>1993</v>
      </c>
      <c r="C23" s="183" t="s">
        <v>332</v>
      </c>
      <c r="D23" s="27" t="s">
        <v>245</v>
      </c>
      <c r="E23" s="102"/>
      <c r="F23" s="102"/>
      <c r="G23" s="139"/>
      <c r="H23" s="132">
        <v>0.25</v>
      </c>
      <c r="I23" s="27" t="s">
        <v>273</v>
      </c>
      <c r="J23" s="132">
        <v>0.25</v>
      </c>
      <c r="K23" s="103"/>
      <c r="L23" s="139"/>
      <c r="M23" s="104"/>
      <c r="N23" s="104"/>
      <c r="O23" s="104"/>
      <c r="P23" s="104"/>
      <c r="Q23" s="99">
        <v>6000</v>
      </c>
      <c r="R23" s="99">
        <v>500</v>
      </c>
      <c r="S23" s="104"/>
      <c r="T23" s="104"/>
      <c r="U23" s="104"/>
      <c r="V23" s="163" t="s">
        <v>851</v>
      </c>
      <c r="W23" s="356"/>
    </row>
    <row r="24" spans="1:23" x14ac:dyDescent="0.25">
      <c r="A24" s="142">
        <v>1993</v>
      </c>
      <c r="B24" s="142">
        <v>1992</v>
      </c>
      <c r="C24" s="183" t="s">
        <v>306</v>
      </c>
      <c r="D24" s="27" t="s">
        <v>246</v>
      </c>
      <c r="E24" s="102"/>
      <c r="F24" s="102"/>
      <c r="G24" s="139"/>
      <c r="H24" s="132">
        <v>0.25</v>
      </c>
      <c r="I24" s="27" t="s">
        <v>273</v>
      </c>
      <c r="J24" s="132">
        <v>0.25</v>
      </c>
      <c r="K24" s="103"/>
      <c r="L24" s="139"/>
      <c r="M24" s="104"/>
      <c r="N24" s="104"/>
      <c r="O24" s="104"/>
      <c r="P24" s="104"/>
      <c r="Q24" s="99">
        <v>6000</v>
      </c>
      <c r="R24" s="99">
        <v>500</v>
      </c>
      <c r="S24" s="104"/>
      <c r="T24" s="104"/>
      <c r="U24" s="104"/>
      <c r="V24" s="163" t="s">
        <v>874</v>
      </c>
      <c r="W24" s="343"/>
    </row>
    <row r="25" spans="1:23" x14ac:dyDescent="0.25">
      <c r="A25" s="142">
        <v>1992</v>
      </c>
      <c r="B25" s="142">
        <v>1991</v>
      </c>
      <c r="C25" s="27" t="s">
        <v>305</v>
      </c>
      <c r="D25" s="27" t="s">
        <v>247</v>
      </c>
      <c r="E25" s="102"/>
      <c r="F25" s="102"/>
      <c r="G25" s="139"/>
      <c r="H25" s="132">
        <v>0.25</v>
      </c>
      <c r="I25" s="27" t="s">
        <v>273</v>
      </c>
      <c r="J25" s="132">
        <v>0.25</v>
      </c>
      <c r="K25" s="103"/>
      <c r="L25" s="139"/>
      <c r="M25" s="104"/>
      <c r="N25" s="104"/>
      <c r="O25" s="104"/>
      <c r="P25" s="104"/>
      <c r="Q25" s="99">
        <v>6000</v>
      </c>
      <c r="R25" s="99">
        <v>500</v>
      </c>
      <c r="S25" s="104"/>
      <c r="T25" s="104"/>
      <c r="U25" s="104"/>
      <c r="V25" s="163" t="s">
        <v>853</v>
      </c>
      <c r="W25" s="356"/>
    </row>
    <row r="26" spans="1:23" x14ac:dyDescent="0.25">
      <c r="A26" s="142">
        <v>1991</v>
      </c>
      <c r="B26" s="142">
        <v>1990</v>
      </c>
      <c r="C26" s="27" t="s">
        <v>329</v>
      </c>
      <c r="D26" s="27" t="s">
        <v>292</v>
      </c>
      <c r="E26" s="102"/>
      <c r="F26" s="102"/>
      <c r="G26" s="139"/>
      <c r="H26" s="132">
        <v>0.25</v>
      </c>
      <c r="I26" s="27" t="s">
        <v>273</v>
      </c>
      <c r="J26" s="132">
        <v>0.25</v>
      </c>
      <c r="K26" s="103"/>
      <c r="L26" s="139"/>
      <c r="M26" s="104"/>
      <c r="N26" s="104"/>
      <c r="O26" s="104"/>
      <c r="P26" s="104"/>
      <c r="Q26" s="99">
        <v>6000</v>
      </c>
      <c r="R26" s="99">
        <v>500</v>
      </c>
      <c r="S26" s="104"/>
      <c r="T26" s="104"/>
      <c r="U26" s="104"/>
      <c r="V26" s="163" t="s">
        <v>854</v>
      </c>
      <c r="W26" s="356"/>
    </row>
    <row r="27" spans="1:23" x14ac:dyDescent="0.25">
      <c r="A27" s="142">
        <v>1990</v>
      </c>
      <c r="B27" s="142">
        <v>1989</v>
      </c>
      <c r="C27" s="136"/>
      <c r="D27" s="27" t="s">
        <v>249</v>
      </c>
      <c r="E27" s="102"/>
      <c r="F27" s="102"/>
      <c r="G27" s="139"/>
      <c r="H27" s="132">
        <v>0.25</v>
      </c>
      <c r="I27" s="139"/>
      <c r="J27" s="139"/>
      <c r="K27" s="103"/>
      <c r="L27" s="139"/>
      <c r="M27" s="104"/>
      <c r="N27" s="104"/>
      <c r="O27" s="104"/>
      <c r="P27" s="104"/>
      <c r="Q27" s="99">
        <v>6000</v>
      </c>
      <c r="R27" s="99">
        <v>500</v>
      </c>
      <c r="S27" s="104"/>
      <c r="T27" s="104"/>
      <c r="U27" s="104"/>
      <c r="V27" s="163" t="s">
        <v>855</v>
      </c>
      <c r="W27" s="356"/>
    </row>
    <row r="28" spans="1:23" x14ac:dyDescent="0.25">
      <c r="A28" s="142">
        <v>1989</v>
      </c>
      <c r="B28" s="142">
        <v>1988</v>
      </c>
      <c r="C28" s="27" t="s">
        <v>335</v>
      </c>
      <c r="D28" s="27" t="s">
        <v>250</v>
      </c>
      <c r="E28" s="102"/>
      <c r="F28" s="102"/>
      <c r="G28" s="139"/>
      <c r="H28" s="132">
        <v>0.25</v>
      </c>
      <c r="I28" s="139"/>
      <c r="J28" s="139"/>
      <c r="K28" s="103"/>
      <c r="L28" s="139"/>
      <c r="M28" s="104"/>
      <c r="N28" s="104"/>
      <c r="O28" s="104"/>
      <c r="P28" s="104"/>
      <c r="Q28" s="99">
        <v>6000</v>
      </c>
      <c r="R28" s="99">
        <v>500</v>
      </c>
      <c r="S28" s="104"/>
      <c r="T28" s="104"/>
      <c r="U28" s="104"/>
      <c r="V28" s="163" t="s">
        <v>856</v>
      </c>
      <c r="W28" s="356"/>
    </row>
    <row r="29" spans="1:23" x14ac:dyDescent="0.25">
      <c r="A29" s="142">
        <v>1988</v>
      </c>
      <c r="B29" s="142">
        <v>1987</v>
      </c>
      <c r="C29" s="27" t="s">
        <v>361</v>
      </c>
      <c r="D29" s="27" t="s">
        <v>255</v>
      </c>
      <c r="E29" s="102"/>
      <c r="F29" s="102"/>
      <c r="G29" s="139"/>
      <c r="H29" s="132">
        <v>0.25</v>
      </c>
      <c r="I29" s="139"/>
      <c r="J29" s="139"/>
      <c r="K29" s="103"/>
      <c r="L29" s="139"/>
      <c r="M29" s="104"/>
      <c r="N29" s="104"/>
      <c r="O29" s="104"/>
      <c r="P29" s="104"/>
      <c r="Q29" s="99">
        <v>6000</v>
      </c>
      <c r="R29" s="99">
        <v>500</v>
      </c>
      <c r="S29" s="104"/>
      <c r="T29" s="104"/>
      <c r="U29" s="104"/>
      <c r="V29" s="163" t="s">
        <v>857</v>
      </c>
      <c r="W29" s="356"/>
    </row>
    <row r="30" spans="1:23" x14ac:dyDescent="0.25">
      <c r="A30" s="142">
        <v>1987</v>
      </c>
      <c r="B30" s="142">
        <v>1986</v>
      </c>
      <c r="C30" s="27" t="s">
        <v>311</v>
      </c>
      <c r="D30" s="27" t="s">
        <v>256</v>
      </c>
      <c r="E30" s="102"/>
      <c r="F30" s="102"/>
      <c r="G30" s="139"/>
      <c r="H30" s="132">
        <v>0.25</v>
      </c>
      <c r="I30" s="139"/>
      <c r="J30" s="139"/>
      <c r="K30" s="103"/>
      <c r="L30" s="139"/>
      <c r="M30" s="104"/>
      <c r="N30" s="104"/>
      <c r="O30" s="104"/>
      <c r="P30" s="104"/>
      <c r="Q30" s="27" t="s">
        <v>286</v>
      </c>
      <c r="R30" s="27" t="s">
        <v>313</v>
      </c>
      <c r="S30" s="104"/>
      <c r="T30" s="104"/>
      <c r="U30" s="104"/>
      <c r="V30" s="163" t="s">
        <v>858</v>
      </c>
      <c r="W30" s="356"/>
    </row>
    <row r="31" spans="1:23" x14ac:dyDescent="0.25">
      <c r="A31" s="142">
        <v>1986</v>
      </c>
      <c r="B31" s="142">
        <v>1985</v>
      </c>
      <c r="C31" s="27" t="s">
        <v>312</v>
      </c>
      <c r="D31" s="27" t="s">
        <v>257</v>
      </c>
      <c r="E31" s="102"/>
      <c r="F31" s="102"/>
      <c r="G31" s="139"/>
      <c r="H31" s="132">
        <v>0.25</v>
      </c>
      <c r="I31" s="139"/>
      <c r="J31" s="139"/>
      <c r="K31" s="103"/>
      <c r="L31" s="139"/>
      <c r="M31" s="104"/>
      <c r="N31" s="104"/>
      <c r="O31" s="104"/>
      <c r="P31" s="104"/>
      <c r="Q31" s="27" t="s">
        <v>286</v>
      </c>
      <c r="R31" s="27" t="s">
        <v>313</v>
      </c>
      <c r="S31" s="104"/>
      <c r="T31" s="104"/>
      <c r="U31" s="104"/>
      <c r="V31" s="163" t="s">
        <v>859</v>
      </c>
      <c r="W31" s="356"/>
    </row>
    <row r="32" spans="1:23" x14ac:dyDescent="0.25">
      <c r="A32" s="142">
        <v>1985</v>
      </c>
      <c r="B32" s="142">
        <v>1984</v>
      </c>
      <c r="C32" s="75" t="s">
        <v>368</v>
      </c>
      <c r="D32" s="27" t="s">
        <v>258</v>
      </c>
      <c r="E32" s="102"/>
      <c r="F32" s="102"/>
      <c r="G32" s="139"/>
      <c r="H32" s="146"/>
      <c r="I32" s="139"/>
      <c r="J32" s="139"/>
      <c r="K32" s="103"/>
      <c r="L32" s="139"/>
      <c r="M32" s="104"/>
      <c r="N32" s="104"/>
      <c r="O32" s="104"/>
      <c r="P32" s="104"/>
      <c r="Q32" s="27" t="s">
        <v>286</v>
      </c>
      <c r="R32" s="27" t="s">
        <v>313</v>
      </c>
      <c r="S32" s="104"/>
      <c r="T32" s="104"/>
      <c r="U32" s="104"/>
      <c r="V32" s="163" t="s">
        <v>860</v>
      </c>
      <c r="W32" s="356"/>
    </row>
    <row r="33" spans="1:23" x14ac:dyDescent="0.25">
      <c r="A33" s="142">
        <v>1984</v>
      </c>
      <c r="B33" s="142">
        <v>1983</v>
      </c>
      <c r="C33" s="193"/>
      <c r="D33" s="27" t="s">
        <v>259</v>
      </c>
      <c r="E33" s="102"/>
      <c r="F33" s="102"/>
      <c r="G33" s="139"/>
      <c r="H33" s="146"/>
      <c r="I33" s="139"/>
      <c r="J33" s="139"/>
      <c r="K33" s="103"/>
      <c r="L33" s="139"/>
      <c r="M33" s="104"/>
      <c r="N33" s="104"/>
      <c r="O33" s="104"/>
      <c r="P33" s="104"/>
      <c r="Q33" s="27" t="s">
        <v>286</v>
      </c>
      <c r="R33" s="27" t="s">
        <v>313</v>
      </c>
      <c r="S33" s="104"/>
      <c r="T33" s="104"/>
      <c r="U33" s="104"/>
      <c r="V33" s="163" t="s">
        <v>861</v>
      </c>
      <c r="W33" s="356"/>
    </row>
    <row r="34" spans="1:23" x14ac:dyDescent="0.25">
      <c r="A34" s="142">
        <v>1983</v>
      </c>
      <c r="B34" s="142">
        <v>1982</v>
      </c>
      <c r="C34" s="193"/>
      <c r="D34" s="27" t="s">
        <v>260</v>
      </c>
      <c r="E34" s="102"/>
      <c r="F34" s="102"/>
      <c r="G34" s="139"/>
      <c r="H34" s="146"/>
      <c r="I34" s="139"/>
      <c r="J34" s="139"/>
      <c r="K34" s="103"/>
      <c r="L34" s="139"/>
      <c r="M34" s="104"/>
      <c r="N34" s="104"/>
      <c r="O34" s="104"/>
      <c r="P34" s="104"/>
      <c r="Q34" s="27" t="s">
        <v>286</v>
      </c>
      <c r="R34" s="27" t="s">
        <v>313</v>
      </c>
      <c r="S34" s="104"/>
      <c r="T34" s="104"/>
      <c r="U34" s="104"/>
      <c r="V34" s="163" t="s">
        <v>862</v>
      </c>
      <c r="W34" s="356"/>
    </row>
    <row r="35" spans="1:23" x14ac:dyDescent="0.25">
      <c r="A35" s="142">
        <v>1982</v>
      </c>
      <c r="B35" s="142">
        <v>1981</v>
      </c>
      <c r="C35" s="193"/>
      <c r="D35" s="27" t="s">
        <v>261</v>
      </c>
      <c r="E35" s="102"/>
      <c r="F35" s="102"/>
      <c r="G35" s="139"/>
      <c r="H35" s="146"/>
      <c r="I35" s="139"/>
      <c r="J35" s="139"/>
      <c r="K35" s="103"/>
      <c r="L35" s="139"/>
      <c r="M35" s="104"/>
      <c r="N35" s="104"/>
      <c r="O35" s="104"/>
      <c r="P35" s="104"/>
      <c r="Q35" s="27" t="s">
        <v>286</v>
      </c>
      <c r="R35" s="27" t="s">
        <v>313</v>
      </c>
      <c r="S35" s="104"/>
      <c r="T35" s="104"/>
      <c r="U35" s="104"/>
      <c r="V35" s="163" t="s">
        <v>863</v>
      </c>
      <c r="W35" s="70"/>
    </row>
    <row r="36" spans="1:23" x14ac:dyDescent="0.25">
      <c r="A36" s="142">
        <v>1981</v>
      </c>
      <c r="B36" s="142">
        <v>1980</v>
      </c>
      <c r="C36" s="193"/>
      <c r="D36" s="27" t="s">
        <v>357</v>
      </c>
      <c r="E36" s="102"/>
      <c r="F36" s="102"/>
      <c r="G36" s="139"/>
      <c r="H36" s="146"/>
      <c r="I36" s="139"/>
      <c r="J36" s="139"/>
      <c r="K36" s="103"/>
      <c r="L36" s="139"/>
      <c r="M36" s="104"/>
      <c r="N36" s="104"/>
      <c r="O36" s="104"/>
      <c r="P36" s="104"/>
      <c r="Q36" s="27" t="s">
        <v>286</v>
      </c>
      <c r="R36" s="27" t="s">
        <v>313</v>
      </c>
      <c r="S36" s="104"/>
      <c r="T36" s="104"/>
      <c r="U36" s="104"/>
      <c r="V36" s="163" t="s">
        <v>864</v>
      </c>
      <c r="W36" s="70"/>
    </row>
    <row r="37" spans="1:23" x14ac:dyDescent="0.25">
      <c r="A37" s="142">
        <v>1980</v>
      </c>
      <c r="B37" s="142">
        <v>1979</v>
      </c>
      <c r="C37" s="193"/>
      <c r="D37" s="136"/>
      <c r="E37" s="102"/>
      <c r="F37" s="102"/>
      <c r="G37" s="139"/>
      <c r="H37" s="146"/>
      <c r="I37" s="139"/>
      <c r="J37" s="139"/>
      <c r="K37" s="103"/>
      <c r="L37" s="139"/>
      <c r="M37" s="104"/>
      <c r="N37" s="104"/>
      <c r="O37" s="104"/>
      <c r="P37" s="104"/>
      <c r="Q37" s="27" t="s">
        <v>286</v>
      </c>
      <c r="R37" s="27" t="s">
        <v>313</v>
      </c>
      <c r="S37" s="104"/>
      <c r="T37" s="104"/>
      <c r="U37" s="104"/>
      <c r="V37" s="163" t="s">
        <v>875</v>
      </c>
      <c r="W37" s="70"/>
    </row>
    <row r="38" spans="1:23" x14ac:dyDescent="0.25">
      <c r="A38" s="142">
        <v>1979</v>
      </c>
      <c r="B38" s="142">
        <v>1978</v>
      </c>
      <c r="C38" s="193"/>
      <c r="D38" s="27" t="s">
        <v>290</v>
      </c>
      <c r="E38" s="102"/>
      <c r="F38" s="102"/>
      <c r="G38" s="139"/>
      <c r="H38" s="146"/>
      <c r="I38" s="139"/>
      <c r="J38" s="139"/>
      <c r="K38" s="103"/>
      <c r="L38" s="139"/>
      <c r="M38" s="104"/>
      <c r="N38" s="104"/>
      <c r="O38" s="104"/>
      <c r="P38" s="104"/>
      <c r="Q38" s="27" t="s">
        <v>286</v>
      </c>
      <c r="R38" s="27" t="s">
        <v>313</v>
      </c>
      <c r="S38" s="104"/>
      <c r="T38" s="104"/>
      <c r="U38" s="104"/>
      <c r="V38" s="163" t="s">
        <v>876</v>
      </c>
      <c r="W38" s="70"/>
    </row>
    <row r="39" spans="1:23" x14ac:dyDescent="0.25">
      <c r="A39" s="142">
        <v>1978</v>
      </c>
      <c r="B39" s="142">
        <v>1977</v>
      </c>
      <c r="C39" s="193"/>
      <c r="D39" s="27" t="s">
        <v>289</v>
      </c>
      <c r="E39" s="102"/>
      <c r="F39" s="102"/>
      <c r="G39" s="139"/>
      <c r="H39" s="146"/>
      <c r="I39" s="139"/>
      <c r="J39" s="139"/>
      <c r="K39" s="103"/>
      <c r="L39" s="139"/>
      <c r="M39" s="104"/>
      <c r="N39" s="104"/>
      <c r="O39" s="104"/>
      <c r="P39" s="104"/>
      <c r="Q39" s="139"/>
      <c r="R39" s="139"/>
      <c r="S39" s="104"/>
      <c r="T39" s="104"/>
      <c r="U39" s="104"/>
      <c r="V39" s="163" t="s">
        <v>877</v>
      </c>
      <c r="W39" s="70"/>
    </row>
    <row r="40" spans="1:23" x14ac:dyDescent="0.25">
      <c r="A40" s="142">
        <v>1977</v>
      </c>
      <c r="B40" s="142">
        <v>1976</v>
      </c>
      <c r="C40" s="193"/>
      <c r="D40" s="27" t="s">
        <v>294</v>
      </c>
      <c r="E40" s="102"/>
      <c r="F40" s="102"/>
      <c r="G40" s="139"/>
      <c r="H40" s="146"/>
      <c r="I40" s="139"/>
      <c r="J40" s="139"/>
      <c r="K40" s="103"/>
      <c r="L40" s="139"/>
      <c r="M40" s="104"/>
      <c r="N40" s="104"/>
      <c r="O40" s="104"/>
      <c r="P40" s="104"/>
      <c r="Q40" s="139"/>
      <c r="R40" s="139"/>
      <c r="S40" s="104"/>
      <c r="T40" s="104"/>
      <c r="U40" s="104"/>
      <c r="V40" s="163" t="s">
        <v>878</v>
      </c>
      <c r="W40" s="70"/>
    </row>
    <row r="41" spans="1:23" x14ac:dyDescent="0.25">
      <c r="A41" s="142">
        <v>1976</v>
      </c>
      <c r="B41" s="142">
        <v>1975</v>
      </c>
      <c r="C41" s="193"/>
      <c r="D41" s="27" t="s">
        <v>293</v>
      </c>
      <c r="E41" s="102"/>
      <c r="F41" s="102"/>
      <c r="G41" s="139"/>
      <c r="H41" s="146"/>
      <c r="I41" s="139"/>
      <c r="J41" s="139"/>
      <c r="K41" s="103"/>
      <c r="L41" s="139"/>
      <c r="M41" s="104"/>
      <c r="N41" s="104"/>
      <c r="O41" s="104"/>
      <c r="P41" s="104"/>
      <c r="Q41" s="139"/>
      <c r="R41" s="139"/>
      <c r="S41" s="104"/>
      <c r="T41" s="104"/>
      <c r="U41" s="104"/>
      <c r="V41" s="163" t="s">
        <v>879</v>
      </c>
      <c r="W41" s="70"/>
    </row>
    <row r="42" spans="1:23" x14ac:dyDescent="0.25">
      <c r="A42" s="142">
        <v>1975</v>
      </c>
      <c r="B42" s="142">
        <v>1974</v>
      </c>
      <c r="C42" s="193"/>
      <c r="D42" s="27" t="s">
        <v>285</v>
      </c>
      <c r="E42" s="102"/>
      <c r="F42" s="102"/>
      <c r="G42" s="139"/>
      <c r="H42" s="146"/>
      <c r="I42" s="139"/>
      <c r="J42" s="139"/>
      <c r="K42" s="103"/>
      <c r="L42" s="139"/>
      <c r="M42" s="104"/>
      <c r="N42" s="104"/>
      <c r="O42" s="104"/>
      <c r="P42" s="104"/>
      <c r="Q42" s="139"/>
      <c r="R42" s="139"/>
      <c r="S42" s="104"/>
      <c r="T42" s="104"/>
      <c r="U42" s="104"/>
      <c r="V42" s="163" t="s">
        <v>880</v>
      </c>
      <c r="W42" s="70"/>
    </row>
    <row r="43" spans="1:23" x14ac:dyDescent="0.25">
      <c r="A43" s="142">
        <v>1974</v>
      </c>
      <c r="B43" s="142">
        <v>1973</v>
      </c>
      <c r="C43" s="193"/>
      <c r="D43" s="139"/>
      <c r="E43" s="102"/>
      <c r="F43" s="102"/>
      <c r="G43" s="139"/>
      <c r="H43" s="146"/>
      <c r="I43" s="139"/>
      <c r="J43" s="139"/>
      <c r="K43" s="103"/>
      <c r="L43" s="139"/>
      <c r="M43" s="104"/>
      <c r="N43" s="104"/>
      <c r="O43" s="104"/>
      <c r="P43" s="104"/>
      <c r="Q43" s="139"/>
      <c r="R43" s="139"/>
      <c r="S43" s="104"/>
      <c r="T43" s="104"/>
      <c r="U43" s="104"/>
      <c r="W43" s="136"/>
    </row>
    <row r="45" spans="1:23" x14ac:dyDescent="0.25">
      <c r="C45" s="288" t="s">
        <v>511</v>
      </c>
    </row>
    <row r="47" spans="1:23" x14ac:dyDescent="0.25">
      <c r="C47" s="312" t="s">
        <v>614</v>
      </c>
    </row>
    <row r="48" spans="1:23" x14ac:dyDescent="0.25">
      <c r="C48" s="312" t="s">
        <v>615</v>
      </c>
    </row>
    <row r="49" spans="1:3" x14ac:dyDescent="0.25">
      <c r="C49" s="312" t="s">
        <v>616</v>
      </c>
    </row>
    <row r="50" spans="1:3" x14ac:dyDescent="0.25">
      <c r="C50" s="322" t="s">
        <v>618</v>
      </c>
    </row>
    <row r="51" spans="1:3" x14ac:dyDescent="0.25">
      <c r="C51" s="312" t="s">
        <v>619</v>
      </c>
    </row>
    <row r="52" spans="1:3" x14ac:dyDescent="0.25">
      <c r="C52" s="312" t="s">
        <v>620</v>
      </c>
    </row>
    <row r="53" spans="1:3" x14ac:dyDescent="0.25">
      <c r="C53" s="312" t="s">
        <v>622</v>
      </c>
    </row>
    <row r="54" spans="1:3" x14ac:dyDescent="0.25">
      <c r="C54" s="312" t="s">
        <v>623</v>
      </c>
    </row>
    <row r="55" spans="1:3" x14ac:dyDescent="0.25">
      <c r="C55" s="312" t="s">
        <v>1182</v>
      </c>
    </row>
    <row r="59" spans="1:3" x14ac:dyDescent="0.25">
      <c r="C59" s="312"/>
    </row>
    <row r="61" spans="1:3" x14ac:dyDescent="0.25">
      <c r="A61" s="52"/>
      <c r="B61" s="52"/>
    </row>
    <row r="62" spans="1:3" x14ac:dyDescent="0.25">
      <c r="A62" s="52"/>
      <c r="B62" s="52"/>
      <c r="C62" s="322"/>
    </row>
    <row r="63" spans="1:3" x14ac:dyDescent="0.25">
      <c r="A63" s="52"/>
      <c r="B63" s="52"/>
      <c r="C63" s="322"/>
    </row>
    <row r="64" spans="1:3" x14ac:dyDescent="0.25">
      <c r="A64" s="52"/>
      <c r="B64" s="52"/>
      <c r="C64" s="322"/>
    </row>
    <row r="65" spans="1:3" x14ac:dyDescent="0.25">
      <c r="A65" s="52"/>
      <c r="B65" s="52"/>
      <c r="C65" s="312"/>
    </row>
  </sheetData>
  <mergeCells count="10">
    <mergeCell ref="A2:B2"/>
    <mergeCell ref="V2:V3"/>
    <mergeCell ref="W2:W3"/>
    <mergeCell ref="E2:F2"/>
    <mergeCell ref="G2:H2"/>
    <mergeCell ref="I2:J2"/>
    <mergeCell ref="L2:M2"/>
    <mergeCell ref="O2:P2"/>
    <mergeCell ref="Q2:R2"/>
    <mergeCell ref="S2:T2"/>
  </mergeCells>
  <hyperlinks>
    <hyperlink ref="H15" r:id="rId1" location="LEGIARTI000006212781" display="http://legifrance.gouv.fr/affichTexteArticle.do;jsessionid=74B6FCBBE75E37F0115D9428F2169E51.tpdjo12v_1?cidTexte=JORFTEXT000000596281&amp;idArticle=LEGIARTI000006212781&amp;dateTexte=20040531&amp;categorieLien=id - LEGIARTI00000621278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zoomScale="85" zoomScaleNormal="85" workbookViewId="0">
      <pane xSplit="2" ySplit="3" topLeftCell="C4" activePane="bottomRight" state="frozen"/>
      <selection activeCell="C3" sqref="C3:E3"/>
      <selection pane="topRight" activeCell="C3" sqref="C3:E3"/>
      <selection pane="bottomLeft" activeCell="C3" sqref="C3:E3"/>
      <selection pane="bottomRight" sqref="A1:XFD1"/>
    </sheetView>
  </sheetViews>
  <sheetFormatPr baseColWidth="10" defaultColWidth="15.7109375" defaultRowHeight="15" x14ac:dyDescent="0.25"/>
  <cols>
    <col min="1" max="1" width="7.28515625" style="26" bestFit="1" customWidth="1"/>
    <col min="2" max="2" width="12.7109375" style="26" bestFit="1" customWidth="1"/>
    <col min="3" max="3" width="18" style="26" customWidth="1"/>
    <col min="4" max="4" width="17.7109375" style="26" customWidth="1"/>
    <col min="5" max="5" width="22.42578125" style="26" customWidth="1"/>
    <col min="6" max="6" width="22.140625" style="26" bestFit="1" customWidth="1"/>
    <col min="7" max="7" width="16.42578125" style="26" bestFit="1" customWidth="1"/>
    <col min="8" max="8" width="29.140625" style="26" bestFit="1" customWidth="1"/>
    <col min="9" max="9" width="100.140625" style="26" customWidth="1"/>
    <col min="10" max="16384" width="15.7109375" style="26"/>
  </cols>
  <sheetData>
    <row r="1" spans="1:9" hidden="1" x14ac:dyDescent="0.25">
      <c r="A1" s="269" t="s">
        <v>1130</v>
      </c>
      <c r="B1" s="269" t="s">
        <v>1131</v>
      </c>
      <c r="C1" s="263" t="s">
        <v>99</v>
      </c>
      <c r="D1" s="262" t="s">
        <v>46</v>
      </c>
      <c r="E1" s="263" t="s">
        <v>47</v>
      </c>
      <c r="F1" s="263" t="s">
        <v>48</v>
      </c>
      <c r="G1" s="263" t="s">
        <v>56</v>
      </c>
      <c r="H1" s="269" t="s">
        <v>1135</v>
      </c>
      <c r="I1" s="141"/>
    </row>
    <row r="2" spans="1:9" ht="45" x14ac:dyDescent="0.25">
      <c r="A2" s="486" t="s">
        <v>997</v>
      </c>
      <c r="B2" s="487"/>
      <c r="C2" s="508" t="s">
        <v>626</v>
      </c>
      <c r="D2" s="509"/>
      <c r="E2" s="509"/>
      <c r="F2" s="510"/>
      <c r="G2" s="168" t="s">
        <v>625</v>
      </c>
      <c r="H2" s="454" t="s">
        <v>588</v>
      </c>
      <c r="I2" s="498" t="s">
        <v>1</v>
      </c>
    </row>
    <row r="3" spans="1:9" ht="25.5" x14ac:dyDescent="0.25">
      <c r="A3" s="383" t="s">
        <v>214</v>
      </c>
      <c r="B3" s="383" t="s">
        <v>996</v>
      </c>
      <c r="C3" s="168" t="s">
        <v>409</v>
      </c>
      <c r="D3" s="168" t="s">
        <v>410</v>
      </c>
      <c r="E3" s="168" t="s">
        <v>411</v>
      </c>
      <c r="F3" s="207" t="s">
        <v>412</v>
      </c>
      <c r="G3" s="168" t="s">
        <v>413</v>
      </c>
      <c r="H3" s="454"/>
      <c r="I3" s="499"/>
    </row>
    <row r="4" spans="1:9" s="110" customFormat="1" x14ac:dyDescent="0.25">
      <c r="A4" s="226">
        <v>2014</v>
      </c>
      <c r="B4" s="226">
        <v>2013</v>
      </c>
      <c r="C4" s="59">
        <v>2332</v>
      </c>
      <c r="D4" s="59">
        <v>1166</v>
      </c>
      <c r="E4" s="59">
        <v>14630</v>
      </c>
      <c r="F4" s="59">
        <v>23580</v>
      </c>
      <c r="G4" s="147">
        <v>5753</v>
      </c>
      <c r="H4" s="212" t="s">
        <v>881</v>
      </c>
      <c r="I4" s="310" t="s">
        <v>519</v>
      </c>
    </row>
    <row r="5" spans="1:9" s="110" customFormat="1" x14ac:dyDescent="0.25">
      <c r="A5" s="226">
        <v>2013</v>
      </c>
      <c r="B5" s="226">
        <v>2012</v>
      </c>
      <c r="C5" s="30">
        <v>2312</v>
      </c>
      <c r="D5" s="30">
        <v>1156</v>
      </c>
      <c r="E5" s="59">
        <v>14510</v>
      </c>
      <c r="F5" s="59">
        <v>23390</v>
      </c>
      <c r="G5" s="133">
        <v>5698</v>
      </c>
      <c r="H5" s="212" t="s">
        <v>882</v>
      </c>
      <c r="I5" s="310"/>
    </row>
    <row r="6" spans="1:9" s="50" customFormat="1" x14ac:dyDescent="0.25">
      <c r="A6" s="226">
        <v>2011</v>
      </c>
      <c r="B6" s="226">
        <v>2010</v>
      </c>
      <c r="C6" s="30">
        <v>2312</v>
      </c>
      <c r="D6" s="30">
        <v>1156</v>
      </c>
      <c r="E6" s="30">
        <v>14220</v>
      </c>
      <c r="F6" s="30">
        <v>22930</v>
      </c>
      <c r="G6" s="133">
        <v>5698</v>
      </c>
      <c r="H6" s="212" t="s">
        <v>883</v>
      </c>
      <c r="I6" s="353" t="s">
        <v>812</v>
      </c>
    </row>
    <row r="7" spans="1:9" s="50" customFormat="1" x14ac:dyDescent="0.25">
      <c r="A7" s="226">
        <v>2010</v>
      </c>
      <c r="B7" s="226">
        <v>2009</v>
      </c>
      <c r="C7" s="30">
        <v>2276</v>
      </c>
      <c r="D7" s="30">
        <v>1138</v>
      </c>
      <c r="E7" s="30">
        <v>14010</v>
      </c>
      <c r="F7" s="30">
        <v>22590</v>
      </c>
      <c r="G7" s="133">
        <v>5753</v>
      </c>
      <c r="H7" s="212" t="s">
        <v>884</v>
      </c>
      <c r="I7" s="323" t="s">
        <v>813</v>
      </c>
    </row>
    <row r="8" spans="1:9" s="50" customFormat="1" x14ac:dyDescent="0.25">
      <c r="A8" s="226">
        <v>2009</v>
      </c>
      <c r="B8" s="226">
        <v>2008</v>
      </c>
      <c r="C8" s="30">
        <v>2266</v>
      </c>
      <c r="D8" s="30">
        <v>1133</v>
      </c>
      <c r="E8" s="30">
        <v>13950</v>
      </c>
      <c r="F8" s="30">
        <v>13950</v>
      </c>
      <c r="G8" s="133">
        <v>5729</v>
      </c>
      <c r="H8" s="212" t="s">
        <v>885</v>
      </c>
      <c r="I8" s="321" t="s">
        <v>814</v>
      </c>
    </row>
    <row r="9" spans="1:9" s="50" customFormat="1" x14ac:dyDescent="0.25">
      <c r="A9" s="226">
        <v>2008</v>
      </c>
      <c r="B9" s="226">
        <v>2007</v>
      </c>
      <c r="C9" s="133">
        <v>2202</v>
      </c>
      <c r="D9" s="133">
        <v>1101</v>
      </c>
      <c r="E9" s="133">
        <v>13550</v>
      </c>
      <c r="F9" s="133">
        <v>21860</v>
      </c>
      <c r="G9" s="133">
        <v>5568</v>
      </c>
      <c r="H9" s="212" t="s">
        <v>886</v>
      </c>
      <c r="I9" s="324" t="s">
        <v>815</v>
      </c>
    </row>
    <row r="10" spans="1:9" s="50" customFormat="1" x14ac:dyDescent="0.25">
      <c r="A10" s="226">
        <v>2007</v>
      </c>
      <c r="B10" s="226">
        <v>2006</v>
      </c>
      <c r="C10" s="133">
        <v>2172</v>
      </c>
      <c r="D10" s="133">
        <v>1086</v>
      </c>
      <c r="E10" s="133">
        <v>13370</v>
      </c>
      <c r="F10" s="133">
        <v>21570</v>
      </c>
      <c r="G10" s="133">
        <v>5495</v>
      </c>
      <c r="H10" s="212" t="s">
        <v>887</v>
      </c>
      <c r="I10" s="310"/>
    </row>
    <row r="11" spans="1:9" s="50" customFormat="1" x14ac:dyDescent="0.25">
      <c r="A11" s="226">
        <v>2006</v>
      </c>
      <c r="B11" s="226">
        <v>2005</v>
      </c>
      <c r="C11" s="133">
        <v>1706</v>
      </c>
      <c r="D11" s="133">
        <v>853</v>
      </c>
      <c r="E11" s="133">
        <v>10500</v>
      </c>
      <c r="F11" s="133">
        <v>16950</v>
      </c>
      <c r="G11" s="133">
        <v>4489</v>
      </c>
      <c r="H11" s="212" t="s">
        <v>888</v>
      </c>
      <c r="I11" s="310" t="s">
        <v>624</v>
      </c>
    </row>
    <row r="12" spans="1:9" s="50" customFormat="1" x14ac:dyDescent="0.25">
      <c r="A12" s="226">
        <v>2005</v>
      </c>
      <c r="B12" s="226">
        <v>2004</v>
      </c>
      <c r="C12" s="133">
        <v>1674</v>
      </c>
      <c r="D12" s="133">
        <v>837</v>
      </c>
      <c r="E12" s="133">
        <v>10310</v>
      </c>
      <c r="F12" s="133">
        <v>16650</v>
      </c>
      <c r="G12" s="133">
        <v>4410</v>
      </c>
      <c r="H12" s="212" t="s">
        <v>889</v>
      </c>
      <c r="I12" s="310"/>
    </row>
    <row r="13" spans="1:9" s="108" customFormat="1" x14ac:dyDescent="0.25">
      <c r="A13" s="226">
        <v>2004</v>
      </c>
      <c r="B13" s="226">
        <v>2003</v>
      </c>
      <c r="C13" s="133">
        <v>1646</v>
      </c>
      <c r="D13" s="133">
        <v>823</v>
      </c>
      <c r="E13" s="133">
        <v>10130</v>
      </c>
      <c r="F13" s="133">
        <v>16370</v>
      </c>
      <c r="G13" s="133">
        <v>4338</v>
      </c>
      <c r="H13" s="212" t="s">
        <v>890</v>
      </c>
      <c r="I13" s="325"/>
    </row>
    <row r="14" spans="1:9" s="108" customFormat="1" x14ac:dyDescent="0.25">
      <c r="A14" s="226">
        <v>2003</v>
      </c>
      <c r="B14" s="226">
        <v>2002</v>
      </c>
      <c r="C14" s="133">
        <v>1618</v>
      </c>
      <c r="D14" s="133">
        <v>809</v>
      </c>
      <c r="E14" s="133">
        <v>9960</v>
      </c>
      <c r="F14" s="133">
        <v>16090</v>
      </c>
      <c r="G14" s="133">
        <v>4137</v>
      </c>
      <c r="H14" s="212" t="s">
        <v>891</v>
      </c>
      <c r="I14" s="325"/>
    </row>
    <row r="15" spans="1:9" s="50" customFormat="1" x14ac:dyDescent="0.25">
      <c r="A15" s="226">
        <v>2002</v>
      </c>
      <c r="B15" s="226">
        <v>2001</v>
      </c>
      <c r="C15" s="133">
        <v>1590</v>
      </c>
      <c r="D15" s="133">
        <v>795</v>
      </c>
      <c r="E15" s="133">
        <v>9790</v>
      </c>
      <c r="F15" s="133">
        <v>15820</v>
      </c>
      <c r="G15" s="133">
        <v>3824</v>
      </c>
      <c r="H15" s="304" t="s">
        <v>892</v>
      </c>
      <c r="I15" s="310" t="s">
        <v>520</v>
      </c>
    </row>
    <row r="16" spans="1:9" s="51" customFormat="1" x14ac:dyDescent="0.25">
      <c r="A16" s="226">
        <v>2001</v>
      </c>
      <c r="B16" s="226">
        <v>2000</v>
      </c>
      <c r="C16" s="135">
        <v>10260</v>
      </c>
      <c r="D16" s="135">
        <v>5130</v>
      </c>
      <c r="E16" s="135">
        <v>63200.000000000007</v>
      </c>
      <c r="F16" s="135">
        <v>102100</v>
      </c>
      <c r="G16" s="135">
        <v>23360</v>
      </c>
      <c r="H16" s="304" t="s">
        <v>893</v>
      </c>
      <c r="I16" s="136"/>
    </row>
    <row r="17" spans="1:9" s="51" customFormat="1" x14ac:dyDescent="0.25">
      <c r="A17" s="226">
        <v>2000</v>
      </c>
      <c r="B17" s="226">
        <v>1999</v>
      </c>
      <c r="C17" s="135">
        <v>10100</v>
      </c>
      <c r="D17" s="135">
        <v>5050</v>
      </c>
      <c r="E17" s="135">
        <v>62300</v>
      </c>
      <c r="F17" s="135">
        <v>100600</v>
      </c>
      <c r="G17" s="135">
        <v>20480</v>
      </c>
      <c r="H17" s="365" t="s">
        <v>894</v>
      </c>
      <c r="I17" s="48"/>
    </row>
    <row r="18" spans="1:9" s="51" customFormat="1" x14ac:dyDescent="0.25">
      <c r="A18" s="226">
        <v>1999</v>
      </c>
      <c r="B18" s="226">
        <v>1998</v>
      </c>
      <c r="C18" s="135">
        <v>10040</v>
      </c>
      <c r="D18" s="135">
        <v>5020</v>
      </c>
      <c r="E18" s="135">
        <v>61900</v>
      </c>
      <c r="F18" s="135">
        <v>100100</v>
      </c>
      <c r="G18" s="135">
        <v>20370</v>
      </c>
      <c r="H18" s="365" t="s">
        <v>895</v>
      </c>
      <c r="I18" s="205"/>
    </row>
    <row r="19" spans="1:9" s="51" customFormat="1" x14ac:dyDescent="0.25">
      <c r="A19" s="226">
        <v>1998</v>
      </c>
      <c r="B19" s="226">
        <v>1997</v>
      </c>
      <c r="C19" s="135">
        <v>9940</v>
      </c>
      <c r="D19" s="135">
        <v>4970</v>
      </c>
      <c r="E19" s="135">
        <v>61400</v>
      </c>
      <c r="F19" s="135">
        <v>99200</v>
      </c>
      <c r="G19" s="135">
        <v>30330</v>
      </c>
      <c r="H19" s="343" t="s">
        <v>896</v>
      </c>
      <c r="I19" s="205"/>
    </row>
    <row r="20" spans="1:9" s="51" customFormat="1" x14ac:dyDescent="0.25">
      <c r="A20" s="226">
        <v>1997</v>
      </c>
      <c r="B20" s="226">
        <v>1996</v>
      </c>
      <c r="C20" s="135">
        <v>9820</v>
      </c>
      <c r="D20" s="135">
        <v>4910</v>
      </c>
      <c r="E20" s="135">
        <v>60700</v>
      </c>
      <c r="F20" s="135">
        <v>98100</v>
      </c>
      <c r="G20" s="135">
        <v>30000</v>
      </c>
      <c r="H20" s="365" t="s">
        <v>897</v>
      </c>
      <c r="I20" s="48"/>
    </row>
    <row r="21" spans="1:9" s="51" customFormat="1" x14ac:dyDescent="0.25">
      <c r="A21" s="226">
        <v>1996</v>
      </c>
      <c r="B21" s="226">
        <v>1995</v>
      </c>
      <c r="C21" s="135">
        <v>9620</v>
      </c>
      <c r="D21" s="135">
        <v>4810</v>
      </c>
      <c r="E21" s="135">
        <v>59500</v>
      </c>
      <c r="F21" s="135">
        <v>96200</v>
      </c>
      <c r="G21" s="135">
        <v>27989.999999999996</v>
      </c>
      <c r="H21" s="365" t="s">
        <v>898</v>
      </c>
      <c r="I21" s="48"/>
    </row>
    <row r="22" spans="1:9" s="51" customFormat="1" x14ac:dyDescent="0.25">
      <c r="A22" s="226">
        <v>1995</v>
      </c>
      <c r="B22" s="226">
        <v>1994</v>
      </c>
      <c r="C22" s="135">
        <v>9440</v>
      </c>
      <c r="D22" s="135">
        <v>4720</v>
      </c>
      <c r="E22" s="135">
        <v>58400</v>
      </c>
      <c r="F22" s="135">
        <v>94400</v>
      </c>
      <c r="G22" s="135">
        <v>27500</v>
      </c>
      <c r="H22" s="365" t="s">
        <v>899</v>
      </c>
      <c r="I22" s="48"/>
    </row>
    <row r="23" spans="1:9" x14ac:dyDescent="0.25">
      <c r="A23" s="226">
        <v>1994</v>
      </c>
      <c r="B23" s="226">
        <v>1993</v>
      </c>
      <c r="C23" s="34" t="s">
        <v>251</v>
      </c>
      <c r="D23" s="34" t="s">
        <v>252</v>
      </c>
      <c r="E23" s="34" t="s">
        <v>253</v>
      </c>
      <c r="F23" s="34" t="s">
        <v>254</v>
      </c>
      <c r="G23" s="34" t="s">
        <v>245</v>
      </c>
      <c r="H23" s="365" t="s">
        <v>900</v>
      </c>
      <c r="I23" s="48"/>
    </row>
    <row r="24" spans="1:9" x14ac:dyDescent="0.25">
      <c r="A24" s="226">
        <v>1993</v>
      </c>
      <c r="B24" s="226">
        <v>1992</v>
      </c>
      <c r="C24" s="135">
        <v>9120</v>
      </c>
      <c r="D24" s="135">
        <v>4560</v>
      </c>
      <c r="E24" s="135">
        <v>56400</v>
      </c>
      <c r="F24" s="135">
        <v>91200</v>
      </c>
      <c r="G24" s="34" t="s">
        <v>246</v>
      </c>
      <c r="H24" s="365" t="s">
        <v>901</v>
      </c>
      <c r="I24" s="48"/>
    </row>
    <row r="25" spans="1:9" x14ac:dyDescent="0.25">
      <c r="A25" s="226">
        <v>1992</v>
      </c>
      <c r="B25" s="226">
        <v>1991</v>
      </c>
      <c r="C25" s="34" t="s">
        <v>307</v>
      </c>
      <c r="D25" s="135">
        <v>4430</v>
      </c>
      <c r="E25" s="135">
        <v>54800</v>
      </c>
      <c r="F25" s="135">
        <v>88600</v>
      </c>
      <c r="G25" s="34" t="s">
        <v>247</v>
      </c>
      <c r="H25" s="365" t="s">
        <v>902</v>
      </c>
      <c r="I25" s="136"/>
    </row>
    <row r="26" spans="1:9" x14ac:dyDescent="0.25">
      <c r="A26" s="226">
        <v>1991</v>
      </c>
      <c r="B26" s="226">
        <v>1990</v>
      </c>
      <c r="C26" s="135">
        <v>8580</v>
      </c>
      <c r="D26" s="135">
        <v>4290</v>
      </c>
      <c r="E26" s="135">
        <v>53100</v>
      </c>
      <c r="F26" s="34" t="s">
        <v>328</v>
      </c>
      <c r="G26" s="34" t="s">
        <v>248</v>
      </c>
      <c r="H26" s="365" t="s">
        <v>903</v>
      </c>
      <c r="I26" s="136"/>
    </row>
    <row r="27" spans="1:9" x14ac:dyDescent="0.25">
      <c r="A27" s="226">
        <v>1990</v>
      </c>
      <c r="B27" s="226">
        <v>1989</v>
      </c>
      <c r="C27" s="135"/>
      <c r="D27" s="135"/>
      <c r="E27" s="135"/>
      <c r="F27" s="135"/>
      <c r="G27" s="34" t="s">
        <v>249</v>
      </c>
      <c r="H27" s="365" t="s">
        <v>904</v>
      </c>
      <c r="I27" s="136"/>
    </row>
    <row r="28" spans="1:9" x14ac:dyDescent="0.25">
      <c r="A28" s="226">
        <v>1989</v>
      </c>
      <c r="B28" s="226">
        <v>1988</v>
      </c>
      <c r="C28" s="135">
        <v>8020</v>
      </c>
      <c r="D28" s="34" t="s">
        <v>336</v>
      </c>
      <c r="E28" s="135">
        <v>49700</v>
      </c>
      <c r="F28" s="135">
        <v>80200</v>
      </c>
      <c r="G28" s="34" t="s">
        <v>250</v>
      </c>
      <c r="H28" s="365" t="s">
        <v>905</v>
      </c>
      <c r="I28" s="136"/>
    </row>
    <row r="29" spans="1:9" x14ac:dyDescent="0.25">
      <c r="A29" s="226">
        <v>1988</v>
      </c>
      <c r="B29" s="226">
        <v>1987</v>
      </c>
      <c r="C29" s="34" t="s">
        <v>362</v>
      </c>
      <c r="D29" s="34" t="s">
        <v>363</v>
      </c>
      <c r="E29" s="34" t="s">
        <v>364</v>
      </c>
      <c r="F29" s="34" t="s">
        <v>365</v>
      </c>
      <c r="G29" s="34" t="s">
        <v>255</v>
      </c>
      <c r="H29" s="365" t="s">
        <v>906</v>
      </c>
      <c r="I29" s="136"/>
    </row>
    <row r="30" spans="1:9" x14ac:dyDescent="0.25">
      <c r="A30" s="226">
        <v>1987</v>
      </c>
      <c r="B30" s="226">
        <v>1986</v>
      </c>
      <c r="C30" s="135">
        <v>7540</v>
      </c>
      <c r="D30" s="135">
        <v>3770</v>
      </c>
      <c r="E30" s="135">
        <v>46800</v>
      </c>
      <c r="F30" s="135">
        <v>75400</v>
      </c>
      <c r="G30" s="34" t="s">
        <v>256</v>
      </c>
      <c r="H30" s="365" t="s">
        <v>907</v>
      </c>
      <c r="I30" s="136"/>
    </row>
    <row r="31" spans="1:9" x14ac:dyDescent="0.25">
      <c r="A31" s="226">
        <v>1986</v>
      </c>
      <c r="B31" s="226">
        <v>1985</v>
      </c>
      <c r="C31" s="135">
        <v>7360</v>
      </c>
      <c r="D31" s="135">
        <v>3680</v>
      </c>
      <c r="E31" s="135">
        <v>45600</v>
      </c>
      <c r="F31" s="135">
        <v>73600</v>
      </c>
      <c r="G31" s="34" t="s">
        <v>257</v>
      </c>
      <c r="H31" s="365" t="s">
        <v>908</v>
      </c>
      <c r="I31" s="136"/>
    </row>
    <row r="32" spans="1:9" x14ac:dyDescent="0.25">
      <c r="A32" s="226">
        <v>1985</v>
      </c>
      <c r="B32" s="226">
        <v>1984</v>
      </c>
      <c r="C32" s="34" t="s">
        <v>369</v>
      </c>
      <c r="D32" s="34" t="s">
        <v>370</v>
      </c>
      <c r="E32" s="34" t="s">
        <v>371</v>
      </c>
      <c r="F32" s="34" t="s">
        <v>372</v>
      </c>
      <c r="G32" s="34" t="s">
        <v>258</v>
      </c>
      <c r="H32" t="s">
        <v>909</v>
      </c>
      <c r="I32" s="136"/>
    </row>
    <row r="33" spans="1:9" x14ac:dyDescent="0.25">
      <c r="A33" s="226">
        <v>1984</v>
      </c>
      <c r="B33" s="226">
        <v>1983</v>
      </c>
      <c r="C33" s="135"/>
      <c r="D33" s="135"/>
      <c r="E33" s="135"/>
      <c r="F33" s="135"/>
      <c r="G33" s="34" t="s">
        <v>259</v>
      </c>
      <c r="H33" s="384"/>
      <c r="I33" s="136"/>
    </row>
    <row r="34" spans="1:9" x14ac:dyDescent="0.25">
      <c r="A34" s="226">
        <v>1983</v>
      </c>
      <c r="B34" s="226">
        <v>1982</v>
      </c>
      <c r="C34" s="135"/>
      <c r="D34" s="135"/>
      <c r="E34" s="135"/>
      <c r="F34" s="135"/>
      <c r="G34" s="34" t="s">
        <v>260</v>
      </c>
      <c r="H34" s="136"/>
      <c r="I34" s="136"/>
    </row>
    <row r="35" spans="1:9" x14ac:dyDescent="0.25">
      <c r="A35" s="226">
        <v>1982</v>
      </c>
      <c r="B35" s="226">
        <v>1981</v>
      </c>
      <c r="C35" s="135">
        <v>5260</v>
      </c>
      <c r="D35" s="34" t="s">
        <v>302</v>
      </c>
      <c r="E35" s="34" t="s">
        <v>301</v>
      </c>
      <c r="F35" s="34" t="s">
        <v>303</v>
      </c>
      <c r="G35" s="34" t="s">
        <v>261</v>
      </c>
      <c r="H35" s="136"/>
      <c r="I35" s="136"/>
    </row>
    <row r="36" spans="1:9" x14ac:dyDescent="0.25">
      <c r="A36" s="226">
        <v>1981</v>
      </c>
      <c r="B36" s="226">
        <v>1980</v>
      </c>
      <c r="C36" s="34" t="s">
        <v>304</v>
      </c>
      <c r="D36" s="135">
        <v>2315</v>
      </c>
      <c r="E36" s="135">
        <v>28600</v>
      </c>
      <c r="F36" s="135">
        <v>46300</v>
      </c>
      <c r="G36" s="34" t="s">
        <v>359</v>
      </c>
      <c r="H36" s="136"/>
      <c r="I36" s="136"/>
    </row>
    <row r="37" spans="1:9" x14ac:dyDescent="0.25">
      <c r="A37" s="226">
        <v>1980</v>
      </c>
      <c r="B37" s="226">
        <v>1979</v>
      </c>
      <c r="C37" s="135">
        <v>4080</v>
      </c>
      <c r="D37" s="135">
        <v>2040</v>
      </c>
      <c r="E37" s="135">
        <v>25200</v>
      </c>
      <c r="F37" s="135">
        <v>40800</v>
      </c>
      <c r="G37" s="34" t="s">
        <v>358</v>
      </c>
      <c r="H37" s="136"/>
      <c r="I37" s="136"/>
    </row>
    <row r="38" spans="1:9" x14ac:dyDescent="0.25">
      <c r="A38" s="226">
        <v>1979</v>
      </c>
      <c r="B38" s="226">
        <v>1978</v>
      </c>
      <c r="C38" s="34" t="s">
        <v>295</v>
      </c>
      <c r="D38" s="34" t="s">
        <v>277</v>
      </c>
      <c r="E38" s="34" t="s">
        <v>265</v>
      </c>
      <c r="F38" s="34" t="s">
        <v>296</v>
      </c>
      <c r="G38" s="34" t="s">
        <v>290</v>
      </c>
      <c r="H38" s="136"/>
      <c r="I38" s="136"/>
    </row>
    <row r="39" spans="1:9" x14ac:dyDescent="0.25">
      <c r="A39" s="226">
        <v>1978</v>
      </c>
      <c r="B39" s="226">
        <v>1977</v>
      </c>
      <c r="C39" s="34" t="s">
        <v>297</v>
      </c>
      <c r="D39" s="34" t="s">
        <v>298</v>
      </c>
      <c r="E39" s="34" t="s">
        <v>299</v>
      </c>
      <c r="F39" s="34" t="s">
        <v>300</v>
      </c>
      <c r="G39" s="34" t="s">
        <v>289</v>
      </c>
      <c r="H39" s="136"/>
      <c r="I39" s="136"/>
    </row>
    <row r="40" spans="1:9" s="286" customFormat="1" x14ac:dyDescent="0.25">
      <c r="A40" s="226"/>
      <c r="B40" s="226"/>
      <c r="C40" s="226"/>
      <c r="D40" s="226"/>
      <c r="E40" s="226"/>
      <c r="F40" s="226"/>
      <c r="G40" s="226"/>
      <c r="H40" s="136"/>
      <c r="I40" s="136"/>
    </row>
    <row r="42" spans="1:9" x14ac:dyDescent="0.25">
      <c r="C42" s="289" t="s">
        <v>508</v>
      </c>
    </row>
    <row r="43" spans="1:9" x14ac:dyDescent="0.25">
      <c r="C43" s="279" t="s">
        <v>516</v>
      </c>
    </row>
    <row r="44" spans="1:9" x14ac:dyDescent="0.25">
      <c r="C44" s="279" t="s">
        <v>517</v>
      </c>
    </row>
    <row r="45" spans="1:9" x14ac:dyDescent="0.25">
      <c r="C45" s="279" t="s">
        <v>518</v>
      </c>
    </row>
    <row r="91" spans="1:2" x14ac:dyDescent="0.25">
      <c r="A91" s="52"/>
      <c r="B91" s="52"/>
    </row>
    <row r="92" spans="1:2" x14ac:dyDescent="0.25">
      <c r="A92" s="52"/>
      <c r="B92" s="52"/>
    </row>
    <row r="93" spans="1:2" x14ac:dyDescent="0.25">
      <c r="A93" s="52"/>
      <c r="B93" s="52"/>
    </row>
    <row r="94" spans="1:2" x14ac:dyDescent="0.25">
      <c r="A94" s="52"/>
      <c r="B94" s="52"/>
    </row>
    <row r="95" spans="1:2" x14ac:dyDescent="0.25">
      <c r="A95" s="52"/>
      <c r="B95" s="52"/>
    </row>
  </sheetData>
  <mergeCells count="4">
    <mergeCell ref="I2:I3"/>
    <mergeCell ref="C2:F2"/>
    <mergeCell ref="H2:H3"/>
    <mergeCell ref="A2:B2"/>
  </mergeCells>
  <hyperlinks>
    <hyperlink ref="I7" r:id="rId1" location="LEGIARTI000022169561" display="http://www.legifrance.gouv.fr/affichTexteArticle.do;jsessionid=304501568C86C5032D74B02778A01E23.tpdjo08v_2?cidTexte=JORFTEXT000022166146&amp;idArticle=LEGIARTI000022169561&amp;dateTexte=20110611&amp;categorieLien=id - LEGIARTI000022169561"/>
    <hyperlink ref="I9" r:id="rId2" location="LEGIARTI000018559051" display="http://www.legifrance.gouv.fr/affichTexteArticle.do;jsessionid=304501568C86C5032D74B02778A01E23.tpdjo08v_2?cidTexte=JORFTEXT000018557013&amp;idArticle=LEGIARTI000018559051&amp;dateTexte=20090409&amp;categorieLien=id - LEGIARTI000018559051"/>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Sommaire (FR)</vt:lpstr>
      <vt:lpstr>Outline (EN)</vt:lpstr>
      <vt:lpstr>Barème IR</vt:lpstr>
      <vt:lpstr>Barème IGR</vt:lpstr>
      <vt:lpstr>Déductions</vt:lpstr>
      <vt:lpstr>RCM</vt:lpstr>
      <vt:lpstr>micro</vt:lpstr>
      <vt:lpstr>charg_deduc</vt:lpstr>
      <vt:lpstr>abat_RNI</vt:lpstr>
      <vt:lpstr>exo_IR</vt:lpstr>
      <vt:lpstr>plaf_qf</vt:lpstr>
      <vt:lpstr>pv</vt:lpstr>
      <vt:lpstr>dons</vt:lpstr>
      <vt:lpstr>deduc_sal</vt:lpstr>
      <vt:lpstr>SOFIPECHE</vt:lpstr>
      <vt:lpstr>sal_dom</vt:lpstr>
      <vt:lpstr>prest_compen</vt:lpstr>
      <vt:lpstr>FCP</vt:lpstr>
      <vt:lpstr>SOFICA</vt:lpstr>
      <vt:lpstr>PME</vt:lpstr>
      <vt:lpstr>forêt</vt:lpstr>
      <vt:lpstr>enfscol</vt:lpstr>
      <vt:lpstr>heberg_santé</vt:lpstr>
      <vt:lpstr>habitat_princ</vt:lpstr>
      <vt:lpstr>codev</vt:lpstr>
      <vt:lpstr>divers</vt:lpstr>
      <vt:lpstr>gardenf</vt:lpstr>
      <vt:lpstr>plaf_nich</vt:lpstr>
      <vt:lpstr>PPE</vt:lpstr>
      <vt:lpstr>taxe_HR</vt:lpstr>
      <vt:lpstr>majo_excep</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Mathias André</cp:lastModifiedBy>
  <dcterms:created xsi:type="dcterms:W3CDTF">2011-10-26T07:32:36Z</dcterms:created>
  <dcterms:modified xsi:type="dcterms:W3CDTF">2014-04-22T09:44:17Z</dcterms:modified>
</cp:coreProperties>
</file>