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C:\Users\chsja\Documents\Apuntes-Facultad\Apunter 4to Semestre\Ingenieria Financiera\"/>
    </mc:Choice>
  </mc:AlternateContent>
  <xr:revisionPtr revIDLastSave="0" documentId="13_ncr:1_{EC3B5BAB-5151-41C6-B076-0A4E463191E0}" xr6:coauthVersionLast="47" xr6:coauthVersionMax="47" xr10:uidLastSave="{00000000-0000-0000-0000-000000000000}"/>
  <bookViews>
    <workbookView xWindow="-108" yWindow="-108" windowWidth="23256" windowHeight="13176" activeTab="2" xr2:uid="{E213770E-90B2-4B8D-B3D1-A947E1311ABC}"/>
  </bookViews>
  <sheets>
    <sheet name="Flujo neto" sheetId="1" r:id="rId1"/>
    <sheet name="Escenario óptimo" sheetId="2" r:id="rId2"/>
    <sheet name="Escenario neutral" sheetId="3" r:id="rId3"/>
    <sheet name="Escenario pésimo" sheetId="4" r:id="rId4"/>
    <sheet name="Reporte" sheetId="5"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20" i="2" l="1"/>
  <c r="B35" i="4"/>
  <c r="D31" i="4"/>
  <c r="E19" i="4"/>
  <c r="D19" i="4"/>
  <c r="B27" i="2"/>
  <c r="C32" i="3"/>
  <c r="C31" i="3"/>
  <c r="D31" i="3" s="1"/>
  <c r="D33" i="4"/>
  <c r="D32" i="4"/>
  <c r="C27" i="4"/>
  <c r="D27" i="4"/>
  <c r="E27" i="4"/>
  <c r="F27" i="4"/>
  <c r="G27" i="4"/>
  <c r="H27" i="4"/>
  <c r="I27" i="4"/>
  <c r="J27" i="4"/>
  <c r="K27" i="4"/>
  <c r="L27" i="4"/>
  <c r="M27" i="4"/>
  <c r="B27" i="4"/>
  <c r="B28" i="4" s="1"/>
  <c r="G19" i="4"/>
  <c r="G25" i="4" s="1"/>
  <c r="G28" i="4" s="1"/>
  <c r="H19" i="4"/>
  <c r="I19" i="4"/>
  <c r="J19" i="4"/>
  <c r="K19" i="4"/>
  <c r="L19" i="4"/>
  <c r="M19" i="4"/>
  <c r="F19" i="4"/>
  <c r="B25" i="4"/>
  <c r="K17" i="4"/>
  <c r="M17" i="4"/>
  <c r="L17" i="4"/>
  <c r="J17" i="4"/>
  <c r="I17" i="4"/>
  <c r="H17" i="4"/>
  <c r="G17" i="4"/>
  <c r="F17" i="4"/>
  <c r="E17" i="4"/>
  <c r="D17" i="4"/>
  <c r="C17" i="4"/>
  <c r="M16" i="4"/>
  <c r="L16" i="4"/>
  <c r="K16" i="4"/>
  <c r="J16" i="4"/>
  <c r="I16" i="4"/>
  <c r="H16" i="4"/>
  <c r="G16" i="4"/>
  <c r="F16" i="4"/>
  <c r="E16" i="4"/>
  <c r="D16" i="4"/>
  <c r="C16" i="4"/>
  <c r="B16" i="4"/>
  <c r="D32" i="3"/>
  <c r="F26" i="3"/>
  <c r="G26" i="3"/>
  <c r="H26" i="3"/>
  <c r="I26" i="3"/>
  <c r="J26" i="3"/>
  <c r="K26" i="3"/>
  <c r="L26" i="3"/>
  <c r="M26" i="3"/>
  <c r="C26" i="3"/>
  <c r="D26" i="3"/>
  <c r="E26" i="3"/>
  <c r="B26" i="3"/>
  <c r="E20" i="3"/>
  <c r="G20" i="3"/>
  <c r="H20" i="3"/>
  <c r="I20" i="3"/>
  <c r="J20" i="3"/>
  <c r="K20" i="3"/>
  <c r="L20" i="3"/>
  <c r="M20" i="3"/>
  <c r="F20" i="3"/>
  <c r="E18" i="3"/>
  <c r="F18" i="3"/>
  <c r="G18" i="3"/>
  <c r="H18" i="3"/>
  <c r="I18" i="3"/>
  <c r="J18" i="3"/>
  <c r="K18" i="3"/>
  <c r="L18" i="3"/>
  <c r="M18" i="3"/>
  <c r="D18" i="3"/>
  <c r="M16" i="3"/>
  <c r="L16" i="3"/>
  <c r="K16" i="3"/>
  <c r="J16" i="3"/>
  <c r="I16" i="3"/>
  <c r="H16" i="3"/>
  <c r="G16" i="3"/>
  <c r="F16" i="3"/>
  <c r="E16" i="3"/>
  <c r="D16" i="3"/>
  <c r="C16" i="3"/>
  <c r="M15" i="3"/>
  <c r="L15" i="3"/>
  <c r="K15" i="3"/>
  <c r="J15" i="3"/>
  <c r="I15" i="3"/>
  <c r="H15" i="3"/>
  <c r="G15" i="3"/>
  <c r="F15" i="3"/>
  <c r="E15" i="3"/>
  <c r="D15" i="3"/>
  <c r="C15" i="3"/>
  <c r="B15" i="3"/>
  <c r="B24" i="3" s="1"/>
  <c r="H12" i="2"/>
  <c r="I12" i="2"/>
  <c r="I20" i="2" s="1"/>
  <c r="I23" i="2" s="1"/>
  <c r="J12" i="2"/>
  <c r="J20" i="2" s="1"/>
  <c r="J23" i="2" s="1"/>
  <c r="K12" i="2"/>
  <c r="L12" i="2"/>
  <c r="M12" i="2"/>
  <c r="H13" i="2"/>
  <c r="I13" i="2"/>
  <c r="J13" i="2"/>
  <c r="K13" i="2"/>
  <c r="L13" i="2"/>
  <c r="M13" i="2"/>
  <c r="G13" i="2"/>
  <c r="G12" i="2"/>
  <c r="F13" i="2"/>
  <c r="C26" i="2"/>
  <c r="C28" i="1"/>
  <c r="C22" i="2"/>
  <c r="D22" i="2"/>
  <c r="E22" i="2"/>
  <c r="F22" i="2"/>
  <c r="G22" i="2"/>
  <c r="H22" i="2"/>
  <c r="I22" i="2"/>
  <c r="J22" i="2"/>
  <c r="K22" i="2"/>
  <c r="L22" i="2"/>
  <c r="M22" i="2"/>
  <c r="B22" i="2"/>
  <c r="B23" i="2" s="1"/>
  <c r="C24" i="2" s="1"/>
  <c r="D24" i="2" s="1"/>
  <c r="E13" i="2"/>
  <c r="D13" i="2"/>
  <c r="D20" i="2" s="1"/>
  <c r="D23" i="2" s="1"/>
  <c r="C13" i="2"/>
  <c r="C20" i="2" s="1"/>
  <c r="C23" i="2" s="1"/>
  <c r="F12" i="2"/>
  <c r="E12" i="2"/>
  <c r="D12" i="2"/>
  <c r="C12" i="2"/>
  <c r="B12" i="2"/>
  <c r="B20" i="2"/>
  <c r="G33" i="4"/>
  <c r="I33" i="4" s="1"/>
  <c r="M25" i="1"/>
  <c r="L25" i="1"/>
  <c r="K25" i="1"/>
  <c r="J25" i="1"/>
  <c r="I25" i="1"/>
  <c r="H25" i="1"/>
  <c r="G25" i="1"/>
  <c r="F25" i="1"/>
  <c r="E25" i="1"/>
  <c r="D25" i="1"/>
  <c r="C25" i="1"/>
  <c r="B25" i="1"/>
  <c r="H23" i="1"/>
  <c r="H26" i="1" s="1"/>
  <c r="G23" i="1"/>
  <c r="G26" i="1" s="1"/>
  <c r="F23" i="1"/>
  <c r="F26" i="1" s="1"/>
  <c r="E23" i="1"/>
  <c r="E26" i="1" s="1"/>
  <c r="B23" i="1"/>
  <c r="B26" i="1" s="1"/>
  <c r="E16" i="1"/>
  <c r="F16" i="1"/>
  <c r="G16" i="1"/>
  <c r="H16" i="1"/>
  <c r="I16" i="1"/>
  <c r="J16" i="1"/>
  <c r="K16" i="1"/>
  <c r="L16" i="1"/>
  <c r="M16" i="1"/>
  <c r="D16" i="1"/>
  <c r="C16" i="1"/>
  <c r="C15" i="1"/>
  <c r="C23" i="1" s="1"/>
  <c r="C26" i="1" s="1"/>
  <c r="D15" i="1"/>
  <c r="D23" i="1" s="1"/>
  <c r="D26" i="1" s="1"/>
  <c r="E15" i="1"/>
  <c r="F15" i="1"/>
  <c r="G15" i="1"/>
  <c r="H15" i="1"/>
  <c r="I15" i="1"/>
  <c r="I23" i="1" s="1"/>
  <c r="I26" i="1" s="1"/>
  <c r="J15" i="1"/>
  <c r="J23" i="1" s="1"/>
  <c r="J26" i="1" s="1"/>
  <c r="K15" i="1"/>
  <c r="K23" i="1" s="1"/>
  <c r="K26" i="1" s="1"/>
  <c r="L15" i="1"/>
  <c r="L23" i="1" s="1"/>
  <c r="L26" i="1" s="1"/>
  <c r="M15" i="1"/>
  <c r="M23" i="1" s="1"/>
  <c r="M26" i="1" s="1"/>
  <c r="B15" i="1"/>
  <c r="E25" i="4" l="1"/>
  <c r="D25" i="4"/>
  <c r="N25" i="4" s="1"/>
  <c r="C25" i="4"/>
  <c r="C28" i="4" s="1"/>
  <c r="C29" i="4" s="1"/>
  <c r="C31" i="4"/>
  <c r="E28" i="4"/>
  <c r="M25" i="4"/>
  <c r="M28" i="4" s="1"/>
  <c r="L25" i="4"/>
  <c r="L28" i="4" s="1"/>
  <c r="C30" i="3"/>
  <c r="K25" i="4"/>
  <c r="K28" i="4" s="1"/>
  <c r="J25" i="4"/>
  <c r="J28" i="4" s="1"/>
  <c r="D28" i="4"/>
  <c r="E24" i="2"/>
  <c r="K20" i="2"/>
  <c r="K23" i="2" s="1"/>
  <c r="E20" i="2"/>
  <c r="E23" i="2" s="1"/>
  <c r="L20" i="2"/>
  <c r="L23" i="2" s="1"/>
  <c r="F24" i="3"/>
  <c r="F27" i="3" s="1"/>
  <c r="H24" i="3"/>
  <c r="H27" i="3" s="1"/>
  <c r="J24" i="3"/>
  <c r="J27" i="3" s="1"/>
  <c r="G24" i="3"/>
  <c r="G27" i="3" s="1"/>
  <c r="B27" i="3"/>
  <c r="M24" i="3"/>
  <c r="M27" i="3" s="1"/>
  <c r="K24" i="3"/>
  <c r="K27" i="3" s="1"/>
  <c r="C24" i="3"/>
  <c r="L24" i="3"/>
  <c r="L27" i="3" s="1"/>
  <c r="D24" i="3"/>
  <c r="D27" i="3" s="1"/>
  <c r="E24" i="3"/>
  <c r="E27" i="3" s="1"/>
  <c r="I24" i="3"/>
  <c r="I27" i="3" s="1"/>
  <c r="F25" i="4"/>
  <c r="F28" i="4" s="1"/>
  <c r="I25" i="4"/>
  <c r="I28" i="4" s="1"/>
  <c r="H25" i="4"/>
  <c r="H28" i="4" s="1"/>
  <c r="M20" i="2"/>
  <c r="M23" i="2" s="1"/>
  <c r="H20" i="2"/>
  <c r="H23" i="2" s="1"/>
  <c r="G20" i="2"/>
  <c r="G23" i="2" s="1"/>
  <c r="F20" i="2"/>
  <c r="F23" i="2" s="1"/>
  <c r="C27" i="1"/>
  <c r="D27" i="1" s="1"/>
  <c r="E27" i="1" s="1"/>
  <c r="F27" i="1" s="1"/>
  <c r="G27" i="1" s="1"/>
  <c r="H27" i="1" s="1"/>
  <c r="I27" i="1" s="1"/>
  <c r="J27" i="1" s="1"/>
  <c r="K27" i="1" s="1"/>
  <c r="L27" i="1" s="1"/>
  <c r="M27" i="1" s="1"/>
  <c r="N26" i="1"/>
  <c r="N27" i="1" s="1"/>
  <c r="O27" i="1"/>
  <c r="D34" i="1" s="1"/>
  <c r="N23" i="1"/>
  <c r="H33" i="4"/>
  <c r="J33" i="4" s="1"/>
  <c r="D29" i="4" l="1"/>
  <c r="E29" i="4" s="1"/>
  <c r="F29" i="4"/>
  <c r="G29" i="4" s="1"/>
  <c r="H29" i="4" s="1"/>
  <c r="I29" i="4" s="1"/>
  <c r="J29" i="4" s="1"/>
  <c r="K29" i="4" s="1"/>
  <c r="L29" i="4" s="1"/>
  <c r="M29" i="4" s="1"/>
  <c r="N28" i="4"/>
  <c r="C27" i="3"/>
  <c r="N27" i="3" s="1"/>
  <c r="B34" i="3" s="1"/>
  <c r="N24" i="3"/>
  <c r="F24" i="2"/>
  <c r="N23" i="2"/>
  <c r="G24" i="2"/>
  <c r="H24" i="2" s="1"/>
  <c r="I24" i="2" s="1"/>
  <c r="J24" i="2" s="1"/>
  <c r="K24" i="2" s="1"/>
  <c r="L24" i="2" s="1"/>
  <c r="M24" i="2" s="1"/>
  <c r="N29" i="4" l="1"/>
  <c r="O29" i="4"/>
  <c r="N28" i="3"/>
  <c r="O28" i="3"/>
  <c r="C28" i="3"/>
  <c r="D28" i="3" s="1"/>
  <c r="E28" i="3" s="1"/>
  <c r="F28" i="3" s="1"/>
  <c r="G28" i="3" s="1"/>
  <c r="H28" i="3" s="1"/>
  <c r="I28" i="3" s="1"/>
  <c r="J28" i="3" s="1"/>
  <c r="K28" i="3" s="1"/>
  <c r="L28" i="3" s="1"/>
  <c r="M28" i="3" s="1"/>
  <c r="N24" i="2"/>
  <c r="O24" i="2"/>
</calcChain>
</file>

<file path=xl/sharedStrings.xml><?xml version="1.0" encoding="utf-8"?>
<sst xmlns="http://schemas.openxmlformats.org/spreadsheetml/2006/main" count="190" uniqueCount="87">
  <si>
    <t>Estimación de ventas</t>
  </si>
  <si>
    <t>Servicio 1</t>
  </si>
  <si>
    <t>Servicio 2</t>
  </si>
  <si>
    <t>Servicio 3</t>
  </si>
  <si>
    <t>Flujo neto</t>
  </si>
  <si>
    <t>Ingresos</t>
  </si>
  <si>
    <t>Enero</t>
  </si>
  <si>
    <t>Febrero</t>
  </si>
  <si>
    <t>Marzo</t>
  </si>
  <si>
    <t>Abril</t>
  </si>
  <si>
    <t>Mayo</t>
  </si>
  <si>
    <t>Junio</t>
  </si>
  <si>
    <t>Julio</t>
  </si>
  <si>
    <t>Agosto</t>
  </si>
  <si>
    <t>Septiembre</t>
  </si>
  <si>
    <t>Octubre</t>
  </si>
  <si>
    <t>Noviembre</t>
  </si>
  <si>
    <t>Diciembre</t>
  </si>
  <si>
    <t>Tasa de costo de oportunidad</t>
  </si>
  <si>
    <t>Flujo descontado</t>
  </si>
  <si>
    <t>Monto de inversión</t>
  </si>
  <si>
    <t>Egresos operacionales y de financiamiento</t>
  </si>
  <si>
    <t>VPN</t>
  </si>
  <si>
    <t>TIR</t>
  </si>
  <si>
    <t>Determine la rentabilidad del proyecto a diciembre del 2024</t>
  </si>
  <si>
    <t>¿En que periodo es factible el proyecto sin considerar la TIR?</t>
  </si>
  <si>
    <t>¿En que periodo es factible el proyecto considerando la TIR?</t>
  </si>
  <si>
    <t>La empresa " Soft Intelligence" tiene tres nuevos servicios a diversificar para este 2024 como pilotaje para el área de transporte de las áreas próximas al puerto a diferentes zonas comerciales  de abasto. Iniciarán con Jalisco, Aguascalientes,</t>
  </si>
  <si>
    <t>Guanajuato y San Luis Potosí. El primer servicio consta en un software que estableece la demanda de transporte a diferentes rutas y se presentará al menos a 25 empresas para brindar calidad y fluidez en las entregas.</t>
  </si>
  <si>
    <t>El segundo servicio, en una plataforma alterna la cotización por parte de las empresas para el servicio de transporte, tiempo de recepción entrega y fecha estimada de entrega y aseguranza por pérdida de mercancía a un 80%</t>
  </si>
  <si>
    <t xml:space="preserve">El primer y segundo servicio se ofrecen a estas 25 empresas en una cuota mensual de $5000. </t>
  </si>
  <si>
    <t>Los gastos operacionales son mensuales y se mencionan a continuación: de papelería y útiles son de $1200, arrendamiento de la oficina $8,000, gastos de servicios públicos $2000, gastos de servicio de conectividad wi fi $600,</t>
  </si>
  <si>
    <t xml:space="preserve">El tercer servicio consta de un servicio de monitoreo de seguridad colocado a los transportes de la empresas que pagan la membresía en cuota anual de $150,000 o bien 12 pagos de $15,000. </t>
  </si>
  <si>
    <t>Solo 5 empresas pagaron la cuota anual en febrero y dos determinaron mensual a partir de marzo.</t>
  </si>
  <si>
    <t>Arrendamiento oficina</t>
  </si>
  <si>
    <t>Nómina</t>
  </si>
  <si>
    <t>Servicios públicos</t>
  </si>
  <si>
    <t>Gtos serv conectividad</t>
  </si>
  <si>
    <t>Papelería y útiles</t>
  </si>
  <si>
    <t xml:space="preserve">nómina $42,000, los cuales se estiman pagar desde enero a diciembre </t>
  </si>
  <si>
    <t>El monto de inversión es de $950,000 y la tasa que solicitan los inversionistas es de 20%</t>
  </si>
  <si>
    <t>Los inversionistas tienen como opción colocar este recurso en un fondo de inversión que le brinda el 13% de rendimiento anual.</t>
  </si>
  <si>
    <t>julio</t>
  </si>
  <si>
    <t>diciembre</t>
  </si>
  <si>
    <t>Los gastos operacionales se mantienen constantes con excepción de nómina incrementando de $42,000 a $52,000 a partir de mayo.</t>
  </si>
  <si>
    <t>Los demás datos de valor de inversión, costo de oportunidad y TIR se muestran sin variación</t>
  </si>
  <si>
    <t>La empresa considera un incremento de ventas del servicio 3 en otras dos membresias anuales en mayo y 4 mensuales adicionales a partir de junio</t>
  </si>
  <si>
    <t>La empresa considera un incremento de ventas del servicio 3 en una membresias anual en octubre y 2 membresías mensuales adicionales a partir de noviembre</t>
  </si>
  <si>
    <t>Financiado por inversionistas</t>
  </si>
  <si>
    <t>Se instalaran dos servicios de aire acondicionado por un monto de $35,000 en abril, por tanto el gasto de servicios públicos incrementará un 45% a partir de mayo</t>
  </si>
  <si>
    <t>Servicio de aire acondicionado</t>
  </si>
  <si>
    <t>Los gastos operacionales  que manifiestan variación son los siguientes: se mantienen constantes con excepción de nómina incrementando de $42,000 a $62,000 a partir de mayo, gastos de arrendamiento se estima un incremento de 25% a partir de marzo</t>
  </si>
  <si>
    <t xml:space="preserve">Los  datos de valor de inversión y costo de oportunidad  se muestran constantes. </t>
  </si>
  <si>
    <t>¿En que periodo es factible el proyecto acorde al monto de inversión del proyecto?</t>
  </si>
  <si>
    <t>¿En que periodo es factible pagar el monto financiado directamente por los inversionistas con una TIR de 8%?</t>
  </si>
  <si>
    <t>Determine el monto a pagar a los inversionistas considerando el 8% directo y costo final del financiamiento</t>
  </si>
  <si>
    <t>Acorde al monto a pagar al inversionista y costo final de financiamiento, determine la factibilidad</t>
  </si>
  <si>
    <t>La empresa considera un incremento de ventas del servicio 3 en una membresia anual en octubre.</t>
  </si>
  <si>
    <t>Se instalaran dos servicios de aire acondicionado por un monto de $35,000 en abril, el servicio de luz eléctrica representa el 60% del total y dicha cuenta incrementó un 85% a partir de mayo</t>
  </si>
  <si>
    <t xml:space="preserve">Los inversionistas solo tienen la capacidad de brindar el 60% del monto presupuestado y solicitan el 15% y el restante se queda a un financiamiento de 12 meses a una tasa de 28.5% anual pagadero a partir de abril </t>
  </si>
  <si>
    <t>Determine el monto a pagar a los inversionistas considerandoel TIR y costo final del financiamiento</t>
  </si>
  <si>
    <t>Los gastos operacionales  que manifiestan variación son los siguientes: se mantienen constantes con excepción de nómina incrementando de $42,000 a $62,000 a partir de mayo, gastos de arrendamiento se estima un incremento de 50% a partir de marzo</t>
  </si>
  <si>
    <t>SERV PUB</t>
  </si>
  <si>
    <t>SERV ENERG ELECT</t>
  </si>
  <si>
    <t>AGUA POTABLE</t>
  </si>
  <si>
    <t>SERV E.E+INCREM 85%</t>
  </si>
  <si>
    <t xml:space="preserve">Los inversionistas solo tienen la capacidad de brindar el 70% del monto presupuestado CON UNA tir de 8% y el restante se queda a un financiamiento avalado por los mismos inversionistas de 24 meses a una tasa de 22.5% anual pagadero a partir de abril </t>
  </si>
  <si>
    <t>E.E + INCREMENT</t>
  </si>
  <si>
    <t>Acumulado Mensual</t>
  </si>
  <si>
    <t>Financiamiento Avalado</t>
  </si>
  <si>
    <t>En agosto</t>
  </si>
  <si>
    <t>En marzo</t>
  </si>
  <si>
    <t>Seria $1,163,310.44</t>
  </si>
  <si>
    <t>Pagaran $1,159,128.82</t>
  </si>
  <si>
    <t xml:space="preserve">Dado que el monto a pagar al inversionista es de $1,163,310.44 y el flujo descontado es de $1,113,774.47, podemos ver que el flujo descontado es menor que el monto a pagar. </t>
  </si>
  <si>
    <t>Esto sugiere que el proyecto podría no ser factible en términos financieros, ya que el flujo generado por la inversión no sería suficiente para cubrir el monto total a pagar al inversionista con intereses.</t>
  </si>
  <si>
    <t xml:space="preserve">Dado que el monto a pagar al inversionista es de $1,159,128.82 y el flujo descontado es de $1,090,427.32 , podemos ver que el flujo descontado es menor que el monto a pagar. </t>
  </si>
  <si>
    <t xml:space="preserve">Dado que el monto a pagar al inversionista es de $1,140,000.00 y el flujo descontado es de $1,421,888.69 , podemos ver que el flujo descontado es menor que el monto a pagar. </t>
  </si>
  <si>
    <t>Esto sugiere que el proyecto podría ser factible en términos financieros, ya que el flujo generado por la inversión sería suficiente para cubrir el monto total a pagar al inversionista con intereses.</t>
  </si>
  <si>
    <t xml:space="preserve">
El proyecto de diversificación de servicios de la empresa "Soft Intelligence" para el área de transporte hacia zonas comerciales de abasto presenta tres escenarios: optimista, neutral y pesimista. En el escenario optimista, se prevé un aumento significativo en las ventas del servicio 3, con un aumento de gastos operacionales en nómina a partir de mayo. En el escenario neutral, se esperan incrementos moderados en las ventas del servicio 3, con variaciones en gastos operacionales como aumento en nómina, arrendamiento y servicios públicos. Además, se considera la instalación de servicios de aire acondicionado en abril. En el escenario pesimista, se pronostica un incremento mínimo en las ventas del servicio 3, con aumentos considerables en gastos operacionales como nómina y arrendamiento, junto con un incremento drástico en el costo de electricidad. Los inversionistas tienen opciones de inversión con diferentes rendimientos y condiciones de financiamiento. Siendo para mi punto de vista un proyecto no rentable debido a que no se genera la suficiente venta en 2 de los 3 escenarios mas que solamente en el optimo dando a ver que hasta en el neutral es dificil rentabilizarlo</t>
  </si>
  <si>
    <t>y considerar la posibilidad de diversificar sus fuentes de ingresos o reducir costos operativos para mitigar riesgos.</t>
  </si>
  <si>
    <t xml:space="preserve">Recomendaciones </t>
  </si>
  <si>
    <t xml:space="preserve">1.-Dada la incertidumbre asociada con los escenarios planteados, se sugiere a la empresa "Soft Intelligence" mantener un enfoque cauteloso en su planificación financiera </t>
  </si>
  <si>
    <t>por los inversionistas y compare con otras opciones disponibles en el mercado para garantizar la viabilidad financiera a largo</t>
  </si>
  <si>
    <t>2.-Es importante que la empresa evalúe detenidamente las condiciones de financiamiento ofrecidas  plazo del proyecto</t>
  </si>
  <si>
    <t xml:space="preserve">3.-Es considerable notar acerca que los escenarios donde hay una financion externa pero no de los inversionistas causan </t>
  </si>
  <si>
    <t>un mayor riesgo y un mayor monto de inversion a comparacion del escenario donde solamente los inversionistas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</si>
</sst>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8" formatCode="&quot;$&quot;#,##0.00;[Red]\-&quot;$&quot;#,##0.00"/>
    <numFmt numFmtId="164" formatCode="&quot;$&quot;#,##0.00"/>
  </numFmts>
  <fonts count="7" x14ac:knownFonts="1">
    <font>
      <sz val="11"/>
      <color theme="1"/>
      <name val="Calibri"/>
      <family val="2"/>
      <scheme val="minor"/>
    </font>
    <font>
      <b/>
      <sz val="11"/>
      <color theme="1"/>
      <name val="Abadi"/>
      <family val="2"/>
    </font>
    <font>
      <sz val="11"/>
      <color theme="1"/>
      <name val="Abadi"/>
      <family val="2"/>
    </font>
    <font>
      <sz val="8"/>
      <name val="Calibri"/>
      <family val="2"/>
      <scheme val="minor"/>
    </font>
    <font>
      <i/>
      <sz val="11"/>
      <color theme="1"/>
      <name val="Abadi"/>
      <family val="2"/>
    </font>
    <font>
      <sz val="10"/>
      <color theme="1"/>
      <name val="Abadi"/>
      <family val="2"/>
    </font>
    <font>
      <b/>
      <sz val="11"/>
      <color theme="1"/>
      <name val="Calibri"/>
      <family val="2"/>
      <scheme val="minor"/>
    </font>
  </fonts>
  <fills count="8">
    <fill>
      <patternFill patternType="none"/>
    </fill>
    <fill>
      <patternFill patternType="gray125"/>
    </fill>
    <fill>
      <patternFill patternType="solid">
        <fgColor theme="8" tint="0.59999389629810485"/>
        <bgColor indexed="64"/>
      </patternFill>
    </fill>
    <fill>
      <patternFill patternType="solid">
        <fgColor theme="9" tint="0.59999389629810485"/>
        <bgColor indexed="64"/>
      </patternFill>
    </fill>
    <fill>
      <patternFill patternType="solid">
        <fgColor theme="7" tint="0.39997558519241921"/>
        <bgColor indexed="64"/>
      </patternFill>
    </fill>
    <fill>
      <patternFill patternType="solid">
        <fgColor rgb="FFFFFF00"/>
        <bgColor indexed="64"/>
      </patternFill>
    </fill>
    <fill>
      <patternFill patternType="solid">
        <fgColor theme="0"/>
        <bgColor indexed="64"/>
      </patternFill>
    </fill>
    <fill>
      <patternFill patternType="solid">
        <fgColor theme="9" tint="0.39997558519241921"/>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s>
  <cellStyleXfs count="1">
    <xf numFmtId="0" fontId="0" fillId="0" borderId="0"/>
  </cellStyleXfs>
  <cellXfs count="50">
    <xf numFmtId="0" fontId="0" fillId="0" borderId="0" xfId="0"/>
    <xf numFmtId="0" fontId="2" fillId="0" borderId="0" xfId="0" applyFont="1"/>
    <xf numFmtId="0" fontId="2" fillId="0" borderId="0" xfId="0" applyFont="1" applyAlignment="1">
      <alignment wrapText="1"/>
    </xf>
    <xf numFmtId="0" fontId="1" fillId="0" borderId="1" xfId="0" applyFont="1" applyBorder="1" applyAlignment="1">
      <alignment horizontal="center"/>
    </xf>
    <xf numFmtId="0" fontId="1" fillId="0" borderId="2" xfId="0" applyFont="1" applyBorder="1" applyAlignment="1">
      <alignment horizontal="center"/>
    </xf>
    <xf numFmtId="0" fontId="1" fillId="0" borderId="1" xfId="0" applyFont="1" applyBorder="1"/>
    <xf numFmtId="0" fontId="2" fillId="0" borderId="1" xfId="0" applyFont="1" applyBorder="1"/>
    <xf numFmtId="0" fontId="1" fillId="0" borderId="1" xfId="0" applyFont="1" applyBorder="1" applyAlignment="1">
      <alignment wrapText="1"/>
    </xf>
    <xf numFmtId="0" fontId="2" fillId="0" borderId="1" xfId="0" applyFont="1" applyBorder="1" applyAlignment="1">
      <alignment wrapText="1"/>
    </xf>
    <xf numFmtId="0" fontId="2" fillId="2" borderId="1" xfId="0" applyFont="1" applyFill="1" applyBorder="1"/>
    <xf numFmtId="9" fontId="2" fillId="0" borderId="0" xfId="0" applyNumberFormat="1" applyFont="1"/>
    <xf numFmtId="0" fontId="2" fillId="3" borderId="0" xfId="0" applyFont="1" applyFill="1"/>
    <xf numFmtId="9" fontId="2" fillId="0" borderId="1" xfId="0" applyNumberFormat="1" applyFont="1" applyBorder="1"/>
    <xf numFmtId="8" fontId="2" fillId="0" borderId="0" xfId="0" applyNumberFormat="1" applyFont="1"/>
    <xf numFmtId="8" fontId="4" fillId="0" borderId="0" xfId="0" applyNumberFormat="1" applyFont="1"/>
    <xf numFmtId="2" fontId="2" fillId="0" borderId="1" xfId="0" applyNumberFormat="1" applyFont="1" applyBorder="1"/>
    <xf numFmtId="4" fontId="2" fillId="0" borderId="0" xfId="0" applyNumberFormat="1" applyFont="1"/>
    <xf numFmtId="4" fontId="2" fillId="2" borderId="1" xfId="0" applyNumberFormat="1" applyFont="1" applyFill="1" applyBorder="1"/>
    <xf numFmtId="8" fontId="2" fillId="0" borderId="1" xfId="0" applyNumberFormat="1" applyFont="1" applyBorder="1"/>
    <xf numFmtId="4" fontId="2" fillId="4" borderId="0" xfId="0" applyNumberFormat="1" applyFont="1" applyFill="1"/>
    <xf numFmtId="0" fontId="0" fillId="3" borderId="0" xfId="0" applyFill="1"/>
    <xf numFmtId="8" fontId="2" fillId="3" borderId="0" xfId="0" applyNumberFormat="1" applyFont="1" applyFill="1"/>
    <xf numFmtId="0" fontId="5" fillId="0" borderId="0" xfId="0" applyFont="1"/>
    <xf numFmtId="0" fontId="0" fillId="0" borderId="1" xfId="0" applyBorder="1"/>
    <xf numFmtId="164" fontId="2" fillId="0" borderId="0" xfId="0" applyNumberFormat="1" applyFont="1"/>
    <xf numFmtId="0" fontId="6" fillId="0" borderId="1" xfId="0" applyFont="1" applyBorder="1" applyAlignment="1">
      <alignment horizontal="center"/>
    </xf>
    <xf numFmtId="0" fontId="2" fillId="0" borderId="2" xfId="0" applyFont="1" applyBorder="1" applyAlignment="1">
      <alignment wrapText="1"/>
    </xf>
    <xf numFmtId="0" fontId="2" fillId="0" borderId="3" xfId="0" applyFont="1" applyBorder="1"/>
    <xf numFmtId="8" fontId="4" fillId="0" borderId="1" xfId="0" applyNumberFormat="1" applyFont="1" applyBorder="1"/>
    <xf numFmtId="10" fontId="2" fillId="0" borderId="1" xfId="0" applyNumberFormat="1" applyFont="1" applyBorder="1"/>
    <xf numFmtId="164" fontId="2" fillId="0" borderId="1" xfId="0" applyNumberFormat="1" applyFont="1" applyBorder="1"/>
    <xf numFmtId="164" fontId="4" fillId="0" borderId="1" xfId="0" applyNumberFormat="1" applyFont="1" applyBorder="1"/>
    <xf numFmtId="9" fontId="0" fillId="0" borderId="1" xfId="0" applyNumberFormat="1" applyBorder="1"/>
    <xf numFmtId="164" fontId="2" fillId="0" borderId="3" xfId="0" applyNumberFormat="1" applyFont="1" applyBorder="1"/>
    <xf numFmtId="164" fontId="0" fillId="0" borderId="1" xfId="0" applyNumberFormat="1" applyBorder="1"/>
    <xf numFmtId="164" fontId="1" fillId="0" borderId="1" xfId="0" applyNumberFormat="1" applyFont="1" applyBorder="1" applyAlignment="1">
      <alignment horizontal="center"/>
    </xf>
    <xf numFmtId="164" fontId="2" fillId="0" borderId="2" xfId="0" applyNumberFormat="1" applyFont="1" applyBorder="1"/>
    <xf numFmtId="164" fontId="5" fillId="0" borderId="1" xfId="0" applyNumberFormat="1" applyFont="1" applyBorder="1"/>
    <xf numFmtId="164" fontId="2" fillId="5" borderId="1" xfId="0" applyNumberFormat="1" applyFont="1" applyFill="1" applyBorder="1"/>
    <xf numFmtId="0" fontId="2" fillId="0" borderId="4" xfId="0" applyFont="1" applyBorder="1" applyAlignment="1">
      <alignment wrapText="1"/>
    </xf>
    <xf numFmtId="0" fontId="1" fillId="3" borderId="0" xfId="0" applyFont="1" applyFill="1"/>
    <xf numFmtId="0" fontId="6" fillId="3" borderId="0" xfId="0" applyFont="1" applyFill="1"/>
    <xf numFmtId="0" fontId="0" fillId="3" borderId="0" xfId="0" applyFill="1" applyAlignment="1">
      <alignment horizontal="right"/>
    </xf>
    <xf numFmtId="0" fontId="6" fillId="3" borderId="0" xfId="0" applyFont="1" applyFill="1" applyAlignment="1">
      <alignment horizontal="left"/>
    </xf>
    <xf numFmtId="8" fontId="4" fillId="5" borderId="1" xfId="0" applyNumberFormat="1" applyFont="1" applyFill="1" applyBorder="1"/>
    <xf numFmtId="164" fontId="5" fillId="5" borderId="1" xfId="0" applyNumberFormat="1" applyFont="1" applyFill="1" applyBorder="1"/>
    <xf numFmtId="0" fontId="0" fillId="6" borderId="0" xfId="0" applyFill="1"/>
    <xf numFmtId="0" fontId="0" fillId="7" borderId="0" xfId="0" applyFill="1"/>
    <xf numFmtId="0" fontId="0" fillId="0" borderId="0" xfId="0" applyAlignment="1">
      <alignment horizontal="center" wrapText="1"/>
    </xf>
    <xf numFmtId="0" fontId="0" fillId="0" borderId="0" xfId="0"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EF4AFB-AA6C-468E-8C5D-A4F6CF84EBF1}">
  <dimension ref="A1:O34"/>
  <sheetViews>
    <sheetView zoomScale="89" workbookViewId="0">
      <selection sqref="A1:A9"/>
    </sheetView>
  </sheetViews>
  <sheetFormatPr baseColWidth="10" defaultColWidth="25.5546875" defaultRowHeight="25.5" customHeight="1" x14ac:dyDescent="0.25"/>
  <cols>
    <col min="1" max="1" width="25.5546875" style="1"/>
    <col min="2" max="13" width="15.6640625" style="1" customWidth="1"/>
    <col min="14" max="14" width="18.109375" style="1" customWidth="1"/>
    <col min="15" max="15" width="18.33203125" style="1" customWidth="1"/>
    <col min="16" max="16384" width="25.5546875" style="1"/>
  </cols>
  <sheetData>
    <row r="1" spans="1:13" ht="25.5" customHeight="1" x14ac:dyDescent="0.25">
      <c r="A1" s="1" t="s">
        <v>27</v>
      </c>
    </row>
    <row r="2" spans="1:13" ht="25.5" customHeight="1" x14ac:dyDescent="0.25">
      <c r="A2" s="1" t="s">
        <v>28</v>
      </c>
    </row>
    <row r="3" spans="1:13" ht="25.5" customHeight="1" x14ac:dyDescent="0.25">
      <c r="A3" s="1" t="s">
        <v>29</v>
      </c>
    </row>
    <row r="4" spans="1:13" ht="25.5" customHeight="1" x14ac:dyDescent="0.25">
      <c r="A4" s="1" t="s">
        <v>32</v>
      </c>
    </row>
    <row r="5" spans="1:13" ht="25.5" customHeight="1" x14ac:dyDescent="0.25">
      <c r="A5" s="1" t="s">
        <v>33</v>
      </c>
    </row>
    <row r="6" spans="1:13" ht="25.5" customHeight="1" x14ac:dyDescent="0.25">
      <c r="A6" s="1" t="s">
        <v>30</v>
      </c>
    </row>
    <row r="7" spans="1:13" ht="25.5" customHeight="1" x14ac:dyDescent="0.25">
      <c r="A7" s="1" t="s">
        <v>31</v>
      </c>
    </row>
    <row r="8" spans="1:13" ht="25.5" customHeight="1" x14ac:dyDescent="0.25">
      <c r="A8" s="1" t="s">
        <v>39</v>
      </c>
      <c r="E8" s="1" t="s">
        <v>40</v>
      </c>
    </row>
    <row r="9" spans="1:13" ht="25.5" customHeight="1" x14ac:dyDescent="0.25">
      <c r="A9" s="1" t="s">
        <v>41</v>
      </c>
    </row>
    <row r="11" spans="1:13" ht="25.5" customHeight="1" x14ac:dyDescent="0.25">
      <c r="B11" s="4">
        <v>1</v>
      </c>
      <c r="C11" s="4">
        <v>2</v>
      </c>
      <c r="D11" s="4">
        <v>3</v>
      </c>
      <c r="E11" s="4">
        <v>4</v>
      </c>
      <c r="F11" s="4">
        <v>5</v>
      </c>
      <c r="G11" s="4">
        <v>6</v>
      </c>
      <c r="H11" s="4">
        <v>7</v>
      </c>
      <c r="I11" s="4">
        <v>8</v>
      </c>
      <c r="J11" s="4">
        <v>9</v>
      </c>
      <c r="K11" s="4">
        <v>10</v>
      </c>
      <c r="L11" s="4">
        <v>11</v>
      </c>
      <c r="M11" s="4">
        <v>12</v>
      </c>
    </row>
    <row r="12" spans="1:13" ht="25.5" customHeight="1" x14ac:dyDescent="0.25">
      <c r="A12" s="5" t="s">
        <v>5</v>
      </c>
      <c r="B12" s="3" t="s">
        <v>6</v>
      </c>
      <c r="C12" s="3" t="s">
        <v>7</v>
      </c>
      <c r="D12" s="3" t="s">
        <v>8</v>
      </c>
      <c r="E12" s="3" t="s">
        <v>9</v>
      </c>
      <c r="F12" s="3" t="s">
        <v>10</v>
      </c>
      <c r="G12" s="3" t="s">
        <v>11</v>
      </c>
      <c r="H12" s="3" t="s">
        <v>12</v>
      </c>
      <c r="I12" s="3" t="s">
        <v>13</v>
      </c>
      <c r="J12" s="3" t="s">
        <v>14</v>
      </c>
      <c r="K12" s="3" t="s">
        <v>15</v>
      </c>
      <c r="L12" s="3" t="s">
        <v>16</v>
      </c>
      <c r="M12" s="3" t="s">
        <v>17</v>
      </c>
    </row>
    <row r="13" spans="1:13" ht="25.5" customHeight="1" x14ac:dyDescent="0.25">
      <c r="A13" s="5" t="s">
        <v>0</v>
      </c>
      <c r="B13" s="3"/>
      <c r="C13" s="3"/>
      <c r="D13" s="3"/>
      <c r="E13" s="3"/>
      <c r="F13" s="3"/>
      <c r="G13" s="3"/>
      <c r="H13" s="3"/>
      <c r="I13" s="3"/>
      <c r="J13" s="3"/>
      <c r="K13" s="3"/>
      <c r="L13" s="3"/>
      <c r="M13" s="3"/>
    </row>
    <row r="14" spans="1:13" ht="25.5" customHeight="1" x14ac:dyDescent="0.25">
      <c r="A14" s="6" t="s">
        <v>1</v>
      </c>
      <c r="C14" s="6"/>
      <c r="D14" s="6"/>
      <c r="E14" s="6"/>
      <c r="F14" s="6"/>
      <c r="G14" s="6"/>
      <c r="H14" s="6"/>
      <c r="I14" s="6"/>
      <c r="J14" s="6"/>
      <c r="K14" s="6"/>
      <c r="L14" s="6"/>
      <c r="M14" s="6"/>
    </row>
    <row r="15" spans="1:13" ht="25.5" customHeight="1" x14ac:dyDescent="0.25">
      <c r="A15" s="6" t="s">
        <v>2</v>
      </c>
      <c r="B15" s="6">
        <f>5000*25</f>
        <v>125000</v>
      </c>
      <c r="C15" s="6">
        <f t="shared" ref="C15:M15" si="0">5000*25</f>
        <v>125000</v>
      </c>
      <c r="D15" s="6">
        <f t="shared" si="0"/>
        <v>125000</v>
      </c>
      <c r="E15" s="6">
        <f t="shared" si="0"/>
        <v>125000</v>
      </c>
      <c r="F15" s="6">
        <f t="shared" si="0"/>
        <v>125000</v>
      </c>
      <c r="G15" s="6">
        <f t="shared" si="0"/>
        <v>125000</v>
      </c>
      <c r="H15" s="6">
        <f t="shared" si="0"/>
        <v>125000</v>
      </c>
      <c r="I15" s="6">
        <f t="shared" si="0"/>
        <v>125000</v>
      </c>
      <c r="J15" s="6">
        <f t="shared" si="0"/>
        <v>125000</v>
      </c>
      <c r="K15" s="6">
        <f t="shared" si="0"/>
        <v>125000</v>
      </c>
      <c r="L15" s="6">
        <f t="shared" si="0"/>
        <v>125000</v>
      </c>
      <c r="M15" s="6">
        <f t="shared" si="0"/>
        <v>125000</v>
      </c>
    </row>
    <row r="16" spans="1:13" ht="25.5" customHeight="1" x14ac:dyDescent="0.25">
      <c r="A16" s="6" t="s">
        <v>3</v>
      </c>
      <c r="B16" s="6"/>
      <c r="C16" s="6">
        <f>5*150000</f>
        <v>750000</v>
      </c>
      <c r="D16" s="6">
        <f>15000*2</f>
        <v>30000</v>
      </c>
      <c r="E16" s="6">
        <f t="shared" ref="E16:M16" si="1">15000*2</f>
        <v>30000</v>
      </c>
      <c r="F16" s="6">
        <f t="shared" si="1"/>
        <v>30000</v>
      </c>
      <c r="G16" s="6">
        <f t="shared" si="1"/>
        <v>30000</v>
      </c>
      <c r="H16" s="6">
        <f t="shared" si="1"/>
        <v>30000</v>
      </c>
      <c r="I16" s="6">
        <f t="shared" si="1"/>
        <v>30000</v>
      </c>
      <c r="J16" s="6">
        <f t="shared" si="1"/>
        <v>30000</v>
      </c>
      <c r="K16" s="6">
        <f t="shared" si="1"/>
        <v>30000</v>
      </c>
      <c r="L16" s="6">
        <f t="shared" si="1"/>
        <v>30000</v>
      </c>
      <c r="M16" s="6">
        <f t="shared" si="1"/>
        <v>30000</v>
      </c>
    </row>
    <row r="17" spans="1:15" ht="30.75" customHeight="1" x14ac:dyDescent="0.25">
      <c r="A17" s="7" t="s">
        <v>21</v>
      </c>
      <c r="B17" s="6"/>
      <c r="C17" s="6"/>
      <c r="D17" s="6"/>
      <c r="E17" s="6"/>
      <c r="F17" s="6"/>
      <c r="G17" s="6"/>
      <c r="H17" s="6"/>
      <c r="I17" s="6"/>
      <c r="J17" s="6"/>
      <c r="K17" s="6"/>
      <c r="L17" s="6"/>
      <c r="M17" s="6"/>
    </row>
    <row r="18" spans="1:15" ht="25.5" customHeight="1" x14ac:dyDescent="0.25">
      <c r="A18" s="6" t="s">
        <v>34</v>
      </c>
      <c r="B18" s="6">
        <v>8000</v>
      </c>
      <c r="C18" s="6">
        <v>8000</v>
      </c>
      <c r="D18" s="6">
        <v>8000</v>
      </c>
      <c r="E18" s="6">
        <v>8000</v>
      </c>
      <c r="F18" s="6">
        <v>8000</v>
      </c>
      <c r="G18" s="6">
        <v>8000</v>
      </c>
      <c r="H18" s="6">
        <v>8000</v>
      </c>
      <c r="I18" s="6">
        <v>8000</v>
      </c>
      <c r="J18" s="6">
        <v>8000</v>
      </c>
      <c r="K18" s="6">
        <v>8000</v>
      </c>
      <c r="L18" s="6">
        <v>8000</v>
      </c>
      <c r="M18" s="6">
        <v>8000</v>
      </c>
    </row>
    <row r="19" spans="1:15" ht="25.5" customHeight="1" x14ac:dyDescent="0.25">
      <c r="A19" s="6" t="s">
        <v>35</v>
      </c>
      <c r="B19" s="6">
        <v>42000</v>
      </c>
      <c r="C19" s="6">
        <v>42000</v>
      </c>
      <c r="D19" s="6">
        <v>42000</v>
      </c>
      <c r="E19" s="6">
        <v>42000</v>
      </c>
      <c r="F19" s="6">
        <v>42000</v>
      </c>
      <c r="G19" s="6">
        <v>42000</v>
      </c>
      <c r="H19" s="6">
        <v>42000</v>
      </c>
      <c r="I19" s="6">
        <v>42000</v>
      </c>
      <c r="J19" s="6">
        <v>42000</v>
      </c>
      <c r="K19" s="6">
        <v>42000</v>
      </c>
      <c r="L19" s="6">
        <v>42000</v>
      </c>
      <c r="M19" s="6">
        <v>42000</v>
      </c>
    </row>
    <row r="20" spans="1:15" ht="25.5" customHeight="1" x14ac:dyDescent="0.25">
      <c r="A20" s="6" t="s">
        <v>36</v>
      </c>
      <c r="B20" s="6">
        <v>600</v>
      </c>
      <c r="C20" s="6">
        <v>600</v>
      </c>
      <c r="D20" s="6">
        <v>600</v>
      </c>
      <c r="E20" s="6">
        <v>600</v>
      </c>
      <c r="F20" s="6">
        <v>600</v>
      </c>
      <c r="G20" s="6">
        <v>600</v>
      </c>
      <c r="H20" s="6">
        <v>600</v>
      </c>
      <c r="I20" s="6">
        <v>600</v>
      </c>
      <c r="J20" s="6">
        <v>600</v>
      </c>
      <c r="K20" s="6">
        <v>600</v>
      </c>
      <c r="L20" s="6">
        <v>600</v>
      </c>
      <c r="M20" s="6">
        <v>600</v>
      </c>
    </row>
    <row r="21" spans="1:15" ht="25.5" customHeight="1" x14ac:dyDescent="0.25">
      <c r="A21" s="6" t="s">
        <v>37</v>
      </c>
      <c r="B21" s="6">
        <v>600</v>
      </c>
      <c r="C21" s="6">
        <v>600</v>
      </c>
      <c r="D21" s="6">
        <v>600</v>
      </c>
      <c r="E21" s="6">
        <v>600</v>
      </c>
      <c r="F21" s="6">
        <v>600</v>
      </c>
      <c r="G21" s="6">
        <v>600</v>
      </c>
      <c r="H21" s="6">
        <v>600</v>
      </c>
      <c r="I21" s="6">
        <v>600</v>
      </c>
      <c r="J21" s="6">
        <v>600</v>
      </c>
      <c r="K21" s="6">
        <v>600</v>
      </c>
      <c r="L21" s="6">
        <v>600</v>
      </c>
      <c r="M21" s="6">
        <v>600</v>
      </c>
    </row>
    <row r="22" spans="1:15" ht="25.5" customHeight="1" x14ac:dyDescent="0.25">
      <c r="A22" s="6" t="s">
        <v>38</v>
      </c>
      <c r="B22" s="6">
        <v>1200</v>
      </c>
      <c r="C22" s="6">
        <v>1200</v>
      </c>
      <c r="D22" s="6">
        <v>1200</v>
      </c>
      <c r="E22" s="6">
        <v>1200</v>
      </c>
      <c r="F22" s="6">
        <v>1200</v>
      </c>
      <c r="G22" s="6">
        <v>1200</v>
      </c>
      <c r="H22" s="6">
        <v>1200</v>
      </c>
      <c r="I22" s="6">
        <v>1200</v>
      </c>
      <c r="J22" s="6">
        <v>1200</v>
      </c>
      <c r="K22" s="6">
        <v>1200</v>
      </c>
      <c r="L22" s="6">
        <v>1200</v>
      </c>
      <c r="M22" s="6">
        <v>1200</v>
      </c>
    </row>
    <row r="23" spans="1:15" ht="25.5" customHeight="1" x14ac:dyDescent="0.25">
      <c r="A23" s="5" t="s">
        <v>4</v>
      </c>
      <c r="B23" s="6">
        <f>(B15+B16)-(B18+B19+B20+B21+B22)</f>
        <v>72600</v>
      </c>
      <c r="C23" s="6">
        <f t="shared" ref="C23:M23" si="2">(C15+C16)-(C18+C19+C20+C21+C22)</f>
        <v>822600</v>
      </c>
      <c r="D23" s="6">
        <f t="shared" si="2"/>
        <v>102600</v>
      </c>
      <c r="E23" s="6">
        <f t="shared" si="2"/>
        <v>102600</v>
      </c>
      <c r="F23" s="6">
        <f t="shared" si="2"/>
        <v>102600</v>
      </c>
      <c r="G23" s="6">
        <f t="shared" si="2"/>
        <v>102600</v>
      </c>
      <c r="H23" s="6">
        <f t="shared" si="2"/>
        <v>102600</v>
      </c>
      <c r="I23" s="6">
        <f t="shared" si="2"/>
        <v>102600</v>
      </c>
      <c r="J23" s="6">
        <f t="shared" si="2"/>
        <v>102600</v>
      </c>
      <c r="K23" s="6">
        <f t="shared" si="2"/>
        <v>102600</v>
      </c>
      <c r="L23" s="6">
        <f t="shared" si="2"/>
        <v>102600</v>
      </c>
      <c r="M23" s="6">
        <f t="shared" si="2"/>
        <v>102600</v>
      </c>
      <c r="N23" s="16">
        <f>SUM(B23:M23)</f>
        <v>1921200</v>
      </c>
    </row>
    <row r="24" spans="1:15" ht="25.5" customHeight="1" x14ac:dyDescent="0.25">
      <c r="A24" s="2" t="s">
        <v>18</v>
      </c>
      <c r="N24" s="16"/>
    </row>
    <row r="25" spans="1:15" ht="30" customHeight="1" x14ac:dyDescent="0.25">
      <c r="A25" s="12">
        <v>0.13</v>
      </c>
      <c r="B25" s="6">
        <f>(1.13)^B11</f>
        <v>1.1299999999999999</v>
      </c>
      <c r="C25" s="6">
        <f t="shared" ref="C25:M25" si="3">(1.13)^C11</f>
        <v>1.2768999999999997</v>
      </c>
      <c r="D25" s="6">
        <f t="shared" si="3"/>
        <v>1.4428969999999994</v>
      </c>
      <c r="E25" s="6">
        <f t="shared" si="3"/>
        <v>1.6304736099999992</v>
      </c>
      <c r="F25" s="6">
        <f t="shared" si="3"/>
        <v>1.8424351792999989</v>
      </c>
      <c r="G25" s="6">
        <f t="shared" si="3"/>
        <v>2.0819517526089983</v>
      </c>
      <c r="H25" s="6">
        <f t="shared" si="3"/>
        <v>2.352605480448168</v>
      </c>
      <c r="I25" s="6">
        <f t="shared" si="3"/>
        <v>2.6584441929064297</v>
      </c>
      <c r="J25" s="6">
        <f t="shared" si="3"/>
        <v>3.0040419379842653</v>
      </c>
      <c r="K25" s="6">
        <f t="shared" si="3"/>
        <v>3.3945673899222193</v>
      </c>
      <c r="L25" s="6">
        <f t="shared" si="3"/>
        <v>3.8358611506121072</v>
      </c>
      <c r="M25" s="6">
        <f t="shared" si="3"/>
        <v>4.3345231001916806</v>
      </c>
      <c r="N25" s="16"/>
    </row>
    <row r="26" spans="1:15" ht="25.5" customHeight="1" x14ac:dyDescent="0.25">
      <c r="A26" s="8" t="s">
        <v>19</v>
      </c>
      <c r="B26" s="15">
        <f>B23/B25</f>
        <v>64247.787610619474</v>
      </c>
      <c r="C26" s="15">
        <f t="shared" ref="C26:M26" si="4">C23/C25</f>
        <v>644216.46174328472</v>
      </c>
      <c r="D26" s="15">
        <f t="shared" si="4"/>
        <v>71106.946649691585</v>
      </c>
      <c r="E26" s="15">
        <f t="shared" si="4"/>
        <v>62926.501459904066</v>
      </c>
      <c r="F26" s="15">
        <f t="shared" si="4"/>
        <v>55687.169433543429</v>
      </c>
      <c r="G26" s="15">
        <f t="shared" si="4"/>
        <v>49280.680914640208</v>
      </c>
      <c r="H26" s="15">
        <f t="shared" si="4"/>
        <v>43611.222048354168</v>
      </c>
      <c r="I26" s="15">
        <f t="shared" si="4"/>
        <v>38594.001812702809</v>
      </c>
      <c r="J26" s="15">
        <f t="shared" si="4"/>
        <v>34153.983905046734</v>
      </c>
      <c r="K26" s="15">
        <f t="shared" si="4"/>
        <v>30224.764517740477</v>
      </c>
      <c r="L26" s="15">
        <f t="shared" si="4"/>
        <v>26747.579219239364</v>
      </c>
      <c r="M26" s="15">
        <f t="shared" si="4"/>
        <v>23670.424087822448</v>
      </c>
      <c r="N26" s="17">
        <f>SUM(B26:M26)</f>
        <v>1144467.5234025896</v>
      </c>
    </row>
    <row r="27" spans="1:15" ht="25.5" customHeight="1" x14ac:dyDescent="0.25">
      <c r="C27" s="16">
        <f>B26+C26</f>
        <v>708464.24935390416</v>
      </c>
      <c r="D27" s="16">
        <f>C27+D26</f>
        <v>779571.19600359572</v>
      </c>
      <c r="E27" s="16">
        <f>D27+E26</f>
        <v>842497.69746349973</v>
      </c>
      <c r="F27" s="16">
        <f t="shared" ref="F27:M27" si="5">E27+F26</f>
        <v>898184.86689704319</v>
      </c>
      <c r="G27" s="16">
        <f t="shared" si="5"/>
        <v>947465.54781168338</v>
      </c>
      <c r="H27" s="19">
        <f t="shared" si="5"/>
        <v>991076.7698600376</v>
      </c>
      <c r="I27" s="16">
        <f t="shared" si="5"/>
        <v>1029670.7716727405</v>
      </c>
      <c r="J27" s="16">
        <f t="shared" si="5"/>
        <v>1063824.7555777873</v>
      </c>
      <c r="K27" s="16">
        <f t="shared" si="5"/>
        <v>1094049.5200955279</v>
      </c>
      <c r="L27" s="16">
        <f t="shared" si="5"/>
        <v>1120797.0993147672</v>
      </c>
      <c r="M27" s="19">
        <f t="shared" si="5"/>
        <v>1144467.5234025896</v>
      </c>
      <c r="N27" s="18">
        <f>N26-B28</f>
        <v>194467.52340258961</v>
      </c>
      <c r="O27" s="13">
        <f>N26-C28</f>
        <v>4467.5234025896061</v>
      </c>
    </row>
    <row r="28" spans="1:15" ht="25.5" customHeight="1" x14ac:dyDescent="0.25">
      <c r="A28" s="1" t="s">
        <v>20</v>
      </c>
      <c r="B28" s="14">
        <v>950000</v>
      </c>
      <c r="C28" s="14">
        <f>B28*(1+B30)</f>
        <v>1140000</v>
      </c>
      <c r="N28" s="9"/>
    </row>
    <row r="29" spans="1:15" ht="25.5" customHeight="1" x14ac:dyDescent="0.25">
      <c r="A29" s="1" t="s">
        <v>22</v>
      </c>
    </row>
    <row r="30" spans="1:15" ht="25.5" customHeight="1" x14ac:dyDescent="0.25">
      <c r="A30" s="1" t="s">
        <v>23</v>
      </c>
      <c r="B30" s="10">
        <v>0.2</v>
      </c>
    </row>
    <row r="32" spans="1:15" ht="25.5" customHeight="1" x14ac:dyDescent="0.25">
      <c r="A32" s="11" t="s">
        <v>25</v>
      </c>
      <c r="B32" s="11"/>
      <c r="C32" s="11"/>
      <c r="D32" s="1" t="s">
        <v>42</v>
      </c>
    </row>
    <row r="33" spans="1:4" ht="25.5" customHeight="1" x14ac:dyDescent="0.25">
      <c r="A33" s="11" t="s">
        <v>26</v>
      </c>
      <c r="B33" s="11"/>
      <c r="C33" s="11"/>
      <c r="D33" s="1" t="s">
        <v>43</v>
      </c>
    </row>
    <row r="34" spans="1:4" ht="25.5" customHeight="1" x14ac:dyDescent="0.25">
      <c r="A34" s="11" t="s">
        <v>24</v>
      </c>
      <c r="B34" s="11"/>
      <c r="C34" s="11"/>
      <c r="D34" s="13">
        <f>O27</f>
        <v>4467.5234025896061</v>
      </c>
    </row>
  </sheetData>
  <phoneticPr fontId="3"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D8243D-9F25-4B24-A20B-4F03117334B6}">
  <dimension ref="A1:O28"/>
  <sheetViews>
    <sheetView topLeftCell="A11" zoomScale="119" zoomScaleNormal="80" workbookViewId="0">
      <selection sqref="A1:A3"/>
    </sheetView>
  </sheetViews>
  <sheetFormatPr baseColWidth="10" defaultRowHeight="14.4" x14ac:dyDescent="0.3"/>
  <cols>
    <col min="1" max="1" width="25.6640625" customWidth="1"/>
    <col min="2" max="2" width="14.6640625" customWidth="1"/>
    <col min="3" max="3" width="15.33203125" bestFit="1" customWidth="1"/>
    <col min="4" max="13" width="14.6640625" customWidth="1"/>
    <col min="14" max="14" width="15.5546875" customWidth="1"/>
    <col min="15" max="15" width="18.33203125" customWidth="1"/>
  </cols>
  <sheetData>
    <row r="1" spans="1:15" x14ac:dyDescent="0.3">
      <c r="A1" t="s">
        <v>46</v>
      </c>
    </row>
    <row r="2" spans="1:15" x14ac:dyDescent="0.3">
      <c r="A2" t="s">
        <v>44</v>
      </c>
    </row>
    <row r="3" spans="1:15" x14ac:dyDescent="0.3">
      <c r="A3" t="s">
        <v>45</v>
      </c>
    </row>
    <row r="4" spans="1:15" x14ac:dyDescent="0.3">
      <c r="A4" s="11" t="s">
        <v>25</v>
      </c>
      <c r="B4" s="11"/>
      <c r="C4" s="11"/>
      <c r="D4" s="40" t="s">
        <v>10</v>
      </c>
      <c r="E4" s="20"/>
    </row>
    <row r="5" spans="1:15" x14ac:dyDescent="0.3">
      <c r="A5" s="11" t="s">
        <v>26</v>
      </c>
      <c r="B5" s="11"/>
      <c r="C5" s="11"/>
      <c r="D5" s="40" t="s">
        <v>12</v>
      </c>
      <c r="E5" s="20"/>
    </row>
    <row r="6" spans="1:15" x14ac:dyDescent="0.3">
      <c r="A6" s="11" t="s">
        <v>24</v>
      </c>
      <c r="B6" s="11"/>
      <c r="C6" s="11"/>
      <c r="D6" s="47" t="s">
        <v>77</v>
      </c>
      <c r="E6" s="47"/>
      <c r="F6" s="47"/>
      <c r="G6" s="47"/>
      <c r="H6" s="47"/>
      <c r="I6" s="47"/>
      <c r="J6" s="47"/>
      <c r="K6" s="47"/>
      <c r="L6" s="47"/>
      <c r="M6" s="47"/>
      <c r="N6" s="47"/>
    </row>
    <row r="7" spans="1:15" x14ac:dyDescent="0.3">
      <c r="D7" s="47" t="s">
        <v>78</v>
      </c>
      <c r="E7" s="47"/>
      <c r="F7" s="47"/>
      <c r="G7" s="47"/>
      <c r="H7" s="47"/>
      <c r="I7" s="47"/>
      <c r="J7" s="47"/>
      <c r="K7" s="47"/>
      <c r="L7" s="47"/>
      <c r="M7" s="47"/>
      <c r="N7" s="47"/>
    </row>
    <row r="8" spans="1:15" x14ac:dyDescent="0.3">
      <c r="A8" s="1"/>
      <c r="B8" s="4">
        <v>1</v>
      </c>
      <c r="C8" s="4">
        <v>2</v>
      </c>
      <c r="D8" s="4">
        <v>3</v>
      </c>
      <c r="E8" s="4">
        <v>4</v>
      </c>
      <c r="F8" s="4">
        <v>5</v>
      </c>
      <c r="G8" s="4">
        <v>6</v>
      </c>
      <c r="H8" s="4">
        <v>7</v>
      </c>
      <c r="I8" s="4">
        <v>8</v>
      </c>
      <c r="J8" s="4">
        <v>9</v>
      </c>
      <c r="K8" s="4">
        <v>10</v>
      </c>
      <c r="L8" s="4">
        <v>11</v>
      </c>
      <c r="M8" s="4">
        <v>12</v>
      </c>
      <c r="N8" s="1"/>
      <c r="O8" s="1"/>
    </row>
    <row r="9" spans="1:15" x14ac:dyDescent="0.3">
      <c r="A9" s="5" t="s">
        <v>5</v>
      </c>
      <c r="B9" s="3" t="s">
        <v>6</v>
      </c>
      <c r="C9" s="3" t="s">
        <v>7</v>
      </c>
      <c r="D9" s="3" t="s">
        <v>8</v>
      </c>
      <c r="E9" s="3" t="s">
        <v>9</v>
      </c>
      <c r="F9" s="3" t="s">
        <v>10</v>
      </c>
      <c r="G9" s="3" t="s">
        <v>11</v>
      </c>
      <c r="H9" s="3" t="s">
        <v>12</v>
      </c>
      <c r="I9" s="3" t="s">
        <v>13</v>
      </c>
      <c r="J9" s="3" t="s">
        <v>14</v>
      </c>
      <c r="K9" s="3" t="s">
        <v>15</v>
      </c>
      <c r="L9" s="3" t="s">
        <v>16</v>
      </c>
      <c r="M9" s="3" t="s">
        <v>17</v>
      </c>
      <c r="N9" s="1"/>
      <c r="O9" s="1"/>
    </row>
    <row r="10" spans="1:15" x14ac:dyDescent="0.3">
      <c r="A10" s="5" t="s">
        <v>0</v>
      </c>
      <c r="B10" s="35"/>
      <c r="C10" s="35"/>
      <c r="D10" s="35"/>
      <c r="E10" s="35"/>
      <c r="F10" s="35"/>
      <c r="G10" s="35"/>
      <c r="H10" s="35"/>
      <c r="I10" s="35"/>
      <c r="J10" s="35"/>
      <c r="K10" s="35"/>
      <c r="L10" s="35"/>
      <c r="M10" s="35"/>
      <c r="N10" s="1"/>
      <c r="O10" s="1"/>
    </row>
    <row r="11" spans="1:15" x14ac:dyDescent="0.3">
      <c r="A11" s="6" t="s">
        <v>1</v>
      </c>
      <c r="B11" s="24"/>
      <c r="C11" s="30"/>
      <c r="D11" s="30"/>
      <c r="E11" s="30"/>
      <c r="F11" s="30"/>
      <c r="G11" s="30"/>
      <c r="H11" s="30"/>
      <c r="I11" s="30"/>
      <c r="J11" s="30"/>
      <c r="K11" s="30"/>
      <c r="L11" s="30"/>
      <c r="M11" s="30"/>
      <c r="N11" s="1"/>
      <c r="O11" s="1"/>
    </row>
    <row r="12" spans="1:15" x14ac:dyDescent="0.3">
      <c r="A12" s="6" t="s">
        <v>2</v>
      </c>
      <c r="B12" s="30">
        <f>5000*25</f>
        <v>125000</v>
      </c>
      <c r="C12" s="30">
        <f t="shared" ref="C12:F12" si="0">5000*25</f>
        <v>125000</v>
      </c>
      <c r="D12" s="30">
        <f t="shared" si="0"/>
        <v>125000</v>
      </c>
      <c r="E12" s="30">
        <f t="shared" si="0"/>
        <v>125000</v>
      </c>
      <c r="F12" s="30">
        <f t="shared" si="0"/>
        <v>125000</v>
      </c>
      <c r="G12" s="30">
        <f>5000*25</f>
        <v>125000</v>
      </c>
      <c r="H12" s="30">
        <f t="shared" ref="H12:M12" si="1">5000*25</f>
        <v>125000</v>
      </c>
      <c r="I12" s="30">
        <f t="shared" si="1"/>
        <v>125000</v>
      </c>
      <c r="J12" s="30">
        <f t="shared" si="1"/>
        <v>125000</v>
      </c>
      <c r="K12" s="30">
        <f t="shared" si="1"/>
        <v>125000</v>
      </c>
      <c r="L12" s="30">
        <f t="shared" si="1"/>
        <v>125000</v>
      </c>
      <c r="M12" s="30">
        <f t="shared" si="1"/>
        <v>125000</v>
      </c>
      <c r="N12" s="1"/>
      <c r="O12" s="1"/>
    </row>
    <row r="13" spans="1:15" x14ac:dyDescent="0.3">
      <c r="A13" s="6" t="s">
        <v>3</v>
      </c>
      <c r="B13" s="30"/>
      <c r="C13" s="30">
        <f>5*150000</f>
        <v>750000</v>
      </c>
      <c r="D13" s="30">
        <f>15000*2</f>
        <v>30000</v>
      </c>
      <c r="E13" s="30">
        <f t="shared" ref="E13" si="2">15000*2</f>
        <v>30000</v>
      </c>
      <c r="F13" s="30">
        <f>15000*2+(150000*2)</f>
        <v>330000</v>
      </c>
      <c r="G13" s="30">
        <f>15000*6</f>
        <v>90000</v>
      </c>
      <c r="H13" s="30">
        <f t="shared" ref="H13:M13" si="3">15000*6</f>
        <v>90000</v>
      </c>
      <c r="I13" s="30">
        <f t="shared" si="3"/>
        <v>90000</v>
      </c>
      <c r="J13" s="30">
        <f t="shared" si="3"/>
        <v>90000</v>
      </c>
      <c r="K13" s="30">
        <f t="shared" si="3"/>
        <v>90000</v>
      </c>
      <c r="L13" s="30">
        <f t="shared" si="3"/>
        <v>90000</v>
      </c>
      <c r="M13" s="30">
        <f t="shared" si="3"/>
        <v>90000</v>
      </c>
      <c r="N13" s="1"/>
      <c r="O13" s="1"/>
    </row>
    <row r="14" spans="1:15" ht="29.25" customHeight="1" x14ac:dyDescent="0.3">
      <c r="A14" s="7" t="s">
        <v>21</v>
      </c>
      <c r="B14" s="30"/>
      <c r="C14" s="30"/>
      <c r="D14" s="30"/>
      <c r="E14" s="30"/>
      <c r="F14" s="30"/>
      <c r="G14" s="30"/>
      <c r="H14" s="30"/>
      <c r="I14" s="30"/>
      <c r="J14" s="30"/>
      <c r="K14" s="30"/>
      <c r="L14" s="30"/>
      <c r="M14" s="30"/>
      <c r="N14" s="1"/>
      <c r="O14" s="1"/>
    </row>
    <row r="15" spans="1:15" x14ac:dyDescent="0.3">
      <c r="A15" s="6" t="s">
        <v>34</v>
      </c>
      <c r="B15" s="30">
        <v>8000</v>
      </c>
      <c r="C15" s="30">
        <v>8000</v>
      </c>
      <c r="D15" s="30">
        <v>8000</v>
      </c>
      <c r="E15" s="30">
        <v>8000</v>
      </c>
      <c r="F15" s="30">
        <v>8000</v>
      </c>
      <c r="G15" s="30">
        <v>8000</v>
      </c>
      <c r="H15" s="30">
        <v>8000</v>
      </c>
      <c r="I15" s="30">
        <v>8000</v>
      </c>
      <c r="J15" s="30">
        <v>8000</v>
      </c>
      <c r="K15" s="30">
        <v>8000</v>
      </c>
      <c r="L15" s="30">
        <v>8000</v>
      </c>
      <c r="M15" s="30">
        <v>8000</v>
      </c>
      <c r="N15" s="1"/>
      <c r="O15" s="1"/>
    </row>
    <row r="16" spans="1:15" x14ac:dyDescent="0.3">
      <c r="A16" s="6" t="s">
        <v>35</v>
      </c>
      <c r="B16" s="30">
        <v>42000</v>
      </c>
      <c r="C16" s="30">
        <v>42000</v>
      </c>
      <c r="D16" s="30">
        <v>42000</v>
      </c>
      <c r="E16" s="30">
        <v>42000</v>
      </c>
      <c r="F16" s="30">
        <v>52000</v>
      </c>
      <c r="G16" s="30">
        <v>52000</v>
      </c>
      <c r="H16" s="30">
        <v>52000</v>
      </c>
      <c r="I16" s="30">
        <v>52000</v>
      </c>
      <c r="J16" s="30">
        <v>52000</v>
      </c>
      <c r="K16" s="30">
        <v>52000</v>
      </c>
      <c r="L16" s="30">
        <v>52000</v>
      </c>
      <c r="M16" s="30">
        <v>52000</v>
      </c>
      <c r="N16" s="1"/>
      <c r="O16" s="1"/>
    </row>
    <row r="17" spans="1:15" x14ac:dyDescent="0.3">
      <c r="A17" s="6" t="s">
        <v>36</v>
      </c>
      <c r="B17" s="30">
        <v>600</v>
      </c>
      <c r="C17" s="30">
        <v>600</v>
      </c>
      <c r="D17" s="30">
        <v>600</v>
      </c>
      <c r="E17" s="30">
        <v>600</v>
      </c>
      <c r="F17" s="30">
        <v>600</v>
      </c>
      <c r="G17" s="30">
        <v>600</v>
      </c>
      <c r="H17" s="30">
        <v>600</v>
      </c>
      <c r="I17" s="30">
        <v>600</v>
      </c>
      <c r="J17" s="30">
        <v>600</v>
      </c>
      <c r="K17" s="30">
        <v>600</v>
      </c>
      <c r="L17" s="30">
        <v>600</v>
      </c>
      <c r="M17" s="30">
        <v>600</v>
      </c>
      <c r="N17" s="1"/>
      <c r="O17" s="1"/>
    </row>
    <row r="18" spans="1:15" x14ac:dyDescent="0.3">
      <c r="A18" s="6" t="s">
        <v>37</v>
      </c>
      <c r="B18" s="30">
        <v>600</v>
      </c>
      <c r="C18" s="30">
        <v>600</v>
      </c>
      <c r="D18" s="30">
        <v>600</v>
      </c>
      <c r="E18" s="30">
        <v>600</v>
      </c>
      <c r="F18" s="30">
        <v>600</v>
      </c>
      <c r="G18" s="30">
        <v>600</v>
      </c>
      <c r="H18" s="30">
        <v>600</v>
      </c>
      <c r="I18" s="30">
        <v>600</v>
      </c>
      <c r="J18" s="30">
        <v>600</v>
      </c>
      <c r="K18" s="30">
        <v>600</v>
      </c>
      <c r="L18" s="30">
        <v>600</v>
      </c>
      <c r="M18" s="30">
        <v>600</v>
      </c>
      <c r="N18" s="1"/>
      <c r="O18" s="1"/>
    </row>
    <row r="19" spans="1:15" x14ac:dyDescent="0.3">
      <c r="A19" s="6" t="s">
        <v>38</v>
      </c>
      <c r="B19" s="30">
        <v>1200</v>
      </c>
      <c r="C19" s="30">
        <v>1200</v>
      </c>
      <c r="D19" s="30">
        <v>1200</v>
      </c>
      <c r="E19" s="30">
        <v>1200</v>
      </c>
      <c r="F19" s="30">
        <v>1200</v>
      </c>
      <c r="G19" s="30">
        <v>1200</v>
      </c>
      <c r="H19" s="30">
        <v>1200</v>
      </c>
      <c r="I19" s="30">
        <v>1200</v>
      </c>
      <c r="J19" s="30">
        <v>1200</v>
      </c>
      <c r="K19" s="30">
        <v>1200</v>
      </c>
      <c r="L19" s="30">
        <v>1200</v>
      </c>
      <c r="M19" s="30">
        <v>1200</v>
      </c>
      <c r="N19" s="1"/>
      <c r="O19" s="1"/>
    </row>
    <row r="20" spans="1:15" x14ac:dyDescent="0.3">
      <c r="A20" s="5" t="s">
        <v>4</v>
      </c>
      <c r="B20" s="30">
        <f>(B12+B13)-(B15+B16+B17+B18+B19)</f>
        <v>72600</v>
      </c>
      <c r="C20" s="30">
        <f t="shared" ref="C20:M20" si="4">(C12+C13)-(C15+C16+C17+C18+C19)</f>
        <v>822600</v>
      </c>
      <c r="D20" s="30">
        <f t="shared" si="4"/>
        <v>102600</v>
      </c>
      <c r="E20" s="30">
        <f t="shared" si="4"/>
        <v>102600</v>
      </c>
      <c r="F20" s="30">
        <f t="shared" si="4"/>
        <v>392600</v>
      </c>
      <c r="G20" s="30">
        <f t="shared" si="4"/>
        <v>152600</v>
      </c>
      <c r="H20" s="30">
        <f t="shared" si="4"/>
        <v>152600</v>
      </c>
      <c r="I20" s="30">
        <f t="shared" si="4"/>
        <v>152600</v>
      </c>
      <c r="J20" s="30">
        <f t="shared" si="4"/>
        <v>152600</v>
      </c>
      <c r="K20" s="30">
        <f t="shared" si="4"/>
        <v>152600</v>
      </c>
      <c r="L20" s="30">
        <f t="shared" si="4"/>
        <v>152600</v>
      </c>
      <c r="M20" s="30">
        <f t="shared" si="4"/>
        <v>152600</v>
      </c>
      <c r="N20" s="16">
        <f>SUM(B20:M20)</f>
        <v>2561200</v>
      </c>
      <c r="O20" s="1"/>
    </row>
    <row r="21" spans="1:15" ht="28.2" x14ac:dyDescent="0.3">
      <c r="A21" s="2" t="s">
        <v>18</v>
      </c>
      <c r="B21" s="1"/>
      <c r="C21" s="1"/>
      <c r="D21" s="1"/>
      <c r="E21" s="1"/>
      <c r="F21" s="1"/>
      <c r="G21" s="1"/>
      <c r="H21" s="1"/>
      <c r="I21" s="1"/>
      <c r="J21" s="1"/>
      <c r="K21" s="1"/>
      <c r="L21" s="1"/>
      <c r="M21" s="1"/>
      <c r="N21" s="16"/>
      <c r="O21" s="1"/>
    </row>
    <row r="22" spans="1:15" x14ac:dyDescent="0.3">
      <c r="A22" s="12"/>
      <c r="B22" s="6">
        <f>(1.13)^B8</f>
        <v>1.1299999999999999</v>
      </c>
      <c r="C22" s="6">
        <f t="shared" ref="C22:M22" si="5">(1.13)^C8</f>
        <v>1.2768999999999997</v>
      </c>
      <c r="D22" s="6">
        <f t="shared" si="5"/>
        <v>1.4428969999999994</v>
      </c>
      <c r="E22" s="6">
        <f t="shared" si="5"/>
        <v>1.6304736099999992</v>
      </c>
      <c r="F22" s="6">
        <f t="shared" si="5"/>
        <v>1.8424351792999989</v>
      </c>
      <c r="G22" s="6">
        <f t="shared" si="5"/>
        <v>2.0819517526089983</v>
      </c>
      <c r="H22" s="6">
        <f t="shared" si="5"/>
        <v>2.352605480448168</v>
      </c>
      <c r="I22" s="6">
        <f t="shared" si="5"/>
        <v>2.6584441929064297</v>
      </c>
      <c r="J22" s="6">
        <f t="shared" si="5"/>
        <v>3.0040419379842653</v>
      </c>
      <c r="K22" s="6">
        <f t="shared" si="5"/>
        <v>3.3945673899222193</v>
      </c>
      <c r="L22" s="6">
        <f t="shared" si="5"/>
        <v>3.8358611506121072</v>
      </c>
      <c r="M22" s="6">
        <f t="shared" si="5"/>
        <v>4.3345231001916806</v>
      </c>
      <c r="N22" s="16"/>
      <c r="O22" s="1"/>
    </row>
    <row r="23" spans="1:15" ht="28.5" customHeight="1" x14ac:dyDescent="0.3">
      <c r="A23" s="26" t="s">
        <v>19</v>
      </c>
      <c r="B23" s="36">
        <f>B20/B22</f>
        <v>64247.787610619474</v>
      </c>
      <c r="C23" s="36">
        <f t="shared" ref="C23:M23" si="6">C20/C22</f>
        <v>644216.46174328472</v>
      </c>
      <c r="D23" s="36">
        <f t="shared" si="6"/>
        <v>71106.946649691585</v>
      </c>
      <c r="E23" s="36">
        <f t="shared" si="6"/>
        <v>62926.501459904066</v>
      </c>
      <c r="F23" s="36">
        <f t="shared" si="6"/>
        <v>213087.55087338353</v>
      </c>
      <c r="G23" s="36">
        <f t="shared" si="6"/>
        <v>73296.607286297236</v>
      </c>
      <c r="H23" s="36">
        <f t="shared" si="6"/>
        <v>64864.254235661268</v>
      </c>
      <c r="I23" s="36">
        <f t="shared" si="6"/>
        <v>57401.994898815283</v>
      </c>
      <c r="J23" s="36">
        <f t="shared" si="6"/>
        <v>50798.225574172822</v>
      </c>
      <c r="K23" s="36">
        <f t="shared" si="6"/>
        <v>44954.181924046752</v>
      </c>
      <c r="L23" s="36">
        <f t="shared" si="6"/>
        <v>39782.461879687398</v>
      </c>
      <c r="M23" s="36">
        <f t="shared" si="6"/>
        <v>35205.718477599476</v>
      </c>
      <c r="N23" s="36">
        <f>SUM(B23:M23)</f>
        <v>1421888.6926131635</v>
      </c>
      <c r="O23" s="24"/>
    </row>
    <row r="24" spans="1:15" ht="28.5" customHeight="1" x14ac:dyDescent="0.3">
      <c r="A24" s="8" t="s">
        <v>68</v>
      </c>
      <c r="B24" s="30"/>
      <c r="C24" s="37">
        <f>B23+C23</f>
        <v>708464.24935390416</v>
      </c>
      <c r="D24" s="37">
        <f t="shared" ref="D24:M24" si="7">C24+D23</f>
        <v>779571.19600359572</v>
      </c>
      <c r="E24" s="37">
        <f t="shared" si="7"/>
        <v>842497.69746349973</v>
      </c>
      <c r="F24" s="45">
        <f t="shared" si="7"/>
        <v>1055585.2483368833</v>
      </c>
      <c r="G24" s="37">
        <f t="shared" si="7"/>
        <v>1128881.8556231805</v>
      </c>
      <c r="H24" s="45">
        <f t="shared" si="7"/>
        <v>1193746.1098588419</v>
      </c>
      <c r="I24" s="37">
        <f t="shared" si="7"/>
        <v>1251148.104757657</v>
      </c>
      <c r="J24" s="37">
        <f t="shared" si="7"/>
        <v>1301946.3303318298</v>
      </c>
      <c r="K24" s="37">
        <f t="shared" si="7"/>
        <v>1346900.5122558766</v>
      </c>
      <c r="L24" s="37">
        <f t="shared" si="7"/>
        <v>1386682.9741355639</v>
      </c>
      <c r="M24" s="37">
        <f t="shared" si="7"/>
        <v>1421888.6926131635</v>
      </c>
      <c r="N24" s="37">
        <f>N23-B26</f>
        <v>471888.6926131635</v>
      </c>
      <c r="O24" s="30">
        <f>N23-C26</f>
        <v>281888.6926131635</v>
      </c>
    </row>
    <row r="25" spans="1:15" x14ac:dyDescent="0.3">
      <c r="A25" s="1"/>
      <c r="B25" s="22"/>
      <c r="N25" s="27"/>
    </row>
    <row r="26" spans="1:15" x14ac:dyDescent="0.3">
      <c r="A26" s="6" t="s">
        <v>20</v>
      </c>
      <c r="B26" s="28">
        <v>950000</v>
      </c>
      <c r="C26" s="28">
        <f>B26*(1+B28)</f>
        <v>1140000</v>
      </c>
      <c r="D26" s="22"/>
      <c r="E26" s="22"/>
      <c r="F26" s="22"/>
      <c r="G26" s="22"/>
      <c r="H26" s="22"/>
      <c r="I26" s="22"/>
      <c r="J26" s="22"/>
      <c r="K26" s="22"/>
      <c r="L26" s="22"/>
      <c r="M26" s="22"/>
      <c r="O26" s="1"/>
    </row>
    <row r="27" spans="1:15" x14ac:dyDescent="0.3">
      <c r="A27" s="6" t="s">
        <v>22</v>
      </c>
      <c r="B27" s="30">
        <f>N23-B26</f>
        <v>471888.6926131635</v>
      </c>
      <c r="C27" s="6"/>
      <c r="D27" s="1"/>
      <c r="E27" s="1"/>
      <c r="F27" s="1"/>
      <c r="G27" s="1"/>
      <c r="H27" s="1"/>
      <c r="I27" s="1"/>
      <c r="J27" s="1"/>
      <c r="K27" s="1"/>
      <c r="L27" s="1"/>
      <c r="M27" s="1"/>
      <c r="N27" s="1"/>
      <c r="O27" s="1"/>
    </row>
    <row r="28" spans="1:15" x14ac:dyDescent="0.3">
      <c r="A28" s="6" t="s">
        <v>23</v>
      </c>
      <c r="B28" s="12">
        <v>0.2</v>
      </c>
      <c r="C28" s="6"/>
      <c r="D28" s="1"/>
      <c r="E28" s="1"/>
      <c r="F28" s="1"/>
      <c r="G28" s="1"/>
      <c r="H28" s="1"/>
      <c r="I28" s="1"/>
      <c r="J28" s="1"/>
      <c r="K28" s="1"/>
      <c r="L28" s="1"/>
      <c r="M28" s="1"/>
      <c r="N28" s="1"/>
      <c r="O28" s="1"/>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17E095-42F3-42A7-8AB5-9E54447EE4EC}">
  <dimension ref="A1:O36"/>
  <sheetViews>
    <sheetView tabSelected="1" zoomScale="93" zoomScaleNormal="400" workbookViewId="0">
      <selection sqref="A1:A4"/>
    </sheetView>
  </sheetViews>
  <sheetFormatPr baseColWidth="10" defaultRowHeight="14.4" x14ac:dyDescent="0.3"/>
  <cols>
    <col min="1" max="1" width="30.109375" customWidth="1"/>
    <col min="2" max="13" width="15.6640625" customWidth="1"/>
    <col min="14" max="14" width="18.109375" customWidth="1"/>
    <col min="15" max="15" width="18.33203125" customWidth="1"/>
  </cols>
  <sheetData>
    <row r="1" spans="1:15" x14ac:dyDescent="0.3">
      <c r="A1" t="s">
        <v>47</v>
      </c>
    </row>
    <row r="2" spans="1:15" x14ac:dyDescent="0.3">
      <c r="A2" t="s">
        <v>51</v>
      </c>
    </row>
    <row r="3" spans="1:15" x14ac:dyDescent="0.3">
      <c r="A3" t="s">
        <v>49</v>
      </c>
    </row>
    <row r="4" spans="1:15" x14ac:dyDescent="0.3">
      <c r="A4" t="s">
        <v>66</v>
      </c>
    </row>
    <row r="5" spans="1:15" x14ac:dyDescent="0.3">
      <c r="A5" s="11" t="s">
        <v>53</v>
      </c>
      <c r="B5" s="11"/>
      <c r="C5" s="11"/>
      <c r="D5" s="11"/>
      <c r="E5" s="41" t="s">
        <v>70</v>
      </c>
      <c r="F5" s="20"/>
      <c r="G5" s="20"/>
    </row>
    <row r="6" spans="1:15" x14ac:dyDescent="0.3">
      <c r="A6" s="11" t="s">
        <v>54</v>
      </c>
      <c r="B6" s="11"/>
      <c r="C6" s="11"/>
      <c r="D6" s="11"/>
      <c r="E6" s="20"/>
      <c r="F6" s="42"/>
      <c r="G6" s="43" t="s">
        <v>71</v>
      </c>
      <c r="H6" s="46"/>
      <c r="I6" s="46"/>
    </row>
    <row r="7" spans="1:15" x14ac:dyDescent="0.3">
      <c r="A7" s="11" t="s">
        <v>55</v>
      </c>
      <c r="B7" s="11"/>
      <c r="C7" s="11"/>
      <c r="D7" s="21"/>
      <c r="E7" s="20"/>
      <c r="F7" s="41" t="s">
        <v>72</v>
      </c>
      <c r="G7" s="20"/>
      <c r="H7" s="46"/>
      <c r="I7" s="46"/>
    </row>
    <row r="8" spans="1:15" x14ac:dyDescent="0.3">
      <c r="A8" s="11" t="s">
        <v>56</v>
      </c>
      <c r="B8" s="11"/>
      <c r="C8" s="11"/>
      <c r="D8" s="21"/>
      <c r="E8" s="20"/>
      <c r="F8" s="20" t="s">
        <v>74</v>
      </c>
      <c r="G8" s="20"/>
      <c r="H8" s="20"/>
      <c r="I8" s="20"/>
      <c r="J8" s="20"/>
      <c r="K8" s="20"/>
      <c r="L8" s="20"/>
      <c r="M8" s="20"/>
      <c r="N8" s="20"/>
      <c r="O8" s="20"/>
    </row>
    <row r="9" spans="1:15" x14ac:dyDescent="0.3">
      <c r="F9" s="20" t="s">
        <v>75</v>
      </c>
      <c r="G9" s="20"/>
      <c r="H9" s="20"/>
      <c r="I9" s="20"/>
      <c r="J9" s="20"/>
      <c r="K9" s="20"/>
      <c r="L9" s="20"/>
      <c r="M9" s="20"/>
      <c r="N9" s="20"/>
      <c r="O9" s="20"/>
    </row>
    <row r="11" spans="1:15" x14ac:dyDescent="0.3">
      <c r="A11" s="1"/>
      <c r="B11" s="4">
        <v>1</v>
      </c>
      <c r="C11" s="4">
        <v>2</v>
      </c>
      <c r="D11" s="4">
        <v>3</v>
      </c>
      <c r="E11" s="4">
        <v>4</v>
      </c>
      <c r="F11" s="4">
        <v>5</v>
      </c>
      <c r="G11" s="4">
        <v>6</v>
      </c>
      <c r="H11" s="4">
        <v>7</v>
      </c>
      <c r="I11" s="4">
        <v>8</v>
      </c>
      <c r="J11" s="4">
        <v>9</v>
      </c>
      <c r="K11" s="4">
        <v>10</v>
      </c>
      <c r="L11" s="4">
        <v>11</v>
      </c>
      <c r="M11" s="4">
        <v>12</v>
      </c>
      <c r="N11" s="1"/>
      <c r="O11" s="1"/>
    </row>
    <row r="12" spans="1:15" x14ac:dyDescent="0.3">
      <c r="A12" s="5" t="s">
        <v>5</v>
      </c>
      <c r="B12" s="3" t="s">
        <v>6</v>
      </c>
      <c r="C12" s="3" t="s">
        <v>7</v>
      </c>
      <c r="D12" s="3" t="s">
        <v>8</v>
      </c>
      <c r="E12" s="3" t="s">
        <v>9</v>
      </c>
      <c r="F12" s="3" t="s">
        <v>10</v>
      </c>
      <c r="G12" s="3" t="s">
        <v>11</v>
      </c>
      <c r="H12" s="3" t="s">
        <v>12</v>
      </c>
      <c r="I12" s="3" t="s">
        <v>13</v>
      </c>
      <c r="J12" s="3" t="s">
        <v>14</v>
      </c>
      <c r="K12" s="3" t="s">
        <v>15</v>
      </c>
      <c r="L12" s="3" t="s">
        <v>16</v>
      </c>
      <c r="M12" s="3" t="s">
        <v>17</v>
      </c>
      <c r="N12" s="1"/>
      <c r="O12" s="1"/>
    </row>
    <row r="13" spans="1:15" x14ac:dyDescent="0.3">
      <c r="A13" s="5" t="s">
        <v>0</v>
      </c>
      <c r="B13" s="35"/>
      <c r="C13" s="35"/>
      <c r="D13" s="35"/>
      <c r="E13" s="35"/>
      <c r="F13" s="35"/>
      <c r="G13" s="35"/>
      <c r="H13" s="35"/>
      <c r="I13" s="35"/>
      <c r="J13" s="35"/>
      <c r="K13" s="35"/>
      <c r="L13" s="35"/>
      <c r="M13" s="35"/>
      <c r="N13" s="1"/>
      <c r="O13" s="1"/>
    </row>
    <row r="14" spans="1:15" x14ac:dyDescent="0.3">
      <c r="A14" s="6" t="s">
        <v>1</v>
      </c>
      <c r="B14" s="24"/>
      <c r="C14" s="30"/>
      <c r="D14" s="30"/>
      <c r="E14" s="30"/>
      <c r="F14" s="30"/>
      <c r="G14" s="30"/>
      <c r="H14" s="30"/>
      <c r="I14" s="30"/>
      <c r="J14" s="30"/>
      <c r="K14" s="30"/>
      <c r="L14" s="30"/>
      <c r="M14" s="30"/>
      <c r="N14" s="1"/>
      <c r="O14" s="1"/>
    </row>
    <row r="15" spans="1:15" x14ac:dyDescent="0.3">
      <c r="A15" s="6" t="s">
        <v>2</v>
      </c>
      <c r="B15" s="30">
        <f t="shared" ref="B15:M15" si="0">5000*25</f>
        <v>125000</v>
      </c>
      <c r="C15" s="30">
        <f t="shared" si="0"/>
        <v>125000</v>
      </c>
      <c r="D15" s="30">
        <f t="shared" si="0"/>
        <v>125000</v>
      </c>
      <c r="E15" s="30">
        <f t="shared" si="0"/>
        <v>125000</v>
      </c>
      <c r="F15" s="30">
        <f t="shared" si="0"/>
        <v>125000</v>
      </c>
      <c r="G15" s="30">
        <f t="shared" si="0"/>
        <v>125000</v>
      </c>
      <c r="H15" s="30">
        <f t="shared" si="0"/>
        <v>125000</v>
      </c>
      <c r="I15" s="30">
        <f t="shared" si="0"/>
        <v>125000</v>
      </c>
      <c r="J15" s="30">
        <f t="shared" si="0"/>
        <v>125000</v>
      </c>
      <c r="K15" s="30">
        <f t="shared" si="0"/>
        <v>125000</v>
      </c>
      <c r="L15" s="30">
        <f t="shared" si="0"/>
        <v>125000</v>
      </c>
      <c r="M15" s="30">
        <f t="shared" si="0"/>
        <v>125000</v>
      </c>
      <c r="N15" s="1"/>
      <c r="O15" s="1"/>
    </row>
    <row r="16" spans="1:15" x14ac:dyDescent="0.3">
      <c r="A16" s="6" t="s">
        <v>3</v>
      </c>
      <c r="B16" s="30"/>
      <c r="C16" s="30">
        <f>5*150000</f>
        <v>750000</v>
      </c>
      <c r="D16" s="30">
        <f t="shared" ref="D16:J16" si="1">15000*2</f>
        <v>30000</v>
      </c>
      <c r="E16" s="30">
        <f t="shared" si="1"/>
        <v>30000</v>
      </c>
      <c r="F16" s="30">
        <f t="shared" si="1"/>
        <v>30000</v>
      </c>
      <c r="G16" s="30">
        <f t="shared" si="1"/>
        <v>30000</v>
      </c>
      <c r="H16" s="30">
        <f t="shared" si="1"/>
        <v>30000</v>
      </c>
      <c r="I16" s="30">
        <f t="shared" si="1"/>
        <v>30000</v>
      </c>
      <c r="J16" s="30">
        <f t="shared" si="1"/>
        <v>30000</v>
      </c>
      <c r="K16" s="30">
        <f>15000*2+(150000)</f>
        <v>180000</v>
      </c>
      <c r="L16" s="30">
        <f>15000*4</f>
        <v>60000</v>
      </c>
      <c r="M16" s="30">
        <f>15000*4</f>
        <v>60000</v>
      </c>
      <c r="N16" s="1"/>
      <c r="O16" s="1"/>
    </row>
    <row r="17" spans="1:15" ht="28.5" customHeight="1" x14ac:dyDescent="0.3">
      <c r="A17" s="7" t="s">
        <v>21</v>
      </c>
      <c r="B17" s="30"/>
      <c r="C17" s="30"/>
      <c r="D17" s="30"/>
      <c r="E17" s="30"/>
      <c r="F17" s="30"/>
      <c r="G17" s="30"/>
      <c r="H17" s="30"/>
      <c r="I17" s="30"/>
      <c r="J17" s="30"/>
      <c r="K17" s="30"/>
      <c r="L17" s="30"/>
      <c r="M17" s="30"/>
      <c r="N17" s="1"/>
      <c r="O17" s="1"/>
    </row>
    <row r="18" spans="1:15" x14ac:dyDescent="0.3">
      <c r="A18" s="6" t="s">
        <v>34</v>
      </c>
      <c r="B18" s="30">
        <v>8000</v>
      </c>
      <c r="C18" s="30">
        <v>8000</v>
      </c>
      <c r="D18" s="30">
        <f t="shared" ref="D18:M18" si="2">8000+8000*(0.25)</f>
        <v>10000</v>
      </c>
      <c r="E18" s="30">
        <f t="shared" si="2"/>
        <v>10000</v>
      </c>
      <c r="F18" s="30">
        <f t="shared" si="2"/>
        <v>10000</v>
      </c>
      <c r="G18" s="30">
        <f t="shared" si="2"/>
        <v>10000</v>
      </c>
      <c r="H18" s="30">
        <f t="shared" si="2"/>
        <v>10000</v>
      </c>
      <c r="I18" s="30">
        <f t="shared" si="2"/>
        <v>10000</v>
      </c>
      <c r="J18" s="30">
        <f t="shared" si="2"/>
        <v>10000</v>
      </c>
      <c r="K18" s="30">
        <f t="shared" si="2"/>
        <v>10000</v>
      </c>
      <c r="L18" s="30">
        <f t="shared" si="2"/>
        <v>10000</v>
      </c>
      <c r="M18" s="30">
        <f t="shared" si="2"/>
        <v>10000</v>
      </c>
      <c r="N18" s="1"/>
      <c r="O18" s="1"/>
    </row>
    <row r="19" spans="1:15" x14ac:dyDescent="0.3">
      <c r="A19" s="6" t="s">
        <v>35</v>
      </c>
      <c r="B19" s="30">
        <v>42000</v>
      </c>
      <c r="C19" s="30">
        <v>42000</v>
      </c>
      <c r="D19" s="30">
        <v>42000</v>
      </c>
      <c r="E19" s="30">
        <v>42000</v>
      </c>
      <c r="F19" s="30">
        <v>62000</v>
      </c>
      <c r="G19" s="30">
        <v>62000</v>
      </c>
      <c r="H19" s="30">
        <v>62000</v>
      </c>
      <c r="I19" s="30">
        <v>62000</v>
      </c>
      <c r="J19" s="30">
        <v>62000</v>
      </c>
      <c r="K19" s="30">
        <v>62000</v>
      </c>
      <c r="L19" s="30">
        <v>62000</v>
      </c>
      <c r="M19" s="30">
        <v>62000</v>
      </c>
      <c r="N19" s="1"/>
      <c r="O19" s="1"/>
    </row>
    <row r="20" spans="1:15" x14ac:dyDescent="0.3">
      <c r="A20" s="6" t="s">
        <v>36</v>
      </c>
      <c r="B20" s="30">
        <v>600</v>
      </c>
      <c r="C20" s="30">
        <v>600</v>
      </c>
      <c r="D20" s="30">
        <v>600</v>
      </c>
      <c r="E20" s="30">
        <f>600</f>
        <v>600</v>
      </c>
      <c r="F20" s="30">
        <f t="shared" ref="F20:M20" si="3">600+600*(0.45)</f>
        <v>870</v>
      </c>
      <c r="G20" s="30">
        <f t="shared" si="3"/>
        <v>870</v>
      </c>
      <c r="H20" s="30">
        <f t="shared" si="3"/>
        <v>870</v>
      </c>
      <c r="I20" s="30">
        <f t="shared" si="3"/>
        <v>870</v>
      </c>
      <c r="J20" s="30">
        <f t="shared" si="3"/>
        <v>870</v>
      </c>
      <c r="K20" s="30">
        <f t="shared" si="3"/>
        <v>870</v>
      </c>
      <c r="L20" s="30">
        <f t="shared" si="3"/>
        <v>870</v>
      </c>
      <c r="M20" s="30">
        <f t="shared" si="3"/>
        <v>870</v>
      </c>
      <c r="N20" s="1"/>
      <c r="O20" s="1"/>
    </row>
    <row r="21" spans="1:15" x14ac:dyDescent="0.3">
      <c r="A21" s="6" t="s">
        <v>37</v>
      </c>
      <c r="B21" s="30">
        <v>600</v>
      </c>
      <c r="C21" s="30">
        <v>600</v>
      </c>
      <c r="D21" s="30">
        <v>600</v>
      </c>
      <c r="E21" s="30">
        <v>600</v>
      </c>
      <c r="F21" s="30">
        <v>600</v>
      </c>
      <c r="G21" s="30">
        <v>600</v>
      </c>
      <c r="H21" s="30">
        <v>600</v>
      </c>
      <c r="I21" s="30">
        <v>600</v>
      </c>
      <c r="J21" s="30">
        <v>600</v>
      </c>
      <c r="K21" s="30">
        <v>600</v>
      </c>
      <c r="L21" s="30">
        <v>600</v>
      </c>
      <c r="M21" s="30">
        <v>600</v>
      </c>
      <c r="N21" s="1"/>
      <c r="O21" s="1"/>
    </row>
    <row r="22" spans="1:15" x14ac:dyDescent="0.3">
      <c r="A22" s="6" t="s">
        <v>50</v>
      </c>
      <c r="B22" s="30"/>
      <c r="C22" s="30"/>
      <c r="D22" s="30"/>
      <c r="E22" s="30">
        <v>35000</v>
      </c>
      <c r="F22" s="30"/>
      <c r="G22" s="30"/>
      <c r="H22" s="30"/>
      <c r="I22" s="30"/>
      <c r="J22" s="30"/>
      <c r="K22" s="30"/>
      <c r="L22" s="30"/>
      <c r="M22" s="30"/>
      <c r="N22" s="1"/>
      <c r="O22" s="1"/>
    </row>
    <row r="23" spans="1:15" x14ac:dyDescent="0.3">
      <c r="A23" s="6" t="s">
        <v>38</v>
      </c>
      <c r="B23" s="30">
        <v>1200</v>
      </c>
      <c r="C23" s="30">
        <v>1200</v>
      </c>
      <c r="D23" s="30">
        <v>1200</v>
      </c>
      <c r="E23" s="30">
        <v>1200</v>
      </c>
      <c r="F23" s="30">
        <v>1200</v>
      </c>
      <c r="G23" s="30">
        <v>1200</v>
      </c>
      <c r="H23" s="30">
        <v>1200</v>
      </c>
      <c r="I23" s="30">
        <v>1200</v>
      </c>
      <c r="J23" s="30">
        <v>1200</v>
      </c>
      <c r="K23" s="30">
        <v>1200</v>
      </c>
      <c r="L23" s="30">
        <v>1200</v>
      </c>
      <c r="M23" s="30">
        <v>1200</v>
      </c>
      <c r="N23" s="1"/>
      <c r="O23" s="1"/>
    </row>
    <row r="24" spans="1:15" x14ac:dyDescent="0.3">
      <c r="A24" s="5" t="s">
        <v>4</v>
      </c>
      <c r="B24" s="30">
        <f>(B15+B16)-(B18+B19+B20+B21+B22+B23)</f>
        <v>72600</v>
      </c>
      <c r="C24" s="30">
        <f t="shared" ref="C24:M24" si="4">(C15+C16)-(C18+C19+C20+C21+C22+C23)</f>
        <v>822600</v>
      </c>
      <c r="D24" s="30">
        <f t="shared" si="4"/>
        <v>100600</v>
      </c>
      <c r="E24" s="30">
        <f t="shared" si="4"/>
        <v>65600</v>
      </c>
      <c r="F24" s="30">
        <f t="shared" si="4"/>
        <v>80330</v>
      </c>
      <c r="G24" s="30">
        <f t="shared" si="4"/>
        <v>80330</v>
      </c>
      <c r="H24" s="30">
        <f t="shared" si="4"/>
        <v>80330</v>
      </c>
      <c r="I24" s="30">
        <f t="shared" si="4"/>
        <v>80330</v>
      </c>
      <c r="J24" s="30">
        <f t="shared" si="4"/>
        <v>80330</v>
      </c>
      <c r="K24" s="30">
        <f t="shared" si="4"/>
        <v>230330</v>
      </c>
      <c r="L24" s="30">
        <f t="shared" si="4"/>
        <v>110330</v>
      </c>
      <c r="M24" s="30">
        <f t="shared" si="4"/>
        <v>110330</v>
      </c>
      <c r="N24" s="16">
        <f>SUM(B24:M24)</f>
        <v>1914040</v>
      </c>
      <c r="O24" s="1"/>
    </row>
    <row r="25" spans="1:15" ht="28.5" customHeight="1" x14ac:dyDescent="0.3">
      <c r="A25" s="39" t="s">
        <v>18</v>
      </c>
      <c r="B25" s="24"/>
      <c r="C25" s="24"/>
      <c r="D25" s="24"/>
      <c r="E25" s="24"/>
      <c r="F25" s="24"/>
      <c r="G25" s="24"/>
      <c r="H25" s="24"/>
      <c r="I25" s="24"/>
      <c r="J25" s="24"/>
      <c r="K25" s="24"/>
      <c r="L25" s="24"/>
      <c r="M25" s="24"/>
      <c r="N25" s="16"/>
      <c r="O25" s="1"/>
    </row>
    <row r="26" spans="1:15" x14ac:dyDescent="0.3">
      <c r="A26" s="12"/>
      <c r="B26" s="6">
        <f>(1.13)^B11</f>
        <v>1.1299999999999999</v>
      </c>
      <c r="C26" s="6">
        <f t="shared" ref="C26:M26" si="5">(1.13)^C11</f>
        <v>1.2768999999999997</v>
      </c>
      <c r="D26" s="6">
        <f t="shared" si="5"/>
        <v>1.4428969999999994</v>
      </c>
      <c r="E26" s="6">
        <f t="shared" si="5"/>
        <v>1.6304736099999992</v>
      </c>
      <c r="F26" s="6">
        <f t="shared" si="5"/>
        <v>1.8424351792999989</v>
      </c>
      <c r="G26" s="6">
        <f t="shared" si="5"/>
        <v>2.0819517526089983</v>
      </c>
      <c r="H26" s="6">
        <f t="shared" si="5"/>
        <v>2.352605480448168</v>
      </c>
      <c r="I26" s="6">
        <f t="shared" si="5"/>
        <v>2.6584441929064297</v>
      </c>
      <c r="J26" s="6">
        <f t="shared" si="5"/>
        <v>3.0040419379842653</v>
      </c>
      <c r="K26" s="6">
        <f t="shared" si="5"/>
        <v>3.3945673899222193</v>
      </c>
      <c r="L26" s="6">
        <f t="shared" si="5"/>
        <v>3.8358611506121072</v>
      </c>
      <c r="M26" s="6">
        <f t="shared" si="5"/>
        <v>4.3345231001916806</v>
      </c>
      <c r="N26" s="16"/>
      <c r="O26" s="1"/>
    </row>
    <row r="27" spans="1:15" ht="20.25" customHeight="1" x14ac:dyDescent="0.3">
      <c r="A27" s="8" t="s">
        <v>19</v>
      </c>
      <c r="B27" s="30">
        <f t="shared" ref="B27:M27" si="6">B24/B26</f>
        <v>64247.787610619474</v>
      </c>
      <c r="C27" s="30">
        <f t="shared" si="6"/>
        <v>644216.46174328472</v>
      </c>
      <c r="D27" s="30">
        <f t="shared" si="6"/>
        <v>69720.846325136197</v>
      </c>
      <c r="E27" s="30">
        <f t="shared" si="6"/>
        <v>40233.708535767117</v>
      </c>
      <c r="F27" s="30">
        <f t="shared" si="6"/>
        <v>43599.905658835705</v>
      </c>
      <c r="G27" s="30">
        <f t="shared" si="6"/>
        <v>38583.987308704171</v>
      </c>
      <c r="H27" s="30">
        <f t="shared" si="6"/>
        <v>34145.121512127589</v>
      </c>
      <c r="I27" s="30">
        <f t="shared" si="6"/>
        <v>30216.921692148309</v>
      </c>
      <c r="J27" s="30">
        <f t="shared" si="6"/>
        <v>26740.638665617975</v>
      </c>
      <c r="K27" s="30">
        <f t="shared" si="6"/>
        <v>67852.534223890485</v>
      </c>
      <c r="L27" s="30">
        <f t="shared" si="6"/>
        <v>28762.772078544633</v>
      </c>
      <c r="M27" s="30">
        <f t="shared" si="6"/>
        <v>25453.780600481976</v>
      </c>
      <c r="N27" s="30">
        <f>SUM(B27:M27)</f>
        <v>1113774.4659551582</v>
      </c>
      <c r="O27" s="1"/>
    </row>
    <row r="28" spans="1:15" ht="20.25" customHeight="1" x14ac:dyDescent="0.3">
      <c r="A28" s="8" t="s">
        <v>68</v>
      </c>
      <c r="B28" s="30"/>
      <c r="C28" s="30">
        <f>B27+C27</f>
        <v>708464.24935390416</v>
      </c>
      <c r="D28" s="38">
        <f t="shared" ref="D28:M28" si="7">C28+D27</f>
        <v>778185.0956790403</v>
      </c>
      <c r="E28" s="30">
        <f t="shared" si="7"/>
        <v>818418.80421480746</v>
      </c>
      <c r="F28" s="30">
        <f t="shared" si="7"/>
        <v>862018.70987364312</v>
      </c>
      <c r="G28" s="30">
        <f t="shared" si="7"/>
        <v>900602.6971823473</v>
      </c>
      <c r="H28" s="30">
        <f t="shared" si="7"/>
        <v>934747.81869447487</v>
      </c>
      <c r="I28" s="38">
        <f t="shared" si="7"/>
        <v>964964.74038662319</v>
      </c>
      <c r="J28" s="30">
        <f t="shared" si="7"/>
        <v>991705.37905224122</v>
      </c>
      <c r="K28" s="30">
        <f t="shared" si="7"/>
        <v>1059557.9132761317</v>
      </c>
      <c r="L28" s="30">
        <f t="shared" si="7"/>
        <v>1088320.6853546763</v>
      </c>
      <c r="M28" s="30">
        <f t="shared" si="7"/>
        <v>1113774.4659551582</v>
      </c>
      <c r="N28" s="33">
        <f>N27-B30</f>
        <v>163774.46595515823</v>
      </c>
      <c r="O28" s="18">
        <f>N27-C30</f>
        <v>-49535.975321901496</v>
      </c>
    </row>
    <row r="29" spans="1:15" x14ac:dyDescent="0.3">
      <c r="A29" s="1"/>
      <c r="B29" s="1"/>
      <c r="N29" s="6"/>
      <c r="O29" s="13"/>
    </row>
    <row r="30" spans="1:15" x14ac:dyDescent="0.3">
      <c r="A30" s="6" t="s">
        <v>20</v>
      </c>
      <c r="B30" s="28">
        <v>950000</v>
      </c>
      <c r="C30" s="44">
        <f>D32+D31</f>
        <v>1163310.4412770597</v>
      </c>
      <c r="D30" s="6"/>
      <c r="E30" s="1"/>
      <c r="F30" s="1"/>
      <c r="G30" s="1"/>
      <c r="H30" s="1"/>
      <c r="I30" s="1"/>
      <c r="J30" s="1"/>
      <c r="K30" s="1"/>
      <c r="L30" s="1"/>
      <c r="M30" s="1"/>
      <c r="O30" s="1"/>
    </row>
    <row r="31" spans="1:15" x14ac:dyDescent="0.3">
      <c r="A31" s="6" t="s">
        <v>48</v>
      </c>
      <c r="B31" s="29">
        <v>0.7</v>
      </c>
      <c r="C31" s="30">
        <f>B30*B31</f>
        <v>665000</v>
      </c>
      <c r="D31" s="30">
        <f>C31*(1+B33)</f>
        <v>718200</v>
      </c>
      <c r="E31" s="1"/>
      <c r="F31" s="13"/>
      <c r="G31" s="1"/>
      <c r="H31" s="13"/>
      <c r="I31" s="1"/>
      <c r="J31" s="13"/>
      <c r="K31" s="1"/>
      <c r="L31" s="1"/>
      <c r="M31" s="1"/>
      <c r="N31" s="1"/>
      <c r="O31" s="1"/>
    </row>
    <row r="32" spans="1:15" x14ac:dyDescent="0.3">
      <c r="A32" s="6" t="s">
        <v>69</v>
      </c>
      <c r="B32" s="29">
        <v>0.3</v>
      </c>
      <c r="C32" s="30">
        <f>B30*B32</f>
        <v>285000</v>
      </c>
      <c r="D32" s="30">
        <f>285000*((1+0.01875)^24)</f>
        <v>445110.44127705961</v>
      </c>
      <c r="E32" s="1"/>
      <c r="F32" s="13"/>
      <c r="G32" s="1"/>
      <c r="H32" s="13"/>
      <c r="I32" s="1"/>
      <c r="J32" s="13"/>
      <c r="K32" s="13"/>
      <c r="L32" s="1"/>
      <c r="M32" s="1"/>
      <c r="N32" s="1"/>
      <c r="O32" s="1"/>
    </row>
    <row r="33" spans="1:4" x14ac:dyDescent="0.3">
      <c r="A33" s="6" t="s">
        <v>23</v>
      </c>
      <c r="B33" s="12">
        <v>0.08</v>
      </c>
      <c r="C33" s="23"/>
      <c r="D33" s="23"/>
    </row>
    <row r="34" spans="1:4" x14ac:dyDescent="0.3">
      <c r="A34" s="6" t="s">
        <v>22</v>
      </c>
      <c r="B34" s="34">
        <f>N27-B30</f>
        <v>163774.46595515823</v>
      </c>
      <c r="C34" s="23"/>
      <c r="D34" s="23"/>
    </row>
    <row r="35" spans="1:4" x14ac:dyDescent="0.3">
      <c r="B35" s="1"/>
    </row>
    <row r="36" spans="1:4" x14ac:dyDescent="0.3">
      <c r="C36" s="1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DA8F9E-6F6A-4674-B929-AF184A642F26}">
  <dimension ref="A1:P37"/>
  <sheetViews>
    <sheetView topLeftCell="A24" zoomScale="120" zoomScaleNormal="60" workbookViewId="0">
      <selection sqref="A1:A5"/>
    </sheetView>
  </sheetViews>
  <sheetFormatPr baseColWidth="10" defaultRowHeight="14.4" x14ac:dyDescent="0.3"/>
  <cols>
    <col min="1" max="1" width="29.44140625" customWidth="1"/>
    <col min="2" max="13" width="15.6640625" customWidth="1"/>
    <col min="14" max="14" width="16" customWidth="1"/>
    <col min="15" max="15" width="12.88671875" bestFit="1" customWidth="1"/>
  </cols>
  <sheetData>
    <row r="1" spans="1:16" x14ac:dyDescent="0.3">
      <c r="A1" t="s">
        <v>57</v>
      </c>
    </row>
    <row r="2" spans="1:16" x14ac:dyDescent="0.3">
      <c r="A2" t="s">
        <v>61</v>
      </c>
    </row>
    <row r="3" spans="1:16" x14ac:dyDescent="0.3">
      <c r="A3" t="s">
        <v>58</v>
      </c>
    </row>
    <row r="4" spans="1:16" x14ac:dyDescent="0.3">
      <c r="A4" t="s">
        <v>59</v>
      </c>
    </row>
    <row r="5" spans="1:16" x14ac:dyDescent="0.3">
      <c r="A5" t="s">
        <v>52</v>
      </c>
    </row>
    <row r="6" spans="1:16" x14ac:dyDescent="0.3">
      <c r="A6" s="11" t="s">
        <v>53</v>
      </c>
      <c r="B6" s="11"/>
      <c r="C6" s="11"/>
      <c r="D6" s="11"/>
      <c r="E6" s="41" t="s">
        <v>13</v>
      </c>
      <c r="F6" s="20"/>
      <c r="G6" s="20"/>
    </row>
    <row r="7" spans="1:16" x14ac:dyDescent="0.3">
      <c r="A7" s="11" t="s">
        <v>54</v>
      </c>
      <c r="B7" s="11"/>
      <c r="C7" s="11"/>
      <c r="D7" s="11"/>
      <c r="E7" s="20"/>
      <c r="F7" s="20"/>
      <c r="G7" s="41" t="s">
        <v>7</v>
      </c>
      <c r="H7" s="46"/>
      <c r="I7" s="46"/>
    </row>
    <row r="8" spans="1:16" x14ac:dyDescent="0.3">
      <c r="A8" s="11" t="s">
        <v>60</v>
      </c>
      <c r="B8" s="11"/>
      <c r="C8" s="11"/>
      <c r="D8" s="21"/>
      <c r="E8" s="20"/>
      <c r="F8" s="41" t="s">
        <v>73</v>
      </c>
      <c r="G8" s="20"/>
      <c r="H8" s="46"/>
      <c r="I8" s="46"/>
    </row>
    <row r="9" spans="1:16" x14ac:dyDescent="0.3">
      <c r="A9" s="11" t="s">
        <v>56</v>
      </c>
      <c r="B9" s="11"/>
      <c r="C9" s="11"/>
      <c r="D9" s="21"/>
      <c r="E9" s="20"/>
      <c r="F9" s="20" t="s">
        <v>76</v>
      </c>
      <c r="G9" s="20"/>
      <c r="H9" s="20"/>
      <c r="I9" s="20"/>
      <c r="J9" s="20"/>
      <c r="K9" s="20"/>
      <c r="L9" s="20"/>
      <c r="M9" s="20"/>
      <c r="N9" s="20"/>
      <c r="O9" s="20"/>
      <c r="P9" s="20"/>
    </row>
    <row r="10" spans="1:16" x14ac:dyDescent="0.3">
      <c r="F10" s="20" t="s">
        <v>75</v>
      </c>
      <c r="G10" s="20"/>
      <c r="H10" s="20"/>
      <c r="I10" s="20"/>
      <c r="J10" s="20"/>
      <c r="K10" s="20"/>
      <c r="L10" s="20"/>
      <c r="M10" s="20"/>
      <c r="N10" s="20"/>
      <c r="O10" s="20"/>
      <c r="P10" s="20"/>
    </row>
    <row r="12" spans="1:16" x14ac:dyDescent="0.3">
      <c r="A12" s="1"/>
      <c r="B12" s="4">
        <v>1</v>
      </c>
      <c r="C12" s="4">
        <v>2</v>
      </c>
      <c r="D12" s="4">
        <v>3</v>
      </c>
      <c r="E12" s="4">
        <v>4</v>
      </c>
      <c r="F12" s="4">
        <v>5</v>
      </c>
      <c r="G12" s="4">
        <v>6</v>
      </c>
      <c r="H12" s="4">
        <v>7</v>
      </c>
      <c r="I12" s="4">
        <v>8</v>
      </c>
      <c r="J12" s="4">
        <v>9</v>
      </c>
      <c r="K12" s="4">
        <v>10</v>
      </c>
      <c r="L12" s="4">
        <v>11</v>
      </c>
      <c r="M12" s="4">
        <v>12</v>
      </c>
      <c r="N12" s="1"/>
      <c r="O12" s="1"/>
    </row>
    <row r="13" spans="1:16" x14ac:dyDescent="0.3">
      <c r="A13" s="5" t="s">
        <v>5</v>
      </c>
      <c r="B13" s="3" t="s">
        <v>6</v>
      </c>
      <c r="C13" s="3" t="s">
        <v>7</v>
      </c>
      <c r="D13" s="3" t="s">
        <v>8</v>
      </c>
      <c r="E13" s="3" t="s">
        <v>9</v>
      </c>
      <c r="F13" s="3" t="s">
        <v>10</v>
      </c>
      <c r="G13" s="3" t="s">
        <v>11</v>
      </c>
      <c r="H13" s="3" t="s">
        <v>12</v>
      </c>
      <c r="I13" s="3" t="s">
        <v>13</v>
      </c>
      <c r="J13" s="3" t="s">
        <v>14</v>
      </c>
      <c r="K13" s="3" t="s">
        <v>15</v>
      </c>
      <c r="L13" s="3" t="s">
        <v>16</v>
      </c>
      <c r="M13" s="3" t="s">
        <v>17</v>
      </c>
      <c r="N13" s="1"/>
      <c r="O13" s="1"/>
    </row>
    <row r="14" spans="1:16" x14ac:dyDescent="0.3">
      <c r="A14" s="5" t="s">
        <v>0</v>
      </c>
      <c r="B14" s="3"/>
      <c r="C14" s="3"/>
      <c r="D14" s="3"/>
      <c r="E14" s="3"/>
      <c r="F14" s="3"/>
      <c r="G14" s="3"/>
      <c r="H14" s="3"/>
      <c r="I14" s="3"/>
      <c r="J14" s="3"/>
      <c r="K14" s="3"/>
      <c r="L14" s="3"/>
      <c r="M14" s="3"/>
      <c r="N14" s="1"/>
      <c r="O14" s="1"/>
    </row>
    <row r="15" spans="1:16" x14ac:dyDescent="0.3">
      <c r="A15" s="6" t="s">
        <v>1</v>
      </c>
      <c r="B15" s="24"/>
      <c r="C15" s="30"/>
      <c r="D15" s="30"/>
      <c r="E15" s="30"/>
      <c r="F15" s="30"/>
      <c r="G15" s="30"/>
      <c r="H15" s="30"/>
      <c r="I15" s="30"/>
      <c r="J15" s="30"/>
      <c r="K15" s="30"/>
      <c r="L15" s="30"/>
      <c r="M15" s="30"/>
      <c r="N15" s="1"/>
      <c r="O15" s="1"/>
    </row>
    <row r="16" spans="1:16" x14ac:dyDescent="0.3">
      <c r="A16" s="6" t="s">
        <v>2</v>
      </c>
      <c r="B16" s="30">
        <f>5000*25</f>
        <v>125000</v>
      </c>
      <c r="C16" s="30">
        <f t="shared" ref="C16:M16" si="0">5000*25</f>
        <v>125000</v>
      </c>
      <c r="D16" s="30">
        <f t="shared" si="0"/>
        <v>125000</v>
      </c>
      <c r="E16" s="30">
        <f t="shared" si="0"/>
        <v>125000</v>
      </c>
      <c r="F16" s="30">
        <f t="shared" si="0"/>
        <v>125000</v>
      </c>
      <c r="G16" s="30">
        <f t="shared" si="0"/>
        <v>125000</v>
      </c>
      <c r="H16" s="30">
        <f t="shared" si="0"/>
        <v>125000</v>
      </c>
      <c r="I16" s="30">
        <f t="shared" si="0"/>
        <v>125000</v>
      </c>
      <c r="J16" s="30">
        <f t="shared" si="0"/>
        <v>125000</v>
      </c>
      <c r="K16" s="30">
        <f t="shared" si="0"/>
        <v>125000</v>
      </c>
      <c r="L16" s="30">
        <f t="shared" si="0"/>
        <v>125000</v>
      </c>
      <c r="M16" s="30">
        <f t="shared" si="0"/>
        <v>125000</v>
      </c>
      <c r="N16" s="1"/>
      <c r="O16" s="1"/>
    </row>
    <row r="17" spans="1:15" x14ac:dyDescent="0.3">
      <c r="A17" s="6" t="s">
        <v>3</v>
      </c>
      <c r="B17" s="30"/>
      <c r="C17" s="30">
        <f>5*150000</f>
        <v>750000</v>
      </c>
      <c r="D17" s="30">
        <f>15000*2</f>
        <v>30000</v>
      </c>
      <c r="E17" s="30">
        <f t="shared" ref="E17:M17" si="1">15000*2</f>
        <v>30000</v>
      </c>
      <c r="F17" s="30">
        <f t="shared" si="1"/>
        <v>30000</v>
      </c>
      <c r="G17" s="30">
        <f t="shared" si="1"/>
        <v>30000</v>
      </c>
      <c r="H17" s="30">
        <f t="shared" si="1"/>
        <v>30000</v>
      </c>
      <c r="I17" s="30">
        <f t="shared" si="1"/>
        <v>30000</v>
      </c>
      <c r="J17" s="30">
        <f t="shared" si="1"/>
        <v>30000</v>
      </c>
      <c r="K17" s="30">
        <f>(15000*2)+150000</f>
        <v>180000</v>
      </c>
      <c r="L17" s="30">
        <f t="shared" si="1"/>
        <v>30000</v>
      </c>
      <c r="M17" s="30">
        <f t="shared" si="1"/>
        <v>30000</v>
      </c>
      <c r="N17" s="1"/>
      <c r="O17" s="1"/>
    </row>
    <row r="18" spans="1:15" ht="30.75" customHeight="1" x14ac:dyDescent="0.3">
      <c r="A18" s="7" t="s">
        <v>21</v>
      </c>
      <c r="B18" s="30"/>
      <c r="C18" s="30"/>
      <c r="D18" s="30"/>
      <c r="E18" s="30"/>
      <c r="F18" s="30"/>
      <c r="G18" s="30"/>
      <c r="H18" s="30"/>
      <c r="I18" s="30"/>
      <c r="J18" s="30"/>
      <c r="K18" s="30"/>
      <c r="L18" s="30"/>
      <c r="M18" s="30"/>
      <c r="N18" s="1"/>
      <c r="O18" s="1"/>
    </row>
    <row r="19" spans="1:15" x14ac:dyDescent="0.3">
      <c r="A19" s="6" t="s">
        <v>34</v>
      </c>
      <c r="B19" s="30">
        <v>8000</v>
      </c>
      <c r="C19" s="30">
        <v>8000</v>
      </c>
      <c r="D19" s="30">
        <f>8000*1.5</f>
        <v>12000</v>
      </c>
      <c r="E19" s="30">
        <f>8000*1.5</f>
        <v>12000</v>
      </c>
      <c r="F19" s="30">
        <f>8000*1.5</f>
        <v>12000</v>
      </c>
      <c r="G19" s="30">
        <f t="shared" ref="G19:M19" si="2">8000*1.5</f>
        <v>12000</v>
      </c>
      <c r="H19" s="30">
        <f t="shared" si="2"/>
        <v>12000</v>
      </c>
      <c r="I19" s="30">
        <f t="shared" si="2"/>
        <v>12000</v>
      </c>
      <c r="J19" s="30">
        <f t="shared" si="2"/>
        <v>12000</v>
      </c>
      <c r="K19" s="30">
        <f t="shared" si="2"/>
        <v>12000</v>
      </c>
      <c r="L19" s="30">
        <f t="shared" si="2"/>
        <v>12000</v>
      </c>
      <c r="M19" s="30">
        <f t="shared" si="2"/>
        <v>12000</v>
      </c>
      <c r="N19" s="1"/>
      <c r="O19" s="1"/>
    </row>
    <row r="20" spans="1:15" x14ac:dyDescent="0.3">
      <c r="A20" s="6" t="s">
        <v>35</v>
      </c>
      <c r="B20" s="30">
        <v>42000</v>
      </c>
      <c r="C20" s="30">
        <v>42000</v>
      </c>
      <c r="D20" s="30">
        <v>42000</v>
      </c>
      <c r="E20" s="30">
        <v>42000</v>
      </c>
      <c r="F20" s="30">
        <v>62000</v>
      </c>
      <c r="G20" s="30">
        <v>62000</v>
      </c>
      <c r="H20" s="30">
        <v>62000</v>
      </c>
      <c r="I20" s="30">
        <v>62000</v>
      </c>
      <c r="J20" s="30">
        <v>62000</v>
      </c>
      <c r="K20" s="30">
        <v>62000</v>
      </c>
      <c r="L20" s="30">
        <v>62000</v>
      </c>
      <c r="M20" s="30">
        <v>62000</v>
      </c>
      <c r="N20" s="1"/>
      <c r="O20" s="1"/>
    </row>
    <row r="21" spans="1:15" x14ac:dyDescent="0.3">
      <c r="A21" s="6" t="s">
        <v>36</v>
      </c>
      <c r="B21" s="30">
        <v>600</v>
      </c>
      <c r="C21" s="30">
        <v>600</v>
      </c>
      <c r="D21" s="30">
        <v>600</v>
      </c>
      <c r="E21" s="30">
        <v>600</v>
      </c>
      <c r="F21" s="30">
        <v>906</v>
      </c>
      <c r="G21" s="30">
        <v>906</v>
      </c>
      <c r="H21" s="30">
        <v>906</v>
      </c>
      <c r="I21" s="30">
        <v>906</v>
      </c>
      <c r="J21" s="30">
        <v>906</v>
      </c>
      <c r="K21" s="30">
        <v>906</v>
      </c>
      <c r="L21" s="30">
        <v>906</v>
      </c>
      <c r="M21" s="30">
        <v>906</v>
      </c>
      <c r="N21" s="1"/>
      <c r="O21" s="1"/>
    </row>
    <row r="22" spans="1:15" x14ac:dyDescent="0.3">
      <c r="A22" s="6" t="s">
        <v>37</v>
      </c>
      <c r="B22" s="30">
        <v>600</v>
      </c>
      <c r="C22" s="30">
        <v>600</v>
      </c>
      <c r="D22" s="30">
        <v>600</v>
      </c>
      <c r="E22" s="30">
        <v>600</v>
      </c>
      <c r="F22" s="30">
        <v>600</v>
      </c>
      <c r="G22" s="30">
        <v>600</v>
      </c>
      <c r="H22" s="30">
        <v>600</v>
      </c>
      <c r="I22" s="30">
        <v>600</v>
      </c>
      <c r="J22" s="30">
        <v>600</v>
      </c>
      <c r="K22" s="30">
        <v>600</v>
      </c>
      <c r="L22" s="30">
        <v>600</v>
      </c>
      <c r="M22" s="30">
        <v>600</v>
      </c>
      <c r="N22" s="1"/>
      <c r="O22" s="1"/>
    </row>
    <row r="23" spans="1:15" x14ac:dyDescent="0.3">
      <c r="A23" s="6" t="s">
        <v>50</v>
      </c>
      <c r="B23" s="30"/>
      <c r="C23" s="30"/>
      <c r="D23" s="30"/>
      <c r="E23" s="30">
        <v>35000</v>
      </c>
      <c r="F23" s="30"/>
      <c r="G23" s="30"/>
      <c r="H23" s="30"/>
      <c r="I23" s="30"/>
      <c r="J23" s="30"/>
      <c r="K23" s="30"/>
      <c r="L23" s="30"/>
      <c r="M23" s="30"/>
      <c r="N23" s="1"/>
      <c r="O23" s="1"/>
    </row>
    <row r="24" spans="1:15" x14ac:dyDescent="0.3">
      <c r="A24" s="6" t="s">
        <v>38</v>
      </c>
      <c r="B24" s="30">
        <v>1200</v>
      </c>
      <c r="C24" s="30">
        <v>1200</v>
      </c>
      <c r="D24" s="30">
        <v>1200</v>
      </c>
      <c r="E24" s="30">
        <v>1200</v>
      </c>
      <c r="F24" s="30">
        <v>1200</v>
      </c>
      <c r="G24" s="30">
        <v>1200</v>
      </c>
      <c r="H24" s="30">
        <v>1200</v>
      </c>
      <c r="I24" s="30">
        <v>1200</v>
      </c>
      <c r="J24" s="30">
        <v>1200</v>
      </c>
      <c r="K24" s="30">
        <v>1200</v>
      </c>
      <c r="L24" s="30">
        <v>1200</v>
      </c>
      <c r="M24" s="30">
        <v>1200</v>
      </c>
      <c r="N24" s="1"/>
      <c r="O24" s="1"/>
    </row>
    <row r="25" spans="1:15" x14ac:dyDescent="0.3">
      <c r="A25" s="5" t="s">
        <v>4</v>
      </c>
      <c r="B25" s="30">
        <f>(B16+B17)-(B19+B20+B21+B22+B23+B24)</f>
        <v>72600</v>
      </c>
      <c r="C25" s="30">
        <f t="shared" ref="C25:M25" si="3">(C16+C17)-(C19+C20+C21+C22+C23+C24)</f>
        <v>822600</v>
      </c>
      <c r="D25" s="30">
        <f t="shared" si="3"/>
        <v>98600</v>
      </c>
      <c r="E25" s="30">
        <f t="shared" si="3"/>
        <v>63600</v>
      </c>
      <c r="F25" s="30">
        <f t="shared" si="3"/>
        <v>78294</v>
      </c>
      <c r="G25" s="30">
        <f t="shared" si="3"/>
        <v>78294</v>
      </c>
      <c r="H25" s="30">
        <f t="shared" si="3"/>
        <v>78294</v>
      </c>
      <c r="I25" s="30">
        <f t="shared" si="3"/>
        <v>78294</v>
      </c>
      <c r="J25" s="30">
        <f t="shared" si="3"/>
        <v>78294</v>
      </c>
      <c r="K25" s="30">
        <f t="shared" si="3"/>
        <v>228294</v>
      </c>
      <c r="L25" s="30">
        <f t="shared" si="3"/>
        <v>78294</v>
      </c>
      <c r="M25" s="30">
        <f t="shared" si="3"/>
        <v>78294</v>
      </c>
      <c r="N25" s="16">
        <f>SUM(B25:M25)</f>
        <v>1833752</v>
      </c>
      <c r="O25" s="1"/>
    </row>
    <row r="26" spans="1:15" ht="24.75" customHeight="1" x14ac:dyDescent="0.3">
      <c r="A26" s="2" t="s">
        <v>18</v>
      </c>
      <c r="B26" s="1"/>
      <c r="C26" s="1"/>
      <c r="D26" s="1"/>
      <c r="E26" s="1"/>
      <c r="F26" s="1"/>
      <c r="G26" s="1"/>
      <c r="H26" s="1"/>
      <c r="I26" s="1"/>
      <c r="J26" s="1"/>
      <c r="K26" s="1"/>
      <c r="L26" s="1"/>
      <c r="M26" s="1"/>
      <c r="N26" s="16"/>
      <c r="O26" s="1"/>
    </row>
    <row r="27" spans="1:15" x14ac:dyDescent="0.3">
      <c r="A27" s="12"/>
      <c r="B27" s="6">
        <f>(1.13)^B12</f>
        <v>1.1299999999999999</v>
      </c>
      <c r="C27" s="6">
        <f t="shared" ref="C27:M27" si="4">(1.13)^C12</f>
        <v>1.2768999999999997</v>
      </c>
      <c r="D27" s="6">
        <f t="shared" si="4"/>
        <v>1.4428969999999994</v>
      </c>
      <c r="E27" s="6">
        <f t="shared" si="4"/>
        <v>1.6304736099999992</v>
      </c>
      <c r="F27" s="6">
        <f t="shared" si="4"/>
        <v>1.8424351792999989</v>
      </c>
      <c r="G27" s="6">
        <f t="shared" si="4"/>
        <v>2.0819517526089983</v>
      </c>
      <c r="H27" s="6">
        <f t="shared" si="4"/>
        <v>2.352605480448168</v>
      </c>
      <c r="I27" s="6">
        <f t="shared" si="4"/>
        <v>2.6584441929064297</v>
      </c>
      <c r="J27" s="6">
        <f t="shared" si="4"/>
        <v>3.0040419379842653</v>
      </c>
      <c r="K27" s="6">
        <f t="shared" si="4"/>
        <v>3.3945673899222193</v>
      </c>
      <c r="L27" s="6">
        <f t="shared" si="4"/>
        <v>3.8358611506121072</v>
      </c>
      <c r="M27" s="6">
        <f t="shared" si="4"/>
        <v>4.3345231001916806</v>
      </c>
      <c r="N27" s="16"/>
      <c r="O27" s="1"/>
    </row>
    <row r="28" spans="1:15" ht="26.25" customHeight="1" x14ac:dyDescent="0.3">
      <c r="A28" s="8" t="s">
        <v>19</v>
      </c>
      <c r="B28" s="30">
        <f>B25/B27</f>
        <v>64247.787610619474</v>
      </c>
      <c r="C28" s="30">
        <f t="shared" ref="C28:M28" si="5">C25/C27</f>
        <v>644216.46174328472</v>
      </c>
      <c r="D28" s="30">
        <f t="shared" si="5"/>
        <v>68334.74600058081</v>
      </c>
      <c r="E28" s="30">
        <f t="shared" si="5"/>
        <v>39007.071080408365</v>
      </c>
      <c r="F28" s="30">
        <f t="shared" si="5"/>
        <v>42494.846429140831</v>
      </c>
      <c r="G28" s="30">
        <f t="shared" si="5"/>
        <v>37606.058786850299</v>
      </c>
      <c r="H28" s="30">
        <f t="shared" si="5"/>
        <v>33279.69804146044</v>
      </c>
      <c r="I28" s="30">
        <f t="shared" si="5"/>
        <v>29451.060213681809</v>
      </c>
      <c r="J28" s="30">
        <f t="shared" si="5"/>
        <v>26062.88514485116</v>
      </c>
      <c r="K28" s="30">
        <f t="shared" si="5"/>
        <v>67252.752347105692</v>
      </c>
      <c r="L28" s="30">
        <f t="shared" si="5"/>
        <v>20411.062060342367</v>
      </c>
      <c r="M28" s="30">
        <f t="shared" si="5"/>
        <v>18062.886779064043</v>
      </c>
      <c r="N28" s="30">
        <f>SUM(B28:M28)</f>
        <v>1090427.3162373903</v>
      </c>
      <c r="O28" s="1"/>
    </row>
    <row r="29" spans="1:15" ht="26.25" customHeight="1" x14ac:dyDescent="0.3">
      <c r="A29" s="8" t="s">
        <v>68</v>
      </c>
      <c r="B29" s="30"/>
      <c r="C29" s="30">
        <f>B28+C28</f>
        <v>708464.24935390416</v>
      </c>
      <c r="D29" s="30">
        <f t="shared" ref="D29:M29" si="6">C29+D28</f>
        <v>776798.995354485</v>
      </c>
      <c r="E29" s="30">
        <f t="shared" si="6"/>
        <v>815806.06643489341</v>
      </c>
      <c r="F29" s="30">
        <f t="shared" si="6"/>
        <v>858300.9128640343</v>
      </c>
      <c r="G29" s="30">
        <f t="shared" si="6"/>
        <v>895906.9716508846</v>
      </c>
      <c r="H29" s="30">
        <f t="shared" si="6"/>
        <v>929186.66969234508</v>
      </c>
      <c r="I29" s="38">
        <f t="shared" si="6"/>
        <v>958637.72990602686</v>
      </c>
      <c r="J29" s="30">
        <f t="shared" si="6"/>
        <v>984700.61505087803</v>
      </c>
      <c r="K29" s="30">
        <f t="shared" si="6"/>
        <v>1051953.3673979838</v>
      </c>
      <c r="L29" s="30">
        <f t="shared" si="6"/>
        <v>1072364.4294583262</v>
      </c>
      <c r="M29" s="30">
        <f t="shared" si="6"/>
        <v>1090427.3162373903</v>
      </c>
      <c r="N29" s="33">
        <f>N28-B31</f>
        <v>140427.31623739027</v>
      </c>
      <c r="O29" s="18">
        <f>N28-C31</f>
        <v>-68701.502982339589</v>
      </c>
    </row>
    <row r="30" spans="1:15" x14ac:dyDescent="0.3">
      <c r="A30" s="1"/>
      <c r="B30" s="1"/>
      <c r="C30" s="16"/>
      <c r="D30" s="16"/>
      <c r="E30" s="16"/>
      <c r="F30" s="16"/>
      <c r="G30" s="16"/>
      <c r="H30" s="16"/>
      <c r="I30" s="16"/>
      <c r="J30" s="16"/>
      <c r="K30" s="16"/>
      <c r="L30" s="16"/>
      <c r="M30" s="16"/>
      <c r="N30" s="18"/>
      <c r="O30" s="13"/>
    </row>
    <row r="31" spans="1:15" x14ac:dyDescent="0.3">
      <c r="A31" s="6" t="s">
        <v>20</v>
      </c>
      <c r="B31" s="31">
        <v>950000</v>
      </c>
      <c r="C31" s="31">
        <f>D32+D33</f>
        <v>1159128.8192197299</v>
      </c>
      <c r="D31" s="30">
        <f>C32*1.058</f>
        <v>603060</v>
      </c>
      <c r="E31" s="1"/>
      <c r="F31" s="1"/>
      <c r="G31" s="1"/>
      <c r="H31" s="1"/>
      <c r="I31" s="1"/>
      <c r="J31" s="1"/>
      <c r="K31" s="1"/>
      <c r="L31" s="1"/>
      <c r="M31" s="1"/>
      <c r="N31" s="6"/>
      <c r="O31" s="1"/>
    </row>
    <row r="32" spans="1:15" x14ac:dyDescent="0.3">
      <c r="A32" s="6" t="s">
        <v>48</v>
      </c>
      <c r="B32" s="29">
        <v>0.6</v>
      </c>
      <c r="C32" s="30">
        <v>570000</v>
      </c>
      <c r="D32" s="30">
        <f>C32*(1+B34)</f>
        <v>655500</v>
      </c>
      <c r="F32" s="25" t="s">
        <v>62</v>
      </c>
      <c r="G32" s="25" t="s">
        <v>63</v>
      </c>
      <c r="H32" s="25" t="s">
        <v>64</v>
      </c>
      <c r="I32" s="25" t="s">
        <v>67</v>
      </c>
      <c r="J32" s="25" t="s">
        <v>65</v>
      </c>
      <c r="K32" s="1"/>
      <c r="L32" s="1"/>
      <c r="M32" s="1"/>
      <c r="N32" s="1"/>
      <c r="O32" s="1"/>
    </row>
    <row r="33" spans="1:15" x14ac:dyDescent="0.3">
      <c r="A33" s="6" t="s">
        <v>69</v>
      </c>
      <c r="B33" s="29">
        <v>0.4</v>
      </c>
      <c r="C33" s="30">
        <v>380000</v>
      </c>
      <c r="D33" s="30">
        <f>380000*((1+0.02375)^12)</f>
        <v>503628.81921972992</v>
      </c>
      <c r="F33" s="34">
        <v>600</v>
      </c>
      <c r="G33" s="34">
        <f>F33*0.6</f>
        <v>360</v>
      </c>
      <c r="H33" s="34">
        <f>F33-G33</f>
        <v>240</v>
      </c>
      <c r="I33" s="34">
        <f>G33*1.85</f>
        <v>666</v>
      </c>
      <c r="J33" s="34">
        <f>I33+H33</f>
        <v>906</v>
      </c>
      <c r="K33" s="13"/>
      <c r="L33" s="1"/>
      <c r="M33" s="1"/>
      <c r="N33" s="1"/>
      <c r="O33" s="1"/>
    </row>
    <row r="34" spans="1:15" x14ac:dyDescent="0.3">
      <c r="A34" s="6" t="s">
        <v>23</v>
      </c>
      <c r="B34" s="32">
        <v>0.15</v>
      </c>
      <c r="C34" s="23"/>
      <c r="D34" s="23"/>
    </row>
    <row r="35" spans="1:15" x14ac:dyDescent="0.3">
      <c r="A35" s="6" t="s">
        <v>22</v>
      </c>
      <c r="B35" s="34">
        <f>N28-B31</f>
        <v>140427.31623739027</v>
      </c>
      <c r="C35" s="23"/>
      <c r="D35" s="23"/>
    </row>
    <row r="36" spans="1:15" x14ac:dyDescent="0.3">
      <c r="B36" s="24"/>
      <c r="C36" s="24"/>
    </row>
    <row r="37" spans="1:15" x14ac:dyDescent="0.3">
      <c r="B37" s="24"/>
      <c r="C37" s="24"/>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3EC414-C7F4-49AA-9F1D-3088B6E16B78}">
  <dimension ref="B2:G25"/>
  <sheetViews>
    <sheetView zoomScale="167" workbookViewId="0">
      <selection activeCell="B26" sqref="B26"/>
    </sheetView>
  </sheetViews>
  <sheetFormatPr baseColWidth="10" defaultRowHeight="14.4" x14ac:dyDescent="0.3"/>
  <cols>
    <col min="1" max="1" width="5.5546875" customWidth="1"/>
  </cols>
  <sheetData>
    <row r="2" spans="2:7" ht="14.4" customHeight="1" x14ac:dyDescent="0.3">
      <c r="B2" s="48" t="s">
        <v>79</v>
      </c>
      <c r="C2" s="48"/>
      <c r="D2" s="48"/>
      <c r="E2" s="48"/>
      <c r="F2" s="48"/>
      <c r="G2" s="48"/>
    </row>
    <row r="3" spans="2:7" x14ac:dyDescent="0.3">
      <c r="B3" s="48"/>
      <c r="C3" s="48"/>
      <c r="D3" s="48"/>
      <c r="E3" s="48"/>
      <c r="F3" s="48"/>
      <c r="G3" s="48"/>
    </row>
    <row r="4" spans="2:7" x14ac:dyDescent="0.3">
      <c r="B4" s="48"/>
      <c r="C4" s="48"/>
      <c r="D4" s="48"/>
      <c r="E4" s="48"/>
      <c r="F4" s="48"/>
      <c r="G4" s="48"/>
    </row>
    <row r="5" spans="2:7" x14ac:dyDescent="0.3">
      <c r="B5" s="48"/>
      <c r="C5" s="48"/>
      <c r="D5" s="48"/>
      <c r="E5" s="48"/>
      <c r="F5" s="48"/>
      <c r="G5" s="48"/>
    </row>
    <row r="6" spans="2:7" x14ac:dyDescent="0.3">
      <c r="B6" s="48"/>
      <c r="C6" s="48"/>
      <c r="D6" s="48"/>
      <c r="E6" s="48"/>
      <c r="F6" s="48"/>
      <c r="G6" s="48"/>
    </row>
    <row r="7" spans="2:7" x14ac:dyDescent="0.3">
      <c r="B7" s="48"/>
      <c r="C7" s="48"/>
      <c r="D7" s="48"/>
      <c r="E7" s="48"/>
      <c r="F7" s="48"/>
      <c r="G7" s="48"/>
    </row>
    <row r="8" spans="2:7" x14ac:dyDescent="0.3">
      <c r="B8" s="48"/>
      <c r="C8" s="48"/>
      <c r="D8" s="48"/>
      <c r="E8" s="48"/>
      <c r="F8" s="48"/>
      <c r="G8" s="48"/>
    </row>
    <row r="9" spans="2:7" x14ac:dyDescent="0.3">
      <c r="B9" s="48"/>
      <c r="C9" s="48"/>
      <c r="D9" s="48"/>
      <c r="E9" s="48"/>
      <c r="F9" s="48"/>
      <c r="G9" s="48"/>
    </row>
    <row r="10" spans="2:7" x14ac:dyDescent="0.3">
      <c r="B10" s="48"/>
      <c r="C10" s="48"/>
      <c r="D10" s="48"/>
      <c r="E10" s="48"/>
      <c r="F10" s="48"/>
      <c r="G10" s="48"/>
    </row>
    <row r="11" spans="2:7" x14ac:dyDescent="0.3">
      <c r="B11" s="48"/>
      <c r="C11" s="48"/>
      <c r="D11" s="48"/>
      <c r="E11" s="48"/>
      <c r="F11" s="48"/>
      <c r="G11" s="48"/>
    </row>
    <row r="12" spans="2:7" x14ac:dyDescent="0.3">
      <c r="B12" s="48"/>
      <c r="C12" s="48"/>
      <c r="D12" s="48"/>
      <c r="E12" s="48"/>
      <c r="F12" s="48"/>
      <c r="G12" s="48"/>
    </row>
    <row r="13" spans="2:7" x14ac:dyDescent="0.3">
      <c r="B13" s="48"/>
      <c r="C13" s="48"/>
      <c r="D13" s="48"/>
      <c r="E13" s="48"/>
      <c r="F13" s="48"/>
      <c r="G13" s="48"/>
    </row>
    <row r="14" spans="2:7" x14ac:dyDescent="0.3">
      <c r="B14" s="48"/>
      <c r="C14" s="48"/>
      <c r="D14" s="48"/>
      <c r="E14" s="48"/>
      <c r="F14" s="48"/>
      <c r="G14" s="48"/>
    </row>
    <row r="15" spans="2:7" x14ac:dyDescent="0.3">
      <c r="B15" s="48"/>
      <c r="C15" s="48"/>
      <c r="D15" s="48"/>
      <c r="E15" s="48"/>
      <c r="F15" s="48"/>
      <c r="G15" s="48"/>
    </row>
    <row r="16" spans="2:7" x14ac:dyDescent="0.3">
      <c r="B16" s="48"/>
      <c r="C16" s="48"/>
      <c r="D16" s="48"/>
      <c r="E16" s="48"/>
      <c r="F16" s="48"/>
      <c r="G16" s="48"/>
    </row>
    <row r="17" spans="2:7" x14ac:dyDescent="0.3">
      <c r="B17" s="48"/>
      <c r="C17" s="48"/>
      <c r="D17" s="48"/>
      <c r="E17" s="48"/>
      <c r="F17" s="48"/>
      <c r="G17" s="48"/>
    </row>
    <row r="19" spans="2:7" x14ac:dyDescent="0.3">
      <c r="B19" t="s">
        <v>81</v>
      </c>
      <c r="C19" s="49"/>
      <c r="D19" s="49"/>
      <c r="E19" s="49"/>
      <c r="F19" s="49"/>
      <c r="G19" s="49"/>
    </row>
    <row r="20" spans="2:7" x14ac:dyDescent="0.3">
      <c r="B20" s="49" t="s">
        <v>82</v>
      </c>
      <c r="C20" s="49"/>
      <c r="D20" s="49"/>
      <c r="E20" s="49"/>
      <c r="F20" s="49"/>
      <c r="G20" s="49"/>
    </row>
    <row r="21" spans="2:7" x14ac:dyDescent="0.3">
      <c r="B21" s="49" t="s">
        <v>80</v>
      </c>
      <c r="C21" s="49"/>
      <c r="D21" s="49"/>
      <c r="E21" s="49"/>
      <c r="F21" s="49"/>
      <c r="G21" s="49"/>
    </row>
    <row r="22" spans="2:7" x14ac:dyDescent="0.3">
      <c r="B22" t="s">
        <v>84</v>
      </c>
    </row>
    <row r="23" spans="2:7" x14ac:dyDescent="0.3">
      <c r="B23" t="s">
        <v>83</v>
      </c>
    </row>
    <row r="24" spans="2:7" x14ac:dyDescent="0.3">
      <c r="B24" t="s">
        <v>85</v>
      </c>
    </row>
    <row r="25" spans="2:7" x14ac:dyDescent="0.3">
      <c r="B25" t="s">
        <v>86</v>
      </c>
    </row>
  </sheetData>
  <mergeCells count="1">
    <mergeCell ref="B2:G1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Flujo neto</vt:lpstr>
      <vt:lpstr>Escenario óptimo</vt:lpstr>
      <vt:lpstr>Escenario neutral</vt:lpstr>
      <vt:lpstr>Escenario pésimo</vt:lpstr>
      <vt:lpstr>Reporte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dc:creator>
  <cp:lastModifiedBy>VALDEZ GUTIERREZ ALDOEDUARDO</cp:lastModifiedBy>
  <dcterms:created xsi:type="dcterms:W3CDTF">2024-03-14T17:02:07Z</dcterms:created>
  <dcterms:modified xsi:type="dcterms:W3CDTF">2024-04-13T03:03:56Z</dcterms:modified>
</cp:coreProperties>
</file>