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19320" windowHeight="12120"/>
  </bookViews>
  <sheets>
    <sheet name="Three units_12" sheetId="1" r:id="rId1"/>
    <sheet name="Three units_13" sheetId="2" r:id="rId2"/>
    <sheet name="Three units_14" sheetId="3" r:id="rId3"/>
  </sheets>
  <externalReferences>
    <externalReference r:id="rId4"/>
    <externalReference r:id="rId5"/>
  </externalReferences>
  <calcPr calcId="144525"/>
</workbook>
</file>

<file path=xl/calcChain.xml><?xml version="1.0" encoding="utf-8"?>
<calcChain xmlns="http://schemas.openxmlformats.org/spreadsheetml/2006/main">
  <c r="H5" i="3" l="1"/>
  <c r="J5" i="3"/>
  <c r="N5" i="3"/>
  <c r="C6" i="3"/>
  <c r="E6" i="3"/>
  <c r="E5" i="3" s="1"/>
  <c r="F6" i="3"/>
  <c r="G6" i="3"/>
  <c r="G5" i="3" s="1"/>
  <c r="H6" i="3"/>
  <c r="I6" i="3"/>
  <c r="I5" i="3" s="1"/>
  <c r="J6" i="3"/>
  <c r="M6" i="3"/>
  <c r="N6" i="3"/>
  <c r="O6" i="3"/>
  <c r="O5" i="3" s="1"/>
  <c r="C10" i="3"/>
  <c r="J11" i="3"/>
  <c r="C12" i="3"/>
  <c r="E12" i="3" s="1"/>
  <c r="G12" i="3" s="1"/>
  <c r="F12" i="3"/>
  <c r="F5" i="3" s="1"/>
  <c r="K12" i="3"/>
  <c r="K5" i="3" s="1"/>
  <c r="C13" i="3"/>
  <c r="O13" i="3"/>
  <c r="P13" i="3"/>
  <c r="C14" i="3"/>
  <c r="D14" i="3"/>
  <c r="L14" i="3" s="1"/>
  <c r="E14" i="3"/>
  <c r="F14" i="3"/>
  <c r="K14" i="3"/>
  <c r="C15" i="3"/>
  <c r="D15" i="3"/>
  <c r="I15" i="3" s="1"/>
  <c r="E15" i="3"/>
  <c r="F15" i="3"/>
  <c r="G15" i="3" s="1"/>
  <c r="H15" i="3"/>
  <c r="L15" i="3"/>
  <c r="C16" i="3"/>
  <c r="F16" i="3" s="1"/>
  <c r="G16" i="3" s="1"/>
  <c r="D16" i="3"/>
  <c r="E16" i="3"/>
  <c r="E13" i="3" s="1"/>
  <c r="I16" i="3"/>
  <c r="K16" i="3"/>
  <c r="C17" i="3"/>
  <c r="E17" i="3"/>
  <c r="F17" i="3"/>
  <c r="G17" i="3"/>
  <c r="Q17" i="3" s="1"/>
  <c r="R17" i="3" s="1"/>
  <c r="H17" i="3"/>
  <c r="I17" i="3"/>
  <c r="J17" i="3"/>
  <c r="M17" i="3"/>
  <c r="C18" i="3"/>
  <c r="E18" i="3"/>
  <c r="F18" i="3"/>
  <c r="G18" i="3"/>
  <c r="Q18" i="3" s="1"/>
  <c r="R18" i="3" s="1"/>
  <c r="H18" i="3"/>
  <c r="I18" i="3"/>
  <c r="J18" i="3"/>
  <c r="M18" i="3"/>
  <c r="F19" i="3"/>
  <c r="G19" i="3"/>
  <c r="Q19" i="3" s="1"/>
  <c r="R19" i="3" s="1"/>
  <c r="F20" i="3"/>
  <c r="G20" i="3"/>
  <c r="K20" i="3"/>
  <c r="L20" i="3"/>
  <c r="M20" i="3" s="1"/>
  <c r="Q20" i="3" s="1"/>
  <c r="R20" i="3" s="1"/>
  <c r="C21" i="3"/>
  <c r="K21" i="3" s="1"/>
  <c r="M21" i="3" s="1"/>
  <c r="Q21" i="3" s="1"/>
  <c r="R21" i="3" s="1"/>
  <c r="L21" i="3"/>
  <c r="K22" i="3"/>
  <c r="L22" i="3"/>
  <c r="M22" i="3"/>
  <c r="Q22" i="3" s="1"/>
  <c r="R22" i="3" s="1"/>
  <c r="C33" i="3"/>
  <c r="E33" i="3"/>
  <c r="E32" i="3" s="1"/>
  <c r="F33" i="3"/>
  <c r="G33" i="3"/>
  <c r="G32" i="3" s="1"/>
  <c r="H33" i="3"/>
  <c r="I33" i="3"/>
  <c r="I32" i="3" s="1"/>
  <c r="J33" i="3"/>
  <c r="N33" i="3"/>
  <c r="N32" i="3" s="1"/>
  <c r="O33" i="3"/>
  <c r="O32" i="3" s="1"/>
  <c r="P33" i="3"/>
  <c r="P32" i="3" s="1"/>
  <c r="C34" i="3"/>
  <c r="K34" i="3"/>
  <c r="K32" i="3" s="1"/>
  <c r="L34" i="3"/>
  <c r="M34" i="3"/>
  <c r="O34" i="3"/>
  <c r="P34" i="3"/>
  <c r="C35" i="3"/>
  <c r="K35" i="3"/>
  <c r="L35" i="3"/>
  <c r="M35" i="3"/>
  <c r="C36" i="3"/>
  <c r="E36" i="3"/>
  <c r="F36" i="3"/>
  <c r="G36" i="3"/>
  <c r="H37" i="3"/>
  <c r="I37" i="3"/>
  <c r="J37" i="3" s="1"/>
  <c r="J32" i="3" s="1"/>
  <c r="H38" i="3"/>
  <c r="H32" i="3" s="1"/>
  <c r="I38" i="3"/>
  <c r="J38" i="3"/>
  <c r="C39" i="3"/>
  <c r="E39" i="3"/>
  <c r="F39" i="3"/>
  <c r="F32" i="3" s="1"/>
  <c r="G39" i="3"/>
  <c r="K39" i="3"/>
  <c r="L39" i="3"/>
  <c r="M39" i="3" s="1"/>
  <c r="C40" i="3"/>
  <c r="C42" i="3" s="1"/>
  <c r="H40" i="3"/>
  <c r="O40" i="3"/>
  <c r="P40" i="3" s="1"/>
  <c r="C41" i="3"/>
  <c r="E41" i="3" s="1"/>
  <c r="F41" i="3"/>
  <c r="K41" i="3"/>
  <c r="H42" i="3"/>
  <c r="I42" i="3"/>
  <c r="I40" i="3" s="1"/>
  <c r="H43" i="3"/>
  <c r="I43" i="3"/>
  <c r="J43" i="3" s="1"/>
  <c r="C44" i="3"/>
  <c r="E44" i="3"/>
  <c r="F44" i="3"/>
  <c r="G44" i="3"/>
  <c r="Q44" i="3" s="1"/>
  <c r="R44" i="3" s="1"/>
  <c r="H44" i="3"/>
  <c r="I44" i="3"/>
  <c r="J44" i="3"/>
  <c r="K44" i="3"/>
  <c r="L44" i="3"/>
  <c r="M44" i="3"/>
  <c r="C45" i="3"/>
  <c r="E45" i="3"/>
  <c r="F45" i="3"/>
  <c r="G45" i="3"/>
  <c r="Q45" i="3" s="1"/>
  <c r="R45" i="3" s="1"/>
  <c r="H45" i="3"/>
  <c r="I45" i="3"/>
  <c r="J45" i="3"/>
  <c r="K45" i="3"/>
  <c r="L45" i="3"/>
  <c r="M45" i="3"/>
  <c r="F46" i="3"/>
  <c r="G46" i="3"/>
  <c r="Q46" i="3" s="1"/>
  <c r="F47" i="3"/>
  <c r="G47" i="3" s="1"/>
  <c r="Q47" i="3" s="1"/>
  <c r="K47" i="3"/>
  <c r="L47" i="3"/>
  <c r="M47" i="3"/>
  <c r="K48" i="3"/>
  <c r="L48" i="3"/>
  <c r="M48" i="3"/>
  <c r="Q48" i="3" s="1"/>
  <c r="K49" i="3"/>
  <c r="L49" i="3"/>
  <c r="M49" i="3"/>
  <c r="Q49" i="3" s="1"/>
  <c r="R49" i="3" s="1"/>
  <c r="C59" i="3"/>
  <c r="E59" i="3"/>
  <c r="F59" i="3"/>
  <c r="G59" i="3"/>
  <c r="H59" i="3"/>
  <c r="I59" i="3"/>
  <c r="I58" i="3" s="1"/>
  <c r="J59" i="3"/>
  <c r="N59" i="3"/>
  <c r="N58" i="3" s="1"/>
  <c r="O59" i="3"/>
  <c r="P59" i="3"/>
  <c r="P58" i="3" s="1"/>
  <c r="K60" i="3"/>
  <c r="L60" i="3"/>
  <c r="M60" i="3" s="1"/>
  <c r="O60" i="3"/>
  <c r="P60" i="3" s="1"/>
  <c r="K61" i="3"/>
  <c r="L61" i="3"/>
  <c r="M61" i="3"/>
  <c r="E62" i="3"/>
  <c r="F62" i="3"/>
  <c r="H63" i="3"/>
  <c r="H58" i="3" s="1"/>
  <c r="I63" i="3"/>
  <c r="J63" i="3"/>
  <c r="H64" i="3"/>
  <c r="I64" i="3"/>
  <c r="J64" i="3" s="1"/>
  <c r="C65" i="3"/>
  <c r="F65" i="3" s="1"/>
  <c r="K65" i="3"/>
  <c r="C66" i="3"/>
  <c r="C68" i="3" s="1"/>
  <c r="H66" i="3"/>
  <c r="O66" i="3"/>
  <c r="P66" i="3" s="1"/>
  <c r="C67" i="3"/>
  <c r="E67" i="3" s="1"/>
  <c r="F67" i="3"/>
  <c r="K67" i="3"/>
  <c r="H68" i="3"/>
  <c r="I68" i="3"/>
  <c r="I66" i="3" s="1"/>
  <c r="H69" i="3"/>
  <c r="I69" i="3"/>
  <c r="J69" i="3" s="1"/>
  <c r="C70" i="3"/>
  <c r="E70" i="3"/>
  <c r="F70" i="3"/>
  <c r="G70" i="3"/>
  <c r="Q70" i="3" s="1"/>
  <c r="R70" i="3" s="1"/>
  <c r="H70" i="3"/>
  <c r="I70" i="3"/>
  <c r="J70" i="3"/>
  <c r="K70" i="3"/>
  <c r="L70" i="3"/>
  <c r="M70" i="3"/>
  <c r="C71" i="3"/>
  <c r="E71" i="3"/>
  <c r="F71" i="3"/>
  <c r="G71" i="3"/>
  <c r="Q71" i="3" s="1"/>
  <c r="R71" i="3" s="1"/>
  <c r="H71" i="3"/>
  <c r="I71" i="3"/>
  <c r="J71" i="3"/>
  <c r="K71" i="3"/>
  <c r="L71" i="3"/>
  <c r="M71" i="3"/>
  <c r="F72" i="3"/>
  <c r="G72" i="3"/>
  <c r="Q72" i="3" s="1"/>
  <c r="R72" i="3" s="1"/>
  <c r="F73" i="3"/>
  <c r="G73" i="3"/>
  <c r="K73" i="3"/>
  <c r="L73" i="3"/>
  <c r="M73" i="3" s="1"/>
  <c r="Q73" i="3" s="1"/>
  <c r="K74" i="3"/>
  <c r="L74" i="3"/>
  <c r="M74" i="3" s="1"/>
  <c r="Q74" i="3" s="1"/>
  <c r="K75" i="3"/>
  <c r="L75" i="3"/>
  <c r="M75" i="3" s="1"/>
  <c r="Q75" i="3" s="1"/>
  <c r="R75" i="3" s="1"/>
  <c r="H5" i="2"/>
  <c r="J5" i="2"/>
  <c r="N5" i="2"/>
  <c r="C6" i="2"/>
  <c r="E6" i="2"/>
  <c r="F6" i="2"/>
  <c r="G6" i="2"/>
  <c r="H6" i="2"/>
  <c r="I6" i="2"/>
  <c r="I5" i="2" s="1"/>
  <c r="J6" i="2"/>
  <c r="M6" i="2"/>
  <c r="N6" i="2"/>
  <c r="O6" i="2"/>
  <c r="O5" i="2" s="1"/>
  <c r="C10" i="2"/>
  <c r="J11" i="2"/>
  <c r="C12" i="2"/>
  <c r="E12" i="2" s="1"/>
  <c r="G12" i="2" s="1"/>
  <c r="F12" i="2"/>
  <c r="F5" i="2" s="1"/>
  <c r="K12" i="2"/>
  <c r="K5" i="2" s="1"/>
  <c r="C13" i="2"/>
  <c r="O13" i="2"/>
  <c r="P13" i="2"/>
  <c r="C14" i="2"/>
  <c r="D14" i="2"/>
  <c r="L14" i="2" s="1"/>
  <c r="E14" i="2"/>
  <c r="F14" i="2"/>
  <c r="K14" i="2"/>
  <c r="C15" i="2"/>
  <c r="D15" i="2"/>
  <c r="I15" i="2" s="1"/>
  <c r="E15" i="2"/>
  <c r="F15" i="2"/>
  <c r="G15" i="2" s="1"/>
  <c r="H15" i="2"/>
  <c r="L15" i="2"/>
  <c r="C16" i="2"/>
  <c r="F16" i="2" s="1"/>
  <c r="G16" i="2" s="1"/>
  <c r="D16" i="2"/>
  <c r="E16" i="2"/>
  <c r="E13" i="2" s="1"/>
  <c r="I16" i="2"/>
  <c r="K16" i="2"/>
  <c r="C17" i="2"/>
  <c r="E17" i="2"/>
  <c r="F17" i="2"/>
  <c r="G17" i="2"/>
  <c r="Q17" i="2" s="1"/>
  <c r="R17" i="2" s="1"/>
  <c r="H17" i="2"/>
  <c r="I17" i="2"/>
  <c r="J17" i="2"/>
  <c r="M17" i="2"/>
  <c r="C18" i="2"/>
  <c r="E18" i="2"/>
  <c r="F18" i="2"/>
  <c r="G18" i="2"/>
  <c r="Q18" i="2" s="1"/>
  <c r="R18" i="2" s="1"/>
  <c r="H18" i="2"/>
  <c r="I18" i="2"/>
  <c r="J18" i="2"/>
  <c r="M18" i="2"/>
  <c r="F19" i="2"/>
  <c r="G19" i="2"/>
  <c r="Q19" i="2" s="1"/>
  <c r="R19" i="2" s="1"/>
  <c r="F20" i="2"/>
  <c r="G20" i="2"/>
  <c r="K20" i="2"/>
  <c r="L20" i="2"/>
  <c r="M20" i="2" s="1"/>
  <c r="Q20" i="2" s="1"/>
  <c r="R20" i="2" s="1"/>
  <c r="C21" i="2"/>
  <c r="K21" i="2" s="1"/>
  <c r="M21" i="2" s="1"/>
  <c r="Q21" i="2" s="1"/>
  <c r="R21" i="2" s="1"/>
  <c r="L21" i="2"/>
  <c r="K22" i="2"/>
  <c r="L22" i="2"/>
  <c r="M22" i="2"/>
  <c r="Q22" i="2" s="1"/>
  <c r="R22" i="2" s="1"/>
  <c r="C33" i="2"/>
  <c r="E33" i="2"/>
  <c r="F33" i="2"/>
  <c r="G33" i="2"/>
  <c r="H33" i="2"/>
  <c r="I33" i="2"/>
  <c r="J33" i="2"/>
  <c r="N33" i="2"/>
  <c r="N32" i="2" s="1"/>
  <c r="O33" i="2"/>
  <c r="O32" i="2" s="1"/>
  <c r="P33" i="2"/>
  <c r="P32" i="2" s="1"/>
  <c r="C34" i="2"/>
  <c r="K34" i="2"/>
  <c r="L34" i="2"/>
  <c r="M34" i="2"/>
  <c r="O34" i="2"/>
  <c r="P34" i="2"/>
  <c r="C35" i="2"/>
  <c r="K35" i="2"/>
  <c r="L35" i="2"/>
  <c r="M35" i="2"/>
  <c r="C36" i="2"/>
  <c r="E36" i="2"/>
  <c r="F36" i="2"/>
  <c r="G36" i="2"/>
  <c r="H37" i="2"/>
  <c r="I37" i="2"/>
  <c r="J37" i="2" s="1"/>
  <c r="J32" i="2" s="1"/>
  <c r="H38" i="2"/>
  <c r="H32" i="2" s="1"/>
  <c r="I38" i="2"/>
  <c r="J38" i="2"/>
  <c r="C39" i="2"/>
  <c r="E39" i="2"/>
  <c r="F39" i="2"/>
  <c r="F32" i="2" s="1"/>
  <c r="G39" i="2"/>
  <c r="K39" i="2"/>
  <c r="L39" i="2"/>
  <c r="C40" i="2"/>
  <c r="C42" i="2" s="1"/>
  <c r="H40" i="2"/>
  <c r="O40" i="2"/>
  <c r="P40" i="2" s="1"/>
  <c r="C41" i="2"/>
  <c r="E41" i="2" s="1"/>
  <c r="F41" i="2"/>
  <c r="K41" i="2"/>
  <c r="H42" i="2"/>
  <c r="I42" i="2"/>
  <c r="I40" i="2" s="1"/>
  <c r="H43" i="2"/>
  <c r="I43" i="2"/>
  <c r="J43" i="2" s="1"/>
  <c r="C44" i="2"/>
  <c r="E44" i="2"/>
  <c r="F44" i="2"/>
  <c r="G44" i="2"/>
  <c r="Q44" i="2" s="1"/>
  <c r="R44" i="2" s="1"/>
  <c r="H44" i="2"/>
  <c r="I44" i="2"/>
  <c r="J44" i="2"/>
  <c r="K44" i="2"/>
  <c r="L44" i="2"/>
  <c r="M44" i="2"/>
  <c r="C45" i="2"/>
  <c r="E45" i="2"/>
  <c r="F45" i="2"/>
  <c r="G45" i="2"/>
  <c r="Q45" i="2" s="1"/>
  <c r="R45" i="2" s="1"/>
  <c r="H45" i="2"/>
  <c r="I45" i="2"/>
  <c r="J45" i="2"/>
  <c r="K45" i="2"/>
  <c r="L45" i="2"/>
  <c r="M45" i="2"/>
  <c r="F46" i="2"/>
  <c r="G46" i="2"/>
  <c r="Q46" i="2" s="1"/>
  <c r="F47" i="2"/>
  <c r="G47" i="2" s="1"/>
  <c r="Q47" i="2" s="1"/>
  <c r="K47" i="2"/>
  <c r="L47" i="2"/>
  <c r="M47" i="2"/>
  <c r="K48" i="2"/>
  <c r="L48" i="2"/>
  <c r="M48" i="2"/>
  <c r="Q48" i="2" s="1"/>
  <c r="K49" i="2"/>
  <c r="L49" i="2"/>
  <c r="M49" i="2"/>
  <c r="Q49" i="2" s="1"/>
  <c r="R49" i="2" s="1"/>
  <c r="C59" i="2"/>
  <c r="E59" i="2"/>
  <c r="F59" i="2"/>
  <c r="G59" i="2"/>
  <c r="H59" i="2"/>
  <c r="I59" i="2"/>
  <c r="I58" i="2" s="1"/>
  <c r="J59" i="2"/>
  <c r="N59" i="2"/>
  <c r="N58" i="2" s="1"/>
  <c r="O59" i="2"/>
  <c r="O58" i="2" s="1"/>
  <c r="P59" i="2"/>
  <c r="P58" i="2" s="1"/>
  <c r="K60" i="2"/>
  <c r="K58" i="2" s="1"/>
  <c r="L60" i="2"/>
  <c r="O60" i="2"/>
  <c r="P60" i="2" s="1"/>
  <c r="K61" i="2"/>
  <c r="L61" i="2"/>
  <c r="M61" i="2"/>
  <c r="E62" i="2"/>
  <c r="F62" i="2"/>
  <c r="F58" i="2" s="1"/>
  <c r="H63" i="2"/>
  <c r="H58" i="2" s="1"/>
  <c r="I63" i="2"/>
  <c r="J63" i="2"/>
  <c r="H64" i="2"/>
  <c r="I64" i="2"/>
  <c r="J64" i="2" s="1"/>
  <c r="C65" i="2"/>
  <c r="E65" i="2" s="1"/>
  <c r="G65" i="2" s="1"/>
  <c r="F65" i="2"/>
  <c r="K65" i="2"/>
  <c r="C66" i="2"/>
  <c r="O66" i="2"/>
  <c r="P66" i="2"/>
  <c r="C67" i="2"/>
  <c r="E67" i="2"/>
  <c r="F67" i="2"/>
  <c r="G67" i="2"/>
  <c r="K67" i="2"/>
  <c r="L67" i="2"/>
  <c r="L66" i="2" s="1"/>
  <c r="C68" i="2"/>
  <c r="E68" i="2" s="1"/>
  <c r="H68" i="2"/>
  <c r="H66" i="2" s="1"/>
  <c r="I68" i="2"/>
  <c r="J68" i="2"/>
  <c r="J66" i="2" s="1"/>
  <c r="L68" i="2"/>
  <c r="C69" i="2"/>
  <c r="E69" i="2" s="1"/>
  <c r="H69" i="2"/>
  <c r="I69" i="2"/>
  <c r="I66" i="2" s="1"/>
  <c r="J69" i="2"/>
  <c r="L69" i="2"/>
  <c r="C70" i="2"/>
  <c r="K70" i="2" s="1"/>
  <c r="M70" i="2" s="1"/>
  <c r="E70" i="2"/>
  <c r="F70" i="2"/>
  <c r="G70" i="2" s="1"/>
  <c r="Q70" i="2" s="1"/>
  <c r="R70" i="2" s="1"/>
  <c r="H70" i="2"/>
  <c r="I70" i="2"/>
  <c r="J70" i="2"/>
  <c r="L70" i="2"/>
  <c r="C71" i="2"/>
  <c r="E71" i="2" s="1"/>
  <c r="G71" i="2" s="1"/>
  <c r="F71" i="2"/>
  <c r="H71" i="2"/>
  <c r="J71" i="2"/>
  <c r="L71" i="2"/>
  <c r="F72" i="2"/>
  <c r="G72" i="2" s="1"/>
  <c r="Q72" i="2" s="1"/>
  <c r="R72" i="2" s="1"/>
  <c r="F73" i="2"/>
  <c r="G73" i="2" s="1"/>
  <c r="Q73" i="2" s="1"/>
  <c r="K73" i="2"/>
  <c r="L73" i="2"/>
  <c r="M73" i="2"/>
  <c r="K74" i="2"/>
  <c r="L74" i="2"/>
  <c r="M74" i="2"/>
  <c r="Q74" i="2" s="1"/>
  <c r="K75" i="2"/>
  <c r="L75" i="2"/>
  <c r="M75" i="2"/>
  <c r="Q75" i="2" s="1"/>
  <c r="R75" i="2" s="1"/>
  <c r="E6" i="1"/>
  <c r="E5" i="1" s="1"/>
  <c r="F6" i="1"/>
  <c r="F5" i="1" s="1"/>
  <c r="G6" i="1"/>
  <c r="G5" i="1" s="1"/>
  <c r="H6" i="1"/>
  <c r="H5" i="1" s="1"/>
  <c r="I6" i="1"/>
  <c r="I5" i="1" s="1"/>
  <c r="J6" i="1"/>
  <c r="J5" i="1" s="1"/>
  <c r="M6" i="1"/>
  <c r="N6" i="1"/>
  <c r="N5" i="1" s="1"/>
  <c r="O6" i="1"/>
  <c r="O5" i="1" s="1"/>
  <c r="J11" i="1"/>
  <c r="C12" i="1"/>
  <c r="E12" i="1"/>
  <c r="F12" i="1"/>
  <c r="G12" i="1"/>
  <c r="K12" i="1"/>
  <c r="K5" i="1" s="1"/>
  <c r="L12" i="1"/>
  <c r="L5" i="1" s="1"/>
  <c r="O13" i="1"/>
  <c r="P13" i="1" s="1"/>
  <c r="D14" i="1"/>
  <c r="E14" i="1"/>
  <c r="E13" i="1" s="1"/>
  <c r="F14" i="1"/>
  <c r="G14" i="1" s="1"/>
  <c r="K14" i="1"/>
  <c r="K13" i="1" s="1"/>
  <c r="L14" i="1"/>
  <c r="L13" i="1" s="1"/>
  <c r="M14" i="1"/>
  <c r="M13" i="1" s="1"/>
  <c r="D15" i="1"/>
  <c r="E15" i="1"/>
  <c r="F15" i="1" s="1"/>
  <c r="G15" i="1" s="1"/>
  <c r="H15" i="1"/>
  <c r="H13" i="1" s="1"/>
  <c r="I15" i="1"/>
  <c r="I13" i="1" s="1"/>
  <c r="K15" i="1"/>
  <c r="L15" i="1"/>
  <c r="M15" i="1"/>
  <c r="D16" i="1"/>
  <c r="E16" i="1"/>
  <c r="F16" i="1" s="1"/>
  <c r="G16" i="1" s="1"/>
  <c r="H16" i="1"/>
  <c r="I16" i="1"/>
  <c r="J16" i="1" s="1"/>
  <c r="K16" i="1"/>
  <c r="L16" i="1"/>
  <c r="M16" i="1"/>
  <c r="E17" i="1"/>
  <c r="F17" i="1"/>
  <c r="G17" i="1" s="1"/>
  <c r="Q17" i="1" s="1"/>
  <c r="R17" i="1" s="1"/>
  <c r="H17" i="1"/>
  <c r="I17" i="1"/>
  <c r="J17" i="1"/>
  <c r="M17" i="1"/>
  <c r="E18" i="1"/>
  <c r="F18" i="1"/>
  <c r="G18" i="1"/>
  <c r="Q18" i="1" s="1"/>
  <c r="R18" i="1" s="1"/>
  <c r="H18" i="1"/>
  <c r="I18" i="1"/>
  <c r="J18" i="1"/>
  <c r="M18" i="1"/>
  <c r="F19" i="1"/>
  <c r="G19" i="1"/>
  <c r="Q19" i="1" s="1"/>
  <c r="R19" i="1" s="1"/>
  <c r="F20" i="1"/>
  <c r="G20" i="1"/>
  <c r="K20" i="1"/>
  <c r="L20" i="1"/>
  <c r="M20" i="1" s="1"/>
  <c r="Q20" i="1" s="1"/>
  <c r="R20" i="1" s="1"/>
  <c r="C21" i="1"/>
  <c r="K21" i="1" s="1"/>
  <c r="M21" i="1" s="1"/>
  <c r="Q21" i="1" s="1"/>
  <c r="R21" i="1" s="1"/>
  <c r="L21" i="1"/>
  <c r="K22" i="1"/>
  <c r="L22" i="1"/>
  <c r="M22" i="1"/>
  <c r="Q22" i="1" s="1"/>
  <c r="R22" i="1" s="1"/>
  <c r="E33" i="1"/>
  <c r="E32" i="1" s="1"/>
  <c r="F33" i="1"/>
  <c r="G33" i="1" s="1"/>
  <c r="G32" i="1" s="1"/>
  <c r="H33" i="1"/>
  <c r="H32" i="1" s="1"/>
  <c r="I33" i="1"/>
  <c r="I32" i="1" s="1"/>
  <c r="J33" i="1"/>
  <c r="N33" i="1"/>
  <c r="N32" i="1" s="1"/>
  <c r="O33" i="1"/>
  <c r="O32" i="1" s="1"/>
  <c r="K34" i="1"/>
  <c r="K32" i="1" s="1"/>
  <c r="L34" i="1"/>
  <c r="L32" i="1" s="1"/>
  <c r="M34" i="1"/>
  <c r="O34" i="1"/>
  <c r="P34" i="1"/>
  <c r="K35" i="1"/>
  <c r="L35" i="1"/>
  <c r="M35" i="1" s="1"/>
  <c r="E36" i="1"/>
  <c r="F36" i="1"/>
  <c r="G36" i="1"/>
  <c r="H37" i="1"/>
  <c r="I37" i="1"/>
  <c r="J37" i="1" s="1"/>
  <c r="H38" i="1"/>
  <c r="I38" i="1"/>
  <c r="J38" i="1"/>
  <c r="C39" i="1"/>
  <c r="E39" i="1"/>
  <c r="F39" i="1"/>
  <c r="G39" i="1"/>
  <c r="K39" i="1"/>
  <c r="L39" i="1"/>
  <c r="M39" i="1" s="1"/>
  <c r="C40" i="1"/>
  <c r="O40" i="1"/>
  <c r="P40" i="1" s="1"/>
  <c r="E41" i="1"/>
  <c r="E40" i="1" s="1"/>
  <c r="F41" i="1"/>
  <c r="G41" i="1"/>
  <c r="K41" i="1"/>
  <c r="K40" i="1" s="1"/>
  <c r="L41" i="1"/>
  <c r="M41" i="1" s="1"/>
  <c r="E42" i="1"/>
  <c r="F42" i="1" s="1"/>
  <c r="G42" i="1" s="1"/>
  <c r="H42" i="1"/>
  <c r="H40" i="1" s="1"/>
  <c r="I42" i="1"/>
  <c r="I40" i="1" s="1"/>
  <c r="K42" i="1"/>
  <c r="L42" i="1"/>
  <c r="M42" i="1"/>
  <c r="E43" i="1"/>
  <c r="F43" i="1"/>
  <c r="G43" i="1" s="1"/>
  <c r="H43" i="1"/>
  <c r="I43" i="1"/>
  <c r="J43" i="1"/>
  <c r="K43" i="1"/>
  <c r="L43" i="1"/>
  <c r="M43" i="1" s="1"/>
  <c r="E44" i="1"/>
  <c r="F44" i="1"/>
  <c r="G44" i="1"/>
  <c r="H44" i="1"/>
  <c r="I44" i="1"/>
  <c r="J44" i="1"/>
  <c r="K44" i="1"/>
  <c r="L44" i="1"/>
  <c r="M44" i="1"/>
  <c r="Q44" i="1" s="1"/>
  <c r="R44" i="1" s="1"/>
  <c r="E45" i="1"/>
  <c r="F45" i="1"/>
  <c r="G45" i="1" s="1"/>
  <c r="H45" i="1"/>
  <c r="I45" i="1"/>
  <c r="J45" i="1"/>
  <c r="K45" i="1"/>
  <c r="L45" i="1"/>
  <c r="M45" i="1" s="1"/>
  <c r="F46" i="1"/>
  <c r="G46" i="1" s="1"/>
  <c r="Q46" i="1" s="1"/>
  <c r="F47" i="1"/>
  <c r="G47" i="1"/>
  <c r="K47" i="1"/>
  <c r="L47" i="1"/>
  <c r="M47" i="1" s="1"/>
  <c r="Q47" i="1" s="1"/>
  <c r="K48" i="1"/>
  <c r="L48" i="1"/>
  <c r="M48" i="1" s="1"/>
  <c r="Q48" i="1" s="1"/>
  <c r="K49" i="1"/>
  <c r="L49" i="1"/>
  <c r="M49" i="1" s="1"/>
  <c r="Q49" i="1" s="1"/>
  <c r="R49" i="1" s="1"/>
  <c r="E59" i="1"/>
  <c r="E58" i="1" s="1"/>
  <c r="F59" i="1"/>
  <c r="F58" i="1" s="1"/>
  <c r="G59" i="1"/>
  <c r="H59" i="1"/>
  <c r="H58" i="1" s="1"/>
  <c r="I59" i="1"/>
  <c r="I58" i="1" s="1"/>
  <c r="J59" i="1"/>
  <c r="N59" i="1"/>
  <c r="N58" i="1" s="1"/>
  <c r="O59" i="1"/>
  <c r="O58" i="1" s="1"/>
  <c r="P59" i="1"/>
  <c r="K60" i="1"/>
  <c r="K58" i="1" s="1"/>
  <c r="L60" i="1"/>
  <c r="L58" i="1" s="1"/>
  <c r="O60" i="1"/>
  <c r="P60" i="1" s="1"/>
  <c r="K61" i="1"/>
  <c r="L61" i="1"/>
  <c r="M61" i="1"/>
  <c r="E62" i="1"/>
  <c r="F62" i="1"/>
  <c r="G62" i="1" s="1"/>
  <c r="H63" i="1"/>
  <c r="I63" i="1"/>
  <c r="J63" i="1"/>
  <c r="H64" i="1"/>
  <c r="I64" i="1"/>
  <c r="J64" i="1" s="1"/>
  <c r="E65" i="1"/>
  <c r="F65" i="1"/>
  <c r="G65" i="1"/>
  <c r="K65" i="1"/>
  <c r="L65" i="1"/>
  <c r="M65" i="1" s="1"/>
  <c r="O66" i="1"/>
  <c r="P66" i="1"/>
  <c r="E67" i="1"/>
  <c r="E66" i="1" s="1"/>
  <c r="F67" i="1"/>
  <c r="K67" i="1"/>
  <c r="K66" i="1" s="1"/>
  <c r="L67" i="1"/>
  <c r="L66" i="1" s="1"/>
  <c r="M67" i="1"/>
  <c r="M66" i="1" s="1"/>
  <c r="E68" i="1"/>
  <c r="F68" i="1"/>
  <c r="G68" i="1" s="1"/>
  <c r="H68" i="1"/>
  <c r="H66" i="1" s="1"/>
  <c r="I68" i="1"/>
  <c r="I66" i="1" s="1"/>
  <c r="J68" i="1"/>
  <c r="K68" i="1"/>
  <c r="L68" i="1"/>
  <c r="M68" i="1" s="1"/>
  <c r="E69" i="1"/>
  <c r="F69" i="1" s="1"/>
  <c r="G69" i="1" s="1"/>
  <c r="H69" i="1"/>
  <c r="I69" i="1"/>
  <c r="J69" i="1" s="1"/>
  <c r="K69" i="1"/>
  <c r="L69" i="1"/>
  <c r="M69" i="1"/>
  <c r="E70" i="1"/>
  <c r="F70" i="1"/>
  <c r="G70" i="1" s="1"/>
  <c r="H70" i="1"/>
  <c r="I70" i="1"/>
  <c r="J70" i="1"/>
  <c r="K70" i="1"/>
  <c r="L70" i="1"/>
  <c r="M70" i="1" s="1"/>
  <c r="E71" i="1"/>
  <c r="F71" i="1"/>
  <c r="G71" i="1"/>
  <c r="Q71" i="1" s="1"/>
  <c r="R71" i="1" s="1"/>
  <c r="H71" i="1"/>
  <c r="I71" i="1"/>
  <c r="J71" i="1"/>
  <c r="K71" i="1"/>
  <c r="L71" i="1"/>
  <c r="M71" i="1"/>
  <c r="F72" i="1"/>
  <c r="G72" i="1"/>
  <c r="Q72" i="1" s="1"/>
  <c r="R72" i="1" s="1"/>
  <c r="F73" i="1"/>
  <c r="G73" i="1"/>
  <c r="K73" i="1"/>
  <c r="L73" i="1"/>
  <c r="M73" i="1" s="1"/>
  <c r="Q73" i="1" s="1"/>
  <c r="K74" i="1"/>
  <c r="L74" i="1"/>
  <c r="M74" i="1" s="1"/>
  <c r="Q74" i="1" s="1"/>
  <c r="K75" i="1"/>
  <c r="L75" i="1"/>
  <c r="M75" i="1" s="1"/>
  <c r="Q75" i="1" s="1"/>
  <c r="R75" i="1" s="1"/>
  <c r="Q70" i="1" l="1"/>
  <c r="R70" i="1" s="1"/>
  <c r="J66" i="1"/>
  <c r="F66" i="1"/>
  <c r="P58" i="1"/>
  <c r="G58" i="1"/>
  <c r="F40" i="1"/>
  <c r="M32" i="1"/>
  <c r="F69" i="2"/>
  <c r="G69" i="2"/>
  <c r="E66" i="2"/>
  <c r="J58" i="2"/>
  <c r="E42" i="2"/>
  <c r="K42" i="2"/>
  <c r="F42" i="2"/>
  <c r="L42" i="2"/>
  <c r="J58" i="1"/>
  <c r="Q45" i="1"/>
  <c r="R45" i="1" s="1"/>
  <c r="M40" i="1"/>
  <c r="G40" i="1"/>
  <c r="J32" i="1"/>
  <c r="Q32" i="1" s="1"/>
  <c r="G13" i="1"/>
  <c r="F68" i="2"/>
  <c r="G68" i="2"/>
  <c r="G66" i="2" s="1"/>
  <c r="F66" i="2"/>
  <c r="E58" i="2"/>
  <c r="G41" i="2"/>
  <c r="L40" i="1"/>
  <c r="F32" i="1"/>
  <c r="F13" i="1"/>
  <c r="M12" i="1"/>
  <c r="M5" i="1" s="1"/>
  <c r="Q5" i="1" s="1"/>
  <c r="P6" i="1"/>
  <c r="P5" i="1" s="1"/>
  <c r="K71" i="2"/>
  <c r="M71" i="2" s="1"/>
  <c r="Q71" i="2" s="1"/>
  <c r="R71" i="2" s="1"/>
  <c r="I71" i="2"/>
  <c r="K69" i="2"/>
  <c r="M69" i="2" s="1"/>
  <c r="K68" i="2"/>
  <c r="M67" i="2"/>
  <c r="L65" i="2"/>
  <c r="M65" i="2" s="1"/>
  <c r="G62" i="2"/>
  <c r="G58" i="2" s="1"/>
  <c r="Q58" i="2" s="1"/>
  <c r="M60" i="2"/>
  <c r="M58" i="2" s="1"/>
  <c r="C43" i="2"/>
  <c r="J42" i="2"/>
  <c r="J40" i="2" s="1"/>
  <c r="L41" i="2"/>
  <c r="L32" i="2"/>
  <c r="M39" i="2"/>
  <c r="I13" i="2"/>
  <c r="J15" i="2"/>
  <c r="G67" i="3"/>
  <c r="G67" i="1"/>
  <c r="G66" i="1" s="1"/>
  <c r="Q66" i="1" s="1"/>
  <c r="R66" i="1" s="1"/>
  <c r="M60" i="1"/>
  <c r="M58" i="1" s="1"/>
  <c r="J42" i="1"/>
  <c r="J40" i="1" s="1"/>
  <c r="P33" i="1"/>
  <c r="P32" i="1" s="1"/>
  <c r="J15" i="1"/>
  <c r="J13" i="1" s="1"/>
  <c r="M32" i="2"/>
  <c r="K32" i="2"/>
  <c r="I32" i="2"/>
  <c r="G32" i="2"/>
  <c r="E32" i="2"/>
  <c r="F13" i="2"/>
  <c r="M14" i="2"/>
  <c r="G5" i="2"/>
  <c r="E5" i="2"/>
  <c r="E68" i="3"/>
  <c r="K68" i="3"/>
  <c r="F68" i="3"/>
  <c r="L68" i="3"/>
  <c r="L16" i="2"/>
  <c r="M16" i="2" s="1"/>
  <c r="H16" i="2"/>
  <c r="J16" i="2" s="1"/>
  <c r="K15" i="2"/>
  <c r="M15" i="2" s="1"/>
  <c r="G14" i="2"/>
  <c r="G13" i="2" s="1"/>
  <c r="L12" i="2"/>
  <c r="P6" i="2"/>
  <c r="P5" i="2" s="1"/>
  <c r="C69" i="3"/>
  <c r="J68" i="3"/>
  <c r="J66" i="3" s="1"/>
  <c r="L67" i="3"/>
  <c r="J58" i="3"/>
  <c r="K58" i="3"/>
  <c r="O58" i="3"/>
  <c r="L42" i="3"/>
  <c r="E42" i="3"/>
  <c r="K42" i="3"/>
  <c r="M42" i="3" s="1"/>
  <c r="M32" i="3"/>
  <c r="Q32" i="3"/>
  <c r="I13" i="3"/>
  <c r="J15" i="3"/>
  <c r="E65" i="3"/>
  <c r="G65" i="3" s="1"/>
  <c r="L65" i="3"/>
  <c r="M65" i="3" s="1"/>
  <c r="M58" i="3" s="1"/>
  <c r="G62" i="3"/>
  <c r="G58" i="3" s="1"/>
  <c r="F58" i="3"/>
  <c r="E58" i="3"/>
  <c r="G41" i="3"/>
  <c r="F13" i="3"/>
  <c r="M14" i="3"/>
  <c r="L32" i="3"/>
  <c r="C43" i="3"/>
  <c r="J42" i="3"/>
  <c r="J40" i="3" s="1"/>
  <c r="L41" i="3"/>
  <c r="L16" i="3"/>
  <c r="M16" i="3" s="1"/>
  <c r="H16" i="3"/>
  <c r="J16" i="3" s="1"/>
  <c r="K15" i="3"/>
  <c r="M15" i="3" s="1"/>
  <c r="G14" i="3"/>
  <c r="G13" i="3" s="1"/>
  <c r="L12" i="3"/>
  <c r="P6" i="3"/>
  <c r="P5" i="3" s="1"/>
  <c r="F66" i="3" l="1"/>
  <c r="R58" i="2"/>
  <c r="R5" i="1"/>
  <c r="R32" i="1"/>
  <c r="Q58" i="3"/>
  <c r="M41" i="3"/>
  <c r="L43" i="3"/>
  <c r="L40" i="3" s="1"/>
  <c r="E43" i="3"/>
  <c r="K43" i="3"/>
  <c r="M13" i="3"/>
  <c r="K13" i="3"/>
  <c r="G42" i="3"/>
  <c r="F42" i="3"/>
  <c r="L58" i="3"/>
  <c r="M67" i="3"/>
  <c r="E69" i="3"/>
  <c r="K69" i="3"/>
  <c r="F69" i="3"/>
  <c r="L69" i="3"/>
  <c r="L66" i="3" s="1"/>
  <c r="L5" i="2"/>
  <c r="M12" i="2"/>
  <c r="M5" i="2" s="1"/>
  <c r="Q5" i="2" s="1"/>
  <c r="G68" i="3"/>
  <c r="M13" i="2"/>
  <c r="H13" i="2"/>
  <c r="Q32" i="2"/>
  <c r="J13" i="2"/>
  <c r="Q13" i="2" s="1"/>
  <c r="R13" i="2" s="1"/>
  <c r="M41" i="2"/>
  <c r="E43" i="2"/>
  <c r="K43" i="2"/>
  <c r="F43" i="2"/>
  <c r="F40" i="2" s="1"/>
  <c r="L43" i="2"/>
  <c r="L40" i="2" s="1"/>
  <c r="G42" i="2"/>
  <c r="L5" i="3"/>
  <c r="M12" i="3"/>
  <c r="M5" i="3" s="1"/>
  <c r="Q5" i="3" s="1"/>
  <c r="L13" i="3"/>
  <c r="H13" i="3"/>
  <c r="J13" i="3"/>
  <c r="Q13" i="3" s="1"/>
  <c r="R13" i="3" s="1"/>
  <c r="R32" i="3"/>
  <c r="M68" i="3"/>
  <c r="L13" i="2"/>
  <c r="E66" i="3"/>
  <c r="K13" i="2"/>
  <c r="K66" i="2"/>
  <c r="M68" i="2"/>
  <c r="M66" i="2" s="1"/>
  <c r="Q66" i="2" s="1"/>
  <c r="L58" i="2"/>
  <c r="Q13" i="1"/>
  <c r="R13" i="1" s="1"/>
  <c r="Q40" i="1"/>
  <c r="R40" i="1" s="1"/>
  <c r="M42" i="2"/>
  <c r="Q58" i="1"/>
  <c r="R5" i="2" l="1"/>
  <c r="Q23" i="2"/>
  <c r="R66" i="2"/>
  <c r="Q76" i="2"/>
  <c r="R58" i="1"/>
  <c r="Q76" i="1"/>
  <c r="Q23" i="3"/>
  <c r="R5" i="3"/>
  <c r="G43" i="2"/>
  <c r="G40" i="2" s="1"/>
  <c r="E40" i="2"/>
  <c r="G69" i="3"/>
  <c r="G66" i="3" s="1"/>
  <c r="F40" i="3"/>
  <c r="E40" i="3"/>
  <c r="F43" i="3"/>
  <c r="G43" i="3" s="1"/>
  <c r="G40" i="3" s="1"/>
  <c r="Q40" i="3" s="1"/>
  <c r="R58" i="3"/>
  <c r="Q23" i="1"/>
  <c r="M43" i="2"/>
  <c r="K40" i="2"/>
  <c r="M40" i="2"/>
  <c r="R32" i="2"/>
  <c r="M69" i="3"/>
  <c r="M66" i="3" s="1"/>
  <c r="M43" i="3"/>
  <c r="K40" i="3"/>
  <c r="M40" i="3"/>
  <c r="K66" i="3"/>
  <c r="Q50" i="1"/>
  <c r="R50" i="1" s="1"/>
  <c r="R40" i="3" l="1"/>
  <c r="Q50" i="3"/>
  <c r="R50" i="3" s="1"/>
  <c r="Q66" i="3"/>
  <c r="Q40" i="2"/>
  <c r="R23" i="3"/>
  <c r="R76" i="2"/>
  <c r="R23" i="2"/>
  <c r="R23" i="1"/>
  <c r="Q80" i="1"/>
  <c r="R76" i="1"/>
  <c r="R78" i="1" s="1"/>
  <c r="Q78" i="1"/>
  <c r="R80" i="1" l="1"/>
  <c r="R85" i="1" s="1"/>
  <c r="R66" i="3"/>
  <c r="Q76" i="3"/>
  <c r="R40" i="2"/>
  <c r="Q50" i="2"/>
  <c r="R50" i="2" l="1"/>
  <c r="Q78" i="2"/>
  <c r="Q80" i="2"/>
  <c r="Q78" i="3"/>
  <c r="R76" i="3"/>
  <c r="Q80" i="3"/>
  <c r="R78" i="3" l="1"/>
  <c r="R80" i="3"/>
  <c r="R85" i="3" s="1"/>
  <c r="R78" i="2"/>
  <c r="R80" i="2"/>
  <c r="R85" i="2" s="1"/>
</calcChain>
</file>

<file path=xl/comments1.xml><?xml version="1.0" encoding="utf-8"?>
<comments xmlns="http://schemas.openxmlformats.org/spreadsheetml/2006/main">
  <authors>
    <author>kevin murphy</author>
    <author>Truvo</author>
    <author>Duwijn, Stefan</author>
  </authors>
  <commentList>
    <comment ref="N3"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C5" authorId="1">
      <text>
        <r>
          <rPr>
            <b/>
            <sz val="11"/>
            <color indexed="81"/>
            <rFont val="Tahoma"/>
            <family val="2"/>
          </rPr>
          <t>Trevor:</t>
        </r>
        <r>
          <rPr>
            <sz val="11"/>
            <color indexed="81"/>
            <rFont val="Tahoma"/>
            <family val="2"/>
          </rPr>
          <t xml:space="preserve">
= incremental workload on MS
</t>
        </r>
      </text>
    </comment>
    <comment ref="H11" authorId="2">
      <text>
        <r>
          <rPr>
            <b/>
            <sz val="9"/>
            <color indexed="81"/>
            <rFont val="Tahoma"/>
            <family val="2"/>
          </rPr>
          <t>Duwijn, Stefan:</t>
        </r>
        <r>
          <rPr>
            <sz val="9"/>
            <color indexed="81"/>
            <rFont val="Tahoma"/>
            <family val="2"/>
          </rPr>
          <t xml:space="preserve">
valt weg als dit gebeurt door sales</t>
        </r>
      </text>
    </comment>
    <comment ref="E12" authorId="2">
      <text>
        <r>
          <rPr>
            <b/>
            <sz val="9"/>
            <color indexed="81"/>
            <rFont val="Tahoma"/>
            <family val="2"/>
          </rPr>
          <t>Duwijn, Stefan:</t>
        </r>
        <r>
          <rPr>
            <sz val="9"/>
            <color indexed="81"/>
            <rFont val="Tahoma"/>
            <family val="2"/>
          </rPr>
          <t xml:space="preserve">
= DB maintenance for name and heading changes</t>
        </r>
      </text>
    </comment>
    <comment ref="K12" authorId="2">
      <text>
        <r>
          <rPr>
            <b/>
            <sz val="9"/>
            <color indexed="81"/>
            <rFont val="Tahoma"/>
            <family val="2"/>
          </rPr>
          <t>Duwijn, Stefan:</t>
        </r>
        <r>
          <rPr>
            <sz val="9"/>
            <color indexed="81"/>
            <rFont val="Tahoma"/>
            <family val="2"/>
          </rPr>
          <t xml:space="preserve">
helpdesk calls by basic page users</t>
        </r>
      </text>
    </comment>
    <comment ref="C13" authorId="1">
      <text>
        <r>
          <rPr>
            <b/>
            <sz val="8"/>
            <color indexed="81"/>
            <rFont val="Tahoma"/>
            <family val="2"/>
          </rPr>
          <t>Trevor:</t>
        </r>
        <r>
          <rPr>
            <sz val="8"/>
            <color indexed="81"/>
            <rFont val="Tahoma"/>
            <family val="2"/>
          </rPr>
          <t xml:space="preserve">
multiple campaigns per customer</t>
        </r>
      </text>
    </comment>
    <comment ref="G13" authorId="1">
      <text>
        <r>
          <rPr>
            <b/>
            <sz val="8"/>
            <color indexed="81"/>
            <rFont val="Tahoma"/>
            <family val="2"/>
          </rPr>
          <t>Trevor:</t>
        </r>
        <r>
          <rPr>
            <sz val="8"/>
            <color indexed="81"/>
            <rFont val="Tahoma"/>
            <family val="2"/>
          </rPr>
          <t xml:space="preserve">
= average of (non IT + IT)</t>
        </r>
      </text>
    </comment>
    <comment ref="N13" authorId="2">
      <text>
        <r>
          <rPr>
            <b/>
            <sz val="9"/>
            <color indexed="81"/>
            <rFont val="Tahoma"/>
            <family val="2"/>
          </rPr>
          <t>Duwijn, Stefan:</t>
        </r>
        <r>
          <rPr>
            <sz val="9"/>
            <color indexed="81"/>
            <rFont val="Tahoma"/>
            <family val="2"/>
          </rPr>
          <t xml:space="preserve">
automated emailing/messaging to customer</t>
        </r>
      </text>
    </comment>
    <comment ref="E14" authorId="1">
      <text>
        <r>
          <rPr>
            <b/>
            <sz val="8"/>
            <color indexed="81"/>
            <rFont val="Tahoma"/>
            <family val="2"/>
          </rPr>
          <t>Trevor:</t>
        </r>
        <r>
          <rPr>
            <sz val="8"/>
            <color indexed="81"/>
            <rFont val="Tahoma"/>
            <family val="2"/>
          </rPr>
          <t xml:space="preserve">
15 min copywriting first time during OF</t>
        </r>
      </text>
    </comment>
    <comment ref="F14" authorId="1">
      <text>
        <r>
          <rPr>
            <b/>
            <sz val="8"/>
            <color indexed="81"/>
            <rFont val="Tahoma"/>
            <family val="2"/>
          </rPr>
          <t>Trevor:</t>
        </r>
        <r>
          <rPr>
            <sz val="8"/>
            <color indexed="81"/>
            <rFont val="Tahoma"/>
            <family val="2"/>
          </rPr>
          <t xml:space="preserve">
+15 min OF  per campaign</t>
        </r>
      </text>
    </comment>
    <comment ref="K14" authorId="2">
      <text>
        <r>
          <rPr>
            <b/>
            <sz val="9"/>
            <color indexed="81"/>
            <rFont val="Tahoma"/>
            <family val="2"/>
          </rPr>
          <t>Duwijn, Stefan:</t>
        </r>
        <r>
          <rPr>
            <sz val="9"/>
            <color indexed="81"/>
            <rFont val="Tahoma"/>
            <family val="2"/>
          </rPr>
          <t xml:space="preserve">
15 mins is calling customer</t>
        </r>
      </text>
    </comment>
    <comment ref="E15" authorId="1">
      <text>
        <r>
          <rPr>
            <b/>
            <sz val="8"/>
            <color indexed="81"/>
            <rFont val="Tahoma"/>
            <family val="2"/>
          </rPr>
          <t>Trevor:</t>
        </r>
        <r>
          <rPr>
            <sz val="8"/>
            <color indexed="81"/>
            <rFont val="Tahoma"/>
            <family val="2"/>
          </rPr>
          <t xml:space="preserve">
copywriting 2 hours per customer</t>
        </r>
      </text>
    </comment>
    <comment ref="F15" authorId="1">
      <text>
        <r>
          <rPr>
            <b/>
            <sz val="8"/>
            <color indexed="81"/>
            <rFont val="Tahoma"/>
            <family val="2"/>
          </rPr>
          <t>Trevor:</t>
        </r>
        <r>
          <rPr>
            <sz val="8"/>
            <color indexed="81"/>
            <rFont val="Tahoma"/>
            <family val="2"/>
          </rPr>
          <t xml:space="preserve">
15 mins per campaign OF</t>
        </r>
      </text>
    </comment>
    <comment ref="H15" authorId="1">
      <text>
        <r>
          <rPr>
            <b/>
            <sz val="8"/>
            <color indexed="81"/>
            <rFont val="Tahoma"/>
            <family val="2"/>
          </rPr>
          <t>Trevor:</t>
        </r>
        <r>
          <rPr>
            <sz val="8"/>
            <color indexed="81"/>
            <rFont val="Tahoma"/>
            <family val="2"/>
          </rPr>
          <t xml:space="preserve">
60 mins per campaign or per customer?</t>
        </r>
      </text>
    </comment>
    <comment ref="K15" authorId="2">
      <text>
        <r>
          <rPr>
            <b/>
            <sz val="9"/>
            <color indexed="81"/>
            <rFont val="Tahoma"/>
            <family val="2"/>
          </rPr>
          <t>Duwijn, Stefan:</t>
        </r>
        <r>
          <rPr>
            <sz val="9"/>
            <color indexed="81"/>
            <rFont val="Tahoma"/>
            <family val="2"/>
          </rPr>
          <t xml:space="preserve">
copywriting reduced to 60</t>
        </r>
      </text>
    </comment>
    <comment ref="E16" authorId="1">
      <text>
        <r>
          <rPr>
            <b/>
            <sz val="8"/>
            <color indexed="81"/>
            <rFont val="Tahoma"/>
            <family val="2"/>
          </rPr>
          <t>Trevor:</t>
        </r>
        <r>
          <rPr>
            <sz val="8"/>
            <color indexed="81"/>
            <rFont val="Tahoma"/>
            <family val="2"/>
          </rPr>
          <t xml:space="preserve">
copywriting 2 hours per customer + 30 mins video</t>
        </r>
      </text>
    </comment>
    <comment ref="F16" authorId="1">
      <text>
        <r>
          <rPr>
            <b/>
            <sz val="8"/>
            <color indexed="81"/>
            <rFont val="Tahoma"/>
            <family val="2"/>
          </rPr>
          <t>Trevor:</t>
        </r>
        <r>
          <rPr>
            <sz val="8"/>
            <color indexed="81"/>
            <rFont val="Tahoma"/>
            <family val="2"/>
          </rPr>
          <t xml:space="preserve">
20 mins per campaign OF
(production card, video)</t>
        </r>
      </text>
    </comment>
    <comment ref="H16" authorId="1">
      <text>
        <r>
          <rPr>
            <b/>
            <sz val="8"/>
            <color indexed="81"/>
            <rFont val="Tahoma"/>
            <family val="2"/>
          </rPr>
          <t>Trevor:</t>
        </r>
        <r>
          <rPr>
            <sz val="8"/>
            <color indexed="81"/>
            <rFont val="Tahoma"/>
            <family val="2"/>
          </rPr>
          <t xml:space="preserve">
90 mins per campaign or per customer?</t>
        </r>
      </text>
    </comment>
    <comment ref="I16" authorId="1">
      <text>
        <r>
          <rPr>
            <b/>
            <sz val="8"/>
            <color indexed="81"/>
            <rFont val="Tahoma"/>
            <family val="2"/>
          </rPr>
          <t>Trevor:</t>
        </r>
        <r>
          <rPr>
            <sz val="8"/>
            <color indexed="81"/>
            <rFont val="Tahoma"/>
            <family val="2"/>
          </rPr>
          <t xml:space="preserve">
90 mins per campaign or per customer?</t>
        </r>
      </text>
    </comment>
    <comment ref="F17"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17" authorId="1">
      <text>
        <r>
          <rPr>
            <b/>
            <sz val="8"/>
            <color indexed="81"/>
            <rFont val="Tahoma"/>
            <family val="2"/>
          </rPr>
          <t>Trevor:</t>
        </r>
        <r>
          <rPr>
            <sz val="8"/>
            <color indexed="81"/>
            <rFont val="Tahoma"/>
            <family val="2"/>
          </rPr>
          <t xml:space="preserve">
60 mins per banner using banner production tool</t>
        </r>
      </text>
    </comment>
    <comment ref="I17" authorId="2">
      <text>
        <r>
          <rPr>
            <b/>
            <sz val="9"/>
            <color indexed="81"/>
            <rFont val="Tahoma"/>
            <family val="2"/>
          </rPr>
          <t>Duwijn, Stefan:</t>
        </r>
        <r>
          <rPr>
            <sz val="9"/>
            <color indexed="81"/>
            <rFont val="Tahoma"/>
            <family val="2"/>
          </rPr>
          <t xml:space="preserve">
6 variations</t>
        </r>
      </text>
    </comment>
    <comment ref="K17" authorId="2">
      <text>
        <r>
          <rPr>
            <b/>
            <sz val="9"/>
            <color indexed="81"/>
            <rFont val="Tahoma"/>
            <family val="2"/>
          </rPr>
          <t>Duwijn, Stefan:</t>
        </r>
        <r>
          <rPr>
            <sz val="9"/>
            <color indexed="81"/>
            <rFont val="Tahoma"/>
            <family val="2"/>
          </rPr>
          <t xml:space="preserve">
10 mins for copy to follow</t>
        </r>
      </text>
    </comment>
    <comment ref="N30"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33" authorId="2">
      <text>
        <r>
          <rPr>
            <b/>
            <sz val="9"/>
            <color indexed="81"/>
            <rFont val="Tahoma"/>
            <family val="2"/>
          </rPr>
          <t>Duwijn, Stefan:</t>
        </r>
        <r>
          <rPr>
            <sz val="9"/>
            <color indexed="81"/>
            <rFont val="Tahoma"/>
            <family val="2"/>
          </rPr>
          <t xml:space="preserve">
MS fulfilment done in graphics under a new team</t>
        </r>
      </text>
    </comment>
    <comment ref="K35" authorId="2">
      <text>
        <r>
          <rPr>
            <b/>
            <sz val="9"/>
            <color indexed="81"/>
            <rFont val="Tahoma"/>
            <family val="2"/>
          </rPr>
          <t>Duwijn, Stefan:</t>
        </r>
        <r>
          <rPr>
            <sz val="9"/>
            <color indexed="81"/>
            <rFont val="Tahoma"/>
            <family val="2"/>
          </rPr>
          <t xml:space="preserve">
audit call after 6 months</t>
        </r>
      </text>
    </comment>
    <comment ref="C40" authorId="1">
      <text>
        <r>
          <rPr>
            <b/>
            <sz val="8"/>
            <color indexed="81"/>
            <rFont val="Tahoma"/>
            <family val="2"/>
          </rPr>
          <t>Trevor:</t>
        </r>
        <r>
          <rPr>
            <sz val="8"/>
            <color indexed="81"/>
            <rFont val="Tahoma"/>
            <family val="2"/>
          </rPr>
          <t xml:space="preserve">
multiple campaigns per customer</t>
        </r>
      </text>
    </comment>
    <comment ref="G40" authorId="1">
      <text>
        <r>
          <rPr>
            <b/>
            <sz val="8"/>
            <color indexed="81"/>
            <rFont val="Tahoma"/>
            <family val="2"/>
          </rPr>
          <t>Trevor:</t>
        </r>
        <r>
          <rPr>
            <sz val="8"/>
            <color indexed="81"/>
            <rFont val="Tahoma"/>
            <family val="2"/>
          </rPr>
          <t xml:space="preserve">
= average of (non IT + IT)</t>
        </r>
      </text>
    </comment>
    <comment ref="N40" authorId="2">
      <text>
        <r>
          <rPr>
            <b/>
            <sz val="9"/>
            <color indexed="81"/>
            <rFont val="Tahoma"/>
            <family val="2"/>
          </rPr>
          <t>Duwijn, Stefan:</t>
        </r>
        <r>
          <rPr>
            <sz val="9"/>
            <color indexed="81"/>
            <rFont val="Tahoma"/>
            <family val="2"/>
          </rPr>
          <t xml:space="preserve">
automated emailing/messaging to customer</t>
        </r>
      </text>
    </comment>
    <comment ref="E41" authorId="1">
      <text>
        <r>
          <rPr>
            <b/>
            <sz val="8"/>
            <color indexed="81"/>
            <rFont val="Tahoma"/>
            <family val="2"/>
          </rPr>
          <t>Trevor:</t>
        </r>
        <r>
          <rPr>
            <sz val="8"/>
            <color indexed="81"/>
            <rFont val="Tahoma"/>
            <family val="2"/>
          </rPr>
          <t xml:space="preserve">
15 min copywriting</t>
        </r>
      </text>
    </comment>
    <comment ref="F41" authorId="1">
      <text>
        <r>
          <rPr>
            <b/>
            <sz val="8"/>
            <color indexed="81"/>
            <rFont val="Tahoma"/>
            <family val="2"/>
          </rPr>
          <t>Trevor:</t>
        </r>
        <r>
          <rPr>
            <sz val="8"/>
            <color indexed="81"/>
            <rFont val="Tahoma"/>
            <family val="2"/>
          </rPr>
          <t xml:space="preserve">
+15 min OF  per campaign</t>
        </r>
      </text>
    </comment>
    <comment ref="K41" authorId="2">
      <text>
        <r>
          <rPr>
            <b/>
            <sz val="9"/>
            <color indexed="81"/>
            <rFont val="Tahoma"/>
            <family val="2"/>
          </rPr>
          <t>Duwijn, Stefan:</t>
        </r>
        <r>
          <rPr>
            <sz val="9"/>
            <color indexed="81"/>
            <rFont val="Tahoma"/>
            <family val="2"/>
          </rPr>
          <t xml:space="preserve">
15 mins is calling customer</t>
        </r>
      </text>
    </comment>
    <comment ref="E42" authorId="1">
      <text>
        <r>
          <rPr>
            <b/>
            <sz val="8"/>
            <color indexed="81"/>
            <rFont val="Tahoma"/>
            <family val="2"/>
          </rPr>
          <t>Trevor:</t>
        </r>
        <r>
          <rPr>
            <sz val="8"/>
            <color indexed="81"/>
            <rFont val="Tahoma"/>
            <family val="2"/>
          </rPr>
          <t xml:space="preserve">
copywriting 2 hours per customer</t>
        </r>
      </text>
    </comment>
    <comment ref="F42" authorId="1">
      <text>
        <r>
          <rPr>
            <b/>
            <sz val="8"/>
            <color indexed="81"/>
            <rFont val="Tahoma"/>
            <family val="2"/>
          </rPr>
          <t>Trevor:</t>
        </r>
        <r>
          <rPr>
            <sz val="8"/>
            <color indexed="81"/>
            <rFont val="Tahoma"/>
            <family val="2"/>
          </rPr>
          <t xml:space="preserve">
15 mins per campaign OF</t>
        </r>
      </text>
    </comment>
    <comment ref="H42" authorId="1">
      <text>
        <r>
          <rPr>
            <b/>
            <sz val="8"/>
            <color indexed="81"/>
            <rFont val="Tahoma"/>
            <family val="2"/>
          </rPr>
          <t>Trevor:</t>
        </r>
        <r>
          <rPr>
            <sz val="8"/>
            <color indexed="81"/>
            <rFont val="Tahoma"/>
            <family val="2"/>
          </rPr>
          <t xml:space="preserve">
60 mins per campaign or per customer?</t>
        </r>
      </text>
    </comment>
    <comment ref="K42" authorId="2">
      <text>
        <r>
          <rPr>
            <b/>
            <sz val="9"/>
            <color indexed="81"/>
            <rFont val="Tahoma"/>
            <family val="2"/>
          </rPr>
          <t>Duwijn, Stefan:</t>
        </r>
        <r>
          <rPr>
            <sz val="9"/>
            <color indexed="81"/>
            <rFont val="Tahoma"/>
            <family val="2"/>
          </rPr>
          <t xml:space="preserve">
copywriting reduced to 60</t>
        </r>
      </text>
    </comment>
    <comment ref="E43" authorId="1">
      <text>
        <r>
          <rPr>
            <b/>
            <sz val="8"/>
            <color indexed="81"/>
            <rFont val="Tahoma"/>
            <family val="2"/>
          </rPr>
          <t>Trevor:</t>
        </r>
        <r>
          <rPr>
            <sz val="8"/>
            <color indexed="81"/>
            <rFont val="Tahoma"/>
            <family val="2"/>
          </rPr>
          <t xml:space="preserve">
copywriting 2 hours per customer</t>
        </r>
      </text>
    </comment>
    <comment ref="F43" authorId="1">
      <text>
        <r>
          <rPr>
            <b/>
            <sz val="8"/>
            <color indexed="81"/>
            <rFont val="Tahoma"/>
            <family val="2"/>
          </rPr>
          <t>Trevor:</t>
        </r>
        <r>
          <rPr>
            <sz val="8"/>
            <color indexed="81"/>
            <rFont val="Tahoma"/>
            <family val="2"/>
          </rPr>
          <t xml:space="preserve">
20 mins per campaign OF
(production card, video)</t>
        </r>
      </text>
    </comment>
    <comment ref="H43" authorId="1">
      <text>
        <r>
          <rPr>
            <b/>
            <sz val="8"/>
            <color indexed="81"/>
            <rFont val="Tahoma"/>
            <family val="2"/>
          </rPr>
          <t>Trevor:</t>
        </r>
        <r>
          <rPr>
            <sz val="8"/>
            <color indexed="81"/>
            <rFont val="Tahoma"/>
            <family val="2"/>
          </rPr>
          <t xml:space="preserve">
90 mins per campaign or per customer?</t>
        </r>
      </text>
    </comment>
    <comment ref="I43" authorId="1">
      <text>
        <r>
          <rPr>
            <b/>
            <sz val="8"/>
            <color indexed="81"/>
            <rFont val="Tahoma"/>
            <family val="2"/>
          </rPr>
          <t>Trevor:</t>
        </r>
        <r>
          <rPr>
            <sz val="8"/>
            <color indexed="81"/>
            <rFont val="Tahoma"/>
            <family val="2"/>
          </rPr>
          <t xml:space="preserve">
90 mins per campaign or per customer?</t>
        </r>
      </text>
    </comment>
    <comment ref="F44"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44" authorId="1">
      <text>
        <r>
          <rPr>
            <b/>
            <sz val="8"/>
            <color indexed="81"/>
            <rFont val="Tahoma"/>
            <family val="2"/>
          </rPr>
          <t>Trevor:</t>
        </r>
        <r>
          <rPr>
            <sz val="8"/>
            <color indexed="81"/>
            <rFont val="Tahoma"/>
            <family val="2"/>
          </rPr>
          <t xml:space="preserve">
60 mins per banner</t>
        </r>
      </text>
    </comment>
    <comment ref="I44" authorId="2">
      <text>
        <r>
          <rPr>
            <b/>
            <sz val="9"/>
            <color indexed="81"/>
            <rFont val="Tahoma"/>
            <family val="2"/>
          </rPr>
          <t>Duwijn, Stefan:</t>
        </r>
        <r>
          <rPr>
            <sz val="9"/>
            <color indexed="81"/>
            <rFont val="Tahoma"/>
            <family val="2"/>
          </rPr>
          <t xml:space="preserve">
6 variations</t>
        </r>
      </text>
    </comment>
    <comment ref="K44" authorId="2">
      <text>
        <r>
          <rPr>
            <b/>
            <sz val="9"/>
            <color indexed="81"/>
            <rFont val="Tahoma"/>
            <family val="2"/>
          </rPr>
          <t>Duwijn, Stefan:</t>
        </r>
        <r>
          <rPr>
            <sz val="9"/>
            <color indexed="81"/>
            <rFont val="Tahoma"/>
            <family val="2"/>
          </rPr>
          <t xml:space="preserve">
10 mins for copy to follow</t>
        </r>
      </text>
    </comment>
    <comment ref="N56"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59" authorId="2">
      <text>
        <r>
          <rPr>
            <b/>
            <sz val="9"/>
            <color indexed="81"/>
            <rFont val="Tahoma"/>
            <family val="2"/>
          </rPr>
          <t>Duwijn, Stefan:</t>
        </r>
        <r>
          <rPr>
            <sz val="9"/>
            <color indexed="81"/>
            <rFont val="Tahoma"/>
            <family val="2"/>
          </rPr>
          <t xml:space="preserve">
MS fulfilment done in graphics under a new team</t>
        </r>
      </text>
    </comment>
    <comment ref="K61" authorId="2">
      <text>
        <r>
          <rPr>
            <b/>
            <sz val="9"/>
            <color indexed="81"/>
            <rFont val="Tahoma"/>
            <family val="2"/>
          </rPr>
          <t>Duwijn, Stefan:</t>
        </r>
        <r>
          <rPr>
            <sz val="9"/>
            <color indexed="81"/>
            <rFont val="Tahoma"/>
            <family val="2"/>
          </rPr>
          <t xml:space="preserve">
audit call after 6 months</t>
        </r>
      </text>
    </comment>
    <comment ref="C66" authorId="1">
      <text>
        <r>
          <rPr>
            <b/>
            <sz val="8"/>
            <color indexed="81"/>
            <rFont val="Tahoma"/>
            <family val="2"/>
          </rPr>
          <t>Trevor:</t>
        </r>
        <r>
          <rPr>
            <sz val="8"/>
            <color indexed="81"/>
            <rFont val="Tahoma"/>
            <family val="2"/>
          </rPr>
          <t xml:space="preserve">
multiple campaigns per customer</t>
        </r>
      </text>
    </comment>
    <comment ref="G66" authorId="1">
      <text>
        <r>
          <rPr>
            <b/>
            <sz val="8"/>
            <color indexed="81"/>
            <rFont val="Tahoma"/>
            <family val="2"/>
          </rPr>
          <t>Trevor:</t>
        </r>
        <r>
          <rPr>
            <sz val="8"/>
            <color indexed="81"/>
            <rFont val="Tahoma"/>
            <family val="2"/>
          </rPr>
          <t xml:space="preserve">
= average of (non IT + IT)</t>
        </r>
      </text>
    </comment>
    <comment ref="N66" authorId="2">
      <text>
        <r>
          <rPr>
            <b/>
            <sz val="9"/>
            <color indexed="81"/>
            <rFont val="Tahoma"/>
            <family val="2"/>
          </rPr>
          <t>Duwijn, Stefan:</t>
        </r>
        <r>
          <rPr>
            <sz val="9"/>
            <color indexed="81"/>
            <rFont val="Tahoma"/>
            <family val="2"/>
          </rPr>
          <t xml:space="preserve">
automated emailing/messaging to customer</t>
        </r>
      </text>
    </comment>
    <comment ref="E67" authorId="1">
      <text>
        <r>
          <rPr>
            <b/>
            <sz val="8"/>
            <color indexed="81"/>
            <rFont val="Tahoma"/>
            <family val="2"/>
          </rPr>
          <t>Trevor:</t>
        </r>
        <r>
          <rPr>
            <sz val="8"/>
            <color indexed="81"/>
            <rFont val="Tahoma"/>
            <family val="2"/>
          </rPr>
          <t xml:space="preserve">
15 min copywriting</t>
        </r>
      </text>
    </comment>
    <comment ref="F67" authorId="1">
      <text>
        <r>
          <rPr>
            <b/>
            <sz val="8"/>
            <color indexed="81"/>
            <rFont val="Tahoma"/>
            <family val="2"/>
          </rPr>
          <t>Trevor:</t>
        </r>
        <r>
          <rPr>
            <sz val="8"/>
            <color indexed="81"/>
            <rFont val="Tahoma"/>
            <family val="2"/>
          </rPr>
          <t xml:space="preserve">
+15 min OF  per campaign</t>
        </r>
      </text>
    </comment>
    <comment ref="K67" authorId="2">
      <text>
        <r>
          <rPr>
            <b/>
            <sz val="9"/>
            <color indexed="81"/>
            <rFont val="Tahoma"/>
            <family val="2"/>
          </rPr>
          <t>Duwijn, Stefan:</t>
        </r>
        <r>
          <rPr>
            <sz val="9"/>
            <color indexed="81"/>
            <rFont val="Tahoma"/>
            <family val="2"/>
          </rPr>
          <t xml:space="preserve">
15 mins is calling customer</t>
        </r>
      </text>
    </comment>
    <comment ref="E68" authorId="1">
      <text>
        <r>
          <rPr>
            <b/>
            <sz val="8"/>
            <color indexed="81"/>
            <rFont val="Tahoma"/>
            <family val="2"/>
          </rPr>
          <t>Trevor:</t>
        </r>
        <r>
          <rPr>
            <sz val="8"/>
            <color indexed="81"/>
            <rFont val="Tahoma"/>
            <family val="2"/>
          </rPr>
          <t xml:space="preserve">
copywriting 2 hours per customer</t>
        </r>
      </text>
    </comment>
    <comment ref="F68" authorId="1">
      <text>
        <r>
          <rPr>
            <b/>
            <sz val="8"/>
            <color indexed="81"/>
            <rFont val="Tahoma"/>
            <family val="2"/>
          </rPr>
          <t>Trevor:</t>
        </r>
        <r>
          <rPr>
            <sz val="8"/>
            <color indexed="81"/>
            <rFont val="Tahoma"/>
            <family val="2"/>
          </rPr>
          <t xml:space="preserve">
15 mins per campaign OF</t>
        </r>
      </text>
    </comment>
    <comment ref="H68" authorId="1">
      <text>
        <r>
          <rPr>
            <b/>
            <sz val="8"/>
            <color indexed="81"/>
            <rFont val="Tahoma"/>
            <family val="2"/>
          </rPr>
          <t>Trevor:</t>
        </r>
        <r>
          <rPr>
            <sz val="8"/>
            <color indexed="81"/>
            <rFont val="Tahoma"/>
            <family val="2"/>
          </rPr>
          <t xml:space="preserve">
60 mins per campaign or per customer?</t>
        </r>
      </text>
    </comment>
    <comment ref="K68" authorId="2">
      <text>
        <r>
          <rPr>
            <b/>
            <sz val="9"/>
            <color indexed="81"/>
            <rFont val="Tahoma"/>
            <family val="2"/>
          </rPr>
          <t>Duwijn, Stefan:</t>
        </r>
        <r>
          <rPr>
            <sz val="9"/>
            <color indexed="81"/>
            <rFont val="Tahoma"/>
            <family val="2"/>
          </rPr>
          <t xml:space="preserve">
copywriting reduced to 60</t>
        </r>
      </text>
    </comment>
    <comment ref="E69" authorId="1">
      <text>
        <r>
          <rPr>
            <b/>
            <sz val="8"/>
            <color indexed="81"/>
            <rFont val="Tahoma"/>
            <family val="2"/>
          </rPr>
          <t>Trevor:</t>
        </r>
        <r>
          <rPr>
            <sz val="8"/>
            <color indexed="81"/>
            <rFont val="Tahoma"/>
            <family val="2"/>
          </rPr>
          <t xml:space="preserve">
copywriting 2 hours per customer</t>
        </r>
      </text>
    </comment>
    <comment ref="F69" authorId="1">
      <text>
        <r>
          <rPr>
            <b/>
            <sz val="8"/>
            <color indexed="81"/>
            <rFont val="Tahoma"/>
            <family val="2"/>
          </rPr>
          <t>Trevor:</t>
        </r>
        <r>
          <rPr>
            <sz val="8"/>
            <color indexed="81"/>
            <rFont val="Tahoma"/>
            <family val="2"/>
          </rPr>
          <t xml:space="preserve">
20 mins per campaign OF
(production card, video)</t>
        </r>
      </text>
    </comment>
    <comment ref="H69" authorId="1">
      <text>
        <r>
          <rPr>
            <b/>
            <sz val="8"/>
            <color indexed="81"/>
            <rFont val="Tahoma"/>
            <family val="2"/>
          </rPr>
          <t>Trevor:</t>
        </r>
        <r>
          <rPr>
            <sz val="8"/>
            <color indexed="81"/>
            <rFont val="Tahoma"/>
            <family val="2"/>
          </rPr>
          <t xml:space="preserve">
90 mins per campaign or per customer?</t>
        </r>
      </text>
    </comment>
    <comment ref="I69" authorId="1">
      <text>
        <r>
          <rPr>
            <b/>
            <sz val="8"/>
            <color indexed="81"/>
            <rFont val="Tahoma"/>
            <family val="2"/>
          </rPr>
          <t>Trevor:</t>
        </r>
        <r>
          <rPr>
            <sz val="8"/>
            <color indexed="81"/>
            <rFont val="Tahoma"/>
            <family val="2"/>
          </rPr>
          <t xml:space="preserve">
90 mins per campaign or per customer?</t>
        </r>
      </text>
    </comment>
    <comment ref="F70"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70" authorId="1">
      <text>
        <r>
          <rPr>
            <b/>
            <sz val="8"/>
            <color indexed="81"/>
            <rFont val="Tahoma"/>
            <family val="2"/>
          </rPr>
          <t>Trevor:</t>
        </r>
        <r>
          <rPr>
            <sz val="8"/>
            <color indexed="81"/>
            <rFont val="Tahoma"/>
            <family val="2"/>
          </rPr>
          <t xml:space="preserve">
60 mins per banner</t>
        </r>
      </text>
    </comment>
    <comment ref="I70" authorId="2">
      <text>
        <r>
          <rPr>
            <b/>
            <sz val="9"/>
            <color indexed="81"/>
            <rFont val="Tahoma"/>
            <family val="2"/>
          </rPr>
          <t>Duwijn, Stefan:</t>
        </r>
        <r>
          <rPr>
            <sz val="9"/>
            <color indexed="81"/>
            <rFont val="Tahoma"/>
            <family val="2"/>
          </rPr>
          <t xml:space="preserve">
6 variations</t>
        </r>
      </text>
    </comment>
    <comment ref="K70" authorId="2">
      <text>
        <r>
          <rPr>
            <b/>
            <sz val="9"/>
            <color indexed="81"/>
            <rFont val="Tahoma"/>
            <family val="2"/>
          </rPr>
          <t>Duwijn, Stefan:</t>
        </r>
        <r>
          <rPr>
            <sz val="9"/>
            <color indexed="81"/>
            <rFont val="Tahoma"/>
            <family val="2"/>
          </rPr>
          <t xml:space="preserve">
10 mins for copy to follow</t>
        </r>
      </text>
    </comment>
  </commentList>
</comments>
</file>

<file path=xl/comments2.xml><?xml version="1.0" encoding="utf-8"?>
<comments xmlns="http://schemas.openxmlformats.org/spreadsheetml/2006/main">
  <authors>
    <author>kevin murphy</author>
    <author>Truvo</author>
    <author>Duwijn, Stefan</author>
  </authors>
  <commentList>
    <comment ref="N3"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C5" authorId="1">
      <text>
        <r>
          <rPr>
            <b/>
            <sz val="11"/>
            <color indexed="81"/>
            <rFont val="Tahoma"/>
            <family val="2"/>
          </rPr>
          <t>Trevor:</t>
        </r>
        <r>
          <rPr>
            <sz val="11"/>
            <color indexed="81"/>
            <rFont val="Tahoma"/>
            <family val="2"/>
          </rPr>
          <t xml:space="preserve">
= incremental workload on MS
</t>
        </r>
      </text>
    </comment>
    <comment ref="H11" authorId="2">
      <text>
        <r>
          <rPr>
            <b/>
            <sz val="9"/>
            <color indexed="81"/>
            <rFont val="Tahoma"/>
            <family val="2"/>
          </rPr>
          <t>Duwijn, Stefan:</t>
        </r>
        <r>
          <rPr>
            <sz val="9"/>
            <color indexed="81"/>
            <rFont val="Tahoma"/>
            <family val="2"/>
          </rPr>
          <t xml:space="preserve">
valt weg als dit gebeurt door sales</t>
        </r>
      </text>
    </comment>
    <comment ref="E12" authorId="2">
      <text>
        <r>
          <rPr>
            <b/>
            <sz val="9"/>
            <color indexed="81"/>
            <rFont val="Tahoma"/>
            <family val="2"/>
          </rPr>
          <t>Duwijn, Stefan:</t>
        </r>
        <r>
          <rPr>
            <sz val="9"/>
            <color indexed="81"/>
            <rFont val="Tahoma"/>
            <family val="2"/>
          </rPr>
          <t xml:space="preserve">
= DB maintenance for name and heading changes</t>
        </r>
      </text>
    </comment>
    <comment ref="K12" authorId="2">
      <text>
        <r>
          <rPr>
            <b/>
            <sz val="9"/>
            <color indexed="81"/>
            <rFont val="Tahoma"/>
            <family val="2"/>
          </rPr>
          <t>Duwijn, Stefan:</t>
        </r>
        <r>
          <rPr>
            <sz val="9"/>
            <color indexed="81"/>
            <rFont val="Tahoma"/>
            <family val="2"/>
          </rPr>
          <t xml:space="preserve">
helpdesk calls by basic page users</t>
        </r>
      </text>
    </comment>
    <comment ref="C13" authorId="1">
      <text>
        <r>
          <rPr>
            <b/>
            <sz val="8"/>
            <color indexed="81"/>
            <rFont val="Tahoma"/>
            <family val="2"/>
          </rPr>
          <t>Trevor:</t>
        </r>
        <r>
          <rPr>
            <sz val="8"/>
            <color indexed="81"/>
            <rFont val="Tahoma"/>
            <family val="2"/>
          </rPr>
          <t xml:space="preserve">
multiple campaigns per customer</t>
        </r>
      </text>
    </comment>
    <comment ref="G13" authorId="1">
      <text>
        <r>
          <rPr>
            <b/>
            <sz val="8"/>
            <color indexed="81"/>
            <rFont val="Tahoma"/>
            <family val="2"/>
          </rPr>
          <t>Trevor:</t>
        </r>
        <r>
          <rPr>
            <sz val="8"/>
            <color indexed="81"/>
            <rFont val="Tahoma"/>
            <family val="2"/>
          </rPr>
          <t xml:space="preserve">
= average of (non IT + IT)</t>
        </r>
      </text>
    </comment>
    <comment ref="N13" authorId="2">
      <text>
        <r>
          <rPr>
            <b/>
            <sz val="9"/>
            <color indexed="81"/>
            <rFont val="Tahoma"/>
            <family val="2"/>
          </rPr>
          <t>Duwijn, Stefan:</t>
        </r>
        <r>
          <rPr>
            <sz val="9"/>
            <color indexed="81"/>
            <rFont val="Tahoma"/>
            <family val="2"/>
          </rPr>
          <t xml:space="preserve">
automated emailing/messaging to customer</t>
        </r>
      </text>
    </comment>
    <comment ref="E14" authorId="1">
      <text>
        <r>
          <rPr>
            <b/>
            <sz val="8"/>
            <color indexed="81"/>
            <rFont val="Tahoma"/>
            <family val="2"/>
          </rPr>
          <t>Trevor:</t>
        </r>
        <r>
          <rPr>
            <sz val="8"/>
            <color indexed="81"/>
            <rFont val="Tahoma"/>
            <family val="2"/>
          </rPr>
          <t xml:space="preserve">
15 min copywriting first time during OF</t>
        </r>
      </text>
    </comment>
    <comment ref="F14" authorId="1">
      <text>
        <r>
          <rPr>
            <b/>
            <sz val="8"/>
            <color indexed="81"/>
            <rFont val="Tahoma"/>
            <family val="2"/>
          </rPr>
          <t>Trevor:</t>
        </r>
        <r>
          <rPr>
            <sz val="8"/>
            <color indexed="81"/>
            <rFont val="Tahoma"/>
            <family val="2"/>
          </rPr>
          <t xml:space="preserve">
+15 min OF  per campaign</t>
        </r>
      </text>
    </comment>
    <comment ref="K14" authorId="2">
      <text>
        <r>
          <rPr>
            <b/>
            <sz val="9"/>
            <color indexed="81"/>
            <rFont val="Tahoma"/>
            <family val="2"/>
          </rPr>
          <t>Duwijn, Stefan:</t>
        </r>
        <r>
          <rPr>
            <sz val="9"/>
            <color indexed="81"/>
            <rFont val="Tahoma"/>
            <family val="2"/>
          </rPr>
          <t xml:space="preserve">
15 mins is calling customer</t>
        </r>
      </text>
    </comment>
    <comment ref="E15" authorId="1">
      <text>
        <r>
          <rPr>
            <b/>
            <sz val="8"/>
            <color indexed="81"/>
            <rFont val="Tahoma"/>
            <family val="2"/>
          </rPr>
          <t>Trevor:</t>
        </r>
        <r>
          <rPr>
            <sz val="8"/>
            <color indexed="81"/>
            <rFont val="Tahoma"/>
            <family val="2"/>
          </rPr>
          <t xml:space="preserve">
copywriting 2 hours per customer</t>
        </r>
      </text>
    </comment>
    <comment ref="F15" authorId="1">
      <text>
        <r>
          <rPr>
            <b/>
            <sz val="8"/>
            <color indexed="81"/>
            <rFont val="Tahoma"/>
            <family val="2"/>
          </rPr>
          <t>Trevor:</t>
        </r>
        <r>
          <rPr>
            <sz val="8"/>
            <color indexed="81"/>
            <rFont val="Tahoma"/>
            <family val="2"/>
          </rPr>
          <t xml:space="preserve">
15 mins per campaign OF</t>
        </r>
      </text>
    </comment>
    <comment ref="H15" authorId="1">
      <text>
        <r>
          <rPr>
            <b/>
            <sz val="8"/>
            <color indexed="81"/>
            <rFont val="Tahoma"/>
            <family val="2"/>
          </rPr>
          <t>Trevor:</t>
        </r>
        <r>
          <rPr>
            <sz val="8"/>
            <color indexed="81"/>
            <rFont val="Tahoma"/>
            <family val="2"/>
          </rPr>
          <t xml:space="preserve">
60 mins per campaign or per customer?</t>
        </r>
      </text>
    </comment>
    <comment ref="K15" authorId="2">
      <text>
        <r>
          <rPr>
            <b/>
            <sz val="9"/>
            <color indexed="81"/>
            <rFont val="Tahoma"/>
            <family val="2"/>
          </rPr>
          <t>Duwijn, Stefan:</t>
        </r>
        <r>
          <rPr>
            <sz val="9"/>
            <color indexed="81"/>
            <rFont val="Tahoma"/>
            <family val="2"/>
          </rPr>
          <t xml:space="preserve">
copywriting reduced to 60</t>
        </r>
      </text>
    </comment>
    <comment ref="E16" authorId="1">
      <text>
        <r>
          <rPr>
            <b/>
            <sz val="8"/>
            <color indexed="81"/>
            <rFont val="Tahoma"/>
            <family val="2"/>
          </rPr>
          <t>Trevor:</t>
        </r>
        <r>
          <rPr>
            <sz val="8"/>
            <color indexed="81"/>
            <rFont val="Tahoma"/>
            <family val="2"/>
          </rPr>
          <t xml:space="preserve">
copywriting 2 hours per customer + 30 mins video</t>
        </r>
      </text>
    </comment>
    <comment ref="F16" authorId="1">
      <text>
        <r>
          <rPr>
            <b/>
            <sz val="8"/>
            <color indexed="81"/>
            <rFont val="Tahoma"/>
            <family val="2"/>
          </rPr>
          <t>Trevor:</t>
        </r>
        <r>
          <rPr>
            <sz val="8"/>
            <color indexed="81"/>
            <rFont val="Tahoma"/>
            <family val="2"/>
          </rPr>
          <t xml:space="preserve">
20 mins per campaign OF
(production card, video)</t>
        </r>
      </text>
    </comment>
    <comment ref="H16" authorId="1">
      <text>
        <r>
          <rPr>
            <b/>
            <sz val="8"/>
            <color indexed="81"/>
            <rFont val="Tahoma"/>
            <family val="2"/>
          </rPr>
          <t>Trevor:</t>
        </r>
        <r>
          <rPr>
            <sz val="8"/>
            <color indexed="81"/>
            <rFont val="Tahoma"/>
            <family val="2"/>
          </rPr>
          <t xml:space="preserve">
90 mins per campaign or per customer?</t>
        </r>
      </text>
    </comment>
    <comment ref="I16" authorId="1">
      <text>
        <r>
          <rPr>
            <b/>
            <sz val="8"/>
            <color indexed="81"/>
            <rFont val="Tahoma"/>
            <family val="2"/>
          </rPr>
          <t>Trevor:</t>
        </r>
        <r>
          <rPr>
            <sz val="8"/>
            <color indexed="81"/>
            <rFont val="Tahoma"/>
            <family val="2"/>
          </rPr>
          <t xml:space="preserve">
90 mins per campaign or per customer?</t>
        </r>
      </text>
    </comment>
    <comment ref="F17"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17" authorId="1">
      <text>
        <r>
          <rPr>
            <b/>
            <sz val="8"/>
            <color indexed="81"/>
            <rFont val="Tahoma"/>
            <family val="2"/>
          </rPr>
          <t>Trevor:</t>
        </r>
        <r>
          <rPr>
            <sz val="8"/>
            <color indexed="81"/>
            <rFont val="Tahoma"/>
            <family val="2"/>
          </rPr>
          <t xml:space="preserve">
60 mins per banner using banner production tool</t>
        </r>
      </text>
    </comment>
    <comment ref="I17" authorId="2">
      <text>
        <r>
          <rPr>
            <b/>
            <sz val="9"/>
            <color indexed="81"/>
            <rFont val="Tahoma"/>
            <family val="2"/>
          </rPr>
          <t>Duwijn, Stefan:</t>
        </r>
        <r>
          <rPr>
            <sz val="9"/>
            <color indexed="81"/>
            <rFont val="Tahoma"/>
            <family val="2"/>
          </rPr>
          <t xml:space="preserve">
6 variations</t>
        </r>
      </text>
    </comment>
    <comment ref="K17" authorId="2">
      <text>
        <r>
          <rPr>
            <b/>
            <sz val="9"/>
            <color indexed="81"/>
            <rFont val="Tahoma"/>
            <family val="2"/>
          </rPr>
          <t>Duwijn, Stefan:</t>
        </r>
        <r>
          <rPr>
            <sz val="9"/>
            <color indexed="81"/>
            <rFont val="Tahoma"/>
            <family val="2"/>
          </rPr>
          <t xml:space="preserve">
10 mins for copy to follow</t>
        </r>
      </text>
    </comment>
    <comment ref="N30"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33" authorId="2">
      <text>
        <r>
          <rPr>
            <b/>
            <sz val="9"/>
            <color indexed="81"/>
            <rFont val="Tahoma"/>
            <family val="2"/>
          </rPr>
          <t>Duwijn, Stefan:</t>
        </r>
        <r>
          <rPr>
            <sz val="9"/>
            <color indexed="81"/>
            <rFont val="Tahoma"/>
            <family val="2"/>
          </rPr>
          <t xml:space="preserve">
MS fulfilment done in graphics under a new team</t>
        </r>
      </text>
    </comment>
    <comment ref="K35" authorId="2">
      <text>
        <r>
          <rPr>
            <b/>
            <sz val="9"/>
            <color indexed="81"/>
            <rFont val="Tahoma"/>
            <family val="2"/>
          </rPr>
          <t>Duwijn, Stefan:</t>
        </r>
        <r>
          <rPr>
            <sz val="9"/>
            <color indexed="81"/>
            <rFont val="Tahoma"/>
            <family val="2"/>
          </rPr>
          <t xml:space="preserve">
audit call after 6 months</t>
        </r>
      </text>
    </comment>
    <comment ref="C40" authorId="1">
      <text>
        <r>
          <rPr>
            <b/>
            <sz val="8"/>
            <color indexed="81"/>
            <rFont val="Tahoma"/>
            <family val="2"/>
          </rPr>
          <t>Trevor:</t>
        </r>
        <r>
          <rPr>
            <sz val="8"/>
            <color indexed="81"/>
            <rFont val="Tahoma"/>
            <family val="2"/>
          </rPr>
          <t xml:space="preserve">
multiple campaigns per customer</t>
        </r>
      </text>
    </comment>
    <comment ref="G40" authorId="1">
      <text>
        <r>
          <rPr>
            <b/>
            <sz val="8"/>
            <color indexed="81"/>
            <rFont val="Tahoma"/>
            <family val="2"/>
          </rPr>
          <t>Trevor:</t>
        </r>
        <r>
          <rPr>
            <sz val="8"/>
            <color indexed="81"/>
            <rFont val="Tahoma"/>
            <family val="2"/>
          </rPr>
          <t xml:space="preserve">
= average of (non IT + IT)</t>
        </r>
      </text>
    </comment>
    <comment ref="N40" authorId="2">
      <text>
        <r>
          <rPr>
            <b/>
            <sz val="9"/>
            <color indexed="81"/>
            <rFont val="Tahoma"/>
            <family val="2"/>
          </rPr>
          <t>Duwijn, Stefan:</t>
        </r>
        <r>
          <rPr>
            <sz val="9"/>
            <color indexed="81"/>
            <rFont val="Tahoma"/>
            <family val="2"/>
          </rPr>
          <t xml:space="preserve">
automated emailing/messaging to customer</t>
        </r>
      </text>
    </comment>
    <comment ref="E41" authorId="1">
      <text>
        <r>
          <rPr>
            <b/>
            <sz val="8"/>
            <color indexed="81"/>
            <rFont val="Tahoma"/>
            <family val="2"/>
          </rPr>
          <t>Trevor:</t>
        </r>
        <r>
          <rPr>
            <sz val="8"/>
            <color indexed="81"/>
            <rFont val="Tahoma"/>
            <family val="2"/>
          </rPr>
          <t xml:space="preserve">
15 min copywriting</t>
        </r>
      </text>
    </comment>
    <comment ref="F41" authorId="1">
      <text>
        <r>
          <rPr>
            <b/>
            <sz val="8"/>
            <color indexed="81"/>
            <rFont val="Tahoma"/>
            <family val="2"/>
          </rPr>
          <t>Trevor:</t>
        </r>
        <r>
          <rPr>
            <sz val="8"/>
            <color indexed="81"/>
            <rFont val="Tahoma"/>
            <family val="2"/>
          </rPr>
          <t xml:space="preserve">
+15 min OF  per campaign</t>
        </r>
      </text>
    </comment>
    <comment ref="K41" authorId="2">
      <text>
        <r>
          <rPr>
            <b/>
            <sz val="9"/>
            <color indexed="81"/>
            <rFont val="Tahoma"/>
            <family val="2"/>
          </rPr>
          <t>Duwijn, Stefan:</t>
        </r>
        <r>
          <rPr>
            <sz val="9"/>
            <color indexed="81"/>
            <rFont val="Tahoma"/>
            <family val="2"/>
          </rPr>
          <t xml:space="preserve">
15 mins is calling customer</t>
        </r>
      </text>
    </comment>
    <comment ref="E42" authorId="1">
      <text>
        <r>
          <rPr>
            <b/>
            <sz val="8"/>
            <color indexed="81"/>
            <rFont val="Tahoma"/>
            <family val="2"/>
          </rPr>
          <t>Trevor:</t>
        </r>
        <r>
          <rPr>
            <sz val="8"/>
            <color indexed="81"/>
            <rFont val="Tahoma"/>
            <family val="2"/>
          </rPr>
          <t xml:space="preserve">
copywriting 2 hours per customer</t>
        </r>
      </text>
    </comment>
    <comment ref="F42" authorId="1">
      <text>
        <r>
          <rPr>
            <b/>
            <sz val="8"/>
            <color indexed="81"/>
            <rFont val="Tahoma"/>
            <family val="2"/>
          </rPr>
          <t>Trevor:</t>
        </r>
        <r>
          <rPr>
            <sz val="8"/>
            <color indexed="81"/>
            <rFont val="Tahoma"/>
            <family val="2"/>
          </rPr>
          <t xml:space="preserve">
15 mins per campaign OF</t>
        </r>
      </text>
    </comment>
    <comment ref="H42" authorId="1">
      <text>
        <r>
          <rPr>
            <b/>
            <sz val="8"/>
            <color indexed="81"/>
            <rFont val="Tahoma"/>
            <family val="2"/>
          </rPr>
          <t>Trevor:</t>
        </r>
        <r>
          <rPr>
            <sz val="8"/>
            <color indexed="81"/>
            <rFont val="Tahoma"/>
            <family val="2"/>
          </rPr>
          <t xml:space="preserve">
60 mins per campaign or per customer?</t>
        </r>
      </text>
    </comment>
    <comment ref="K42" authorId="2">
      <text>
        <r>
          <rPr>
            <b/>
            <sz val="9"/>
            <color indexed="81"/>
            <rFont val="Tahoma"/>
            <family val="2"/>
          </rPr>
          <t>Duwijn, Stefan:</t>
        </r>
        <r>
          <rPr>
            <sz val="9"/>
            <color indexed="81"/>
            <rFont val="Tahoma"/>
            <family val="2"/>
          </rPr>
          <t xml:space="preserve">
copywriting reduced to 60</t>
        </r>
      </text>
    </comment>
    <comment ref="E43" authorId="1">
      <text>
        <r>
          <rPr>
            <b/>
            <sz val="8"/>
            <color indexed="81"/>
            <rFont val="Tahoma"/>
            <family val="2"/>
          </rPr>
          <t>Trevor:</t>
        </r>
        <r>
          <rPr>
            <sz val="8"/>
            <color indexed="81"/>
            <rFont val="Tahoma"/>
            <family val="2"/>
          </rPr>
          <t xml:space="preserve">
copywriting 2 hours per customer</t>
        </r>
      </text>
    </comment>
    <comment ref="F43" authorId="1">
      <text>
        <r>
          <rPr>
            <b/>
            <sz val="8"/>
            <color indexed="81"/>
            <rFont val="Tahoma"/>
            <family val="2"/>
          </rPr>
          <t>Trevor:</t>
        </r>
        <r>
          <rPr>
            <sz val="8"/>
            <color indexed="81"/>
            <rFont val="Tahoma"/>
            <family val="2"/>
          </rPr>
          <t xml:space="preserve">
20 mins per campaign OF
(production card, video)</t>
        </r>
      </text>
    </comment>
    <comment ref="H43" authorId="1">
      <text>
        <r>
          <rPr>
            <b/>
            <sz val="8"/>
            <color indexed="81"/>
            <rFont val="Tahoma"/>
            <family val="2"/>
          </rPr>
          <t>Trevor:</t>
        </r>
        <r>
          <rPr>
            <sz val="8"/>
            <color indexed="81"/>
            <rFont val="Tahoma"/>
            <family val="2"/>
          </rPr>
          <t xml:space="preserve">
90 mins per campaign or per customer?</t>
        </r>
      </text>
    </comment>
    <comment ref="I43" authorId="1">
      <text>
        <r>
          <rPr>
            <b/>
            <sz val="8"/>
            <color indexed="81"/>
            <rFont val="Tahoma"/>
            <family val="2"/>
          </rPr>
          <t>Trevor:</t>
        </r>
        <r>
          <rPr>
            <sz val="8"/>
            <color indexed="81"/>
            <rFont val="Tahoma"/>
            <family val="2"/>
          </rPr>
          <t xml:space="preserve">
90 mins per campaign or per customer?</t>
        </r>
      </text>
    </comment>
    <comment ref="F44"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44" authorId="1">
      <text>
        <r>
          <rPr>
            <b/>
            <sz val="8"/>
            <color indexed="81"/>
            <rFont val="Tahoma"/>
            <family val="2"/>
          </rPr>
          <t>Trevor:</t>
        </r>
        <r>
          <rPr>
            <sz val="8"/>
            <color indexed="81"/>
            <rFont val="Tahoma"/>
            <family val="2"/>
          </rPr>
          <t xml:space="preserve">
60 mins per banner</t>
        </r>
      </text>
    </comment>
    <comment ref="I44" authorId="2">
      <text>
        <r>
          <rPr>
            <b/>
            <sz val="9"/>
            <color indexed="81"/>
            <rFont val="Tahoma"/>
            <family val="2"/>
          </rPr>
          <t>Duwijn, Stefan:</t>
        </r>
        <r>
          <rPr>
            <sz val="9"/>
            <color indexed="81"/>
            <rFont val="Tahoma"/>
            <family val="2"/>
          </rPr>
          <t xml:space="preserve">
6 variations</t>
        </r>
      </text>
    </comment>
    <comment ref="K44" authorId="2">
      <text>
        <r>
          <rPr>
            <b/>
            <sz val="9"/>
            <color indexed="81"/>
            <rFont val="Tahoma"/>
            <family val="2"/>
          </rPr>
          <t>Duwijn, Stefan:</t>
        </r>
        <r>
          <rPr>
            <sz val="9"/>
            <color indexed="81"/>
            <rFont val="Tahoma"/>
            <family val="2"/>
          </rPr>
          <t xml:space="preserve">
10 mins for copy to follow</t>
        </r>
      </text>
    </comment>
    <comment ref="N56"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59" authorId="2">
      <text>
        <r>
          <rPr>
            <b/>
            <sz val="9"/>
            <color indexed="81"/>
            <rFont val="Tahoma"/>
            <family val="2"/>
          </rPr>
          <t>Duwijn, Stefan:</t>
        </r>
        <r>
          <rPr>
            <sz val="9"/>
            <color indexed="81"/>
            <rFont val="Tahoma"/>
            <family val="2"/>
          </rPr>
          <t xml:space="preserve">
MS fulfilment done in graphics under a new team</t>
        </r>
      </text>
    </comment>
    <comment ref="K61" authorId="2">
      <text>
        <r>
          <rPr>
            <b/>
            <sz val="9"/>
            <color indexed="81"/>
            <rFont val="Tahoma"/>
            <family val="2"/>
          </rPr>
          <t>Duwijn, Stefan:</t>
        </r>
        <r>
          <rPr>
            <sz val="9"/>
            <color indexed="81"/>
            <rFont val="Tahoma"/>
            <family val="2"/>
          </rPr>
          <t xml:space="preserve">
audit call after 6 months</t>
        </r>
      </text>
    </comment>
    <comment ref="C66" authorId="1">
      <text>
        <r>
          <rPr>
            <b/>
            <sz val="8"/>
            <color indexed="81"/>
            <rFont val="Tahoma"/>
            <family val="2"/>
          </rPr>
          <t>Trevor:</t>
        </r>
        <r>
          <rPr>
            <sz val="8"/>
            <color indexed="81"/>
            <rFont val="Tahoma"/>
            <family val="2"/>
          </rPr>
          <t xml:space="preserve">
multiple campaigns per customer</t>
        </r>
      </text>
    </comment>
    <comment ref="G66" authorId="1">
      <text>
        <r>
          <rPr>
            <b/>
            <sz val="8"/>
            <color indexed="81"/>
            <rFont val="Tahoma"/>
            <family val="2"/>
          </rPr>
          <t>Trevor:</t>
        </r>
        <r>
          <rPr>
            <sz val="8"/>
            <color indexed="81"/>
            <rFont val="Tahoma"/>
            <family val="2"/>
          </rPr>
          <t xml:space="preserve">
= average of (non IT + IT)</t>
        </r>
      </text>
    </comment>
    <comment ref="N66" authorId="2">
      <text>
        <r>
          <rPr>
            <b/>
            <sz val="9"/>
            <color indexed="81"/>
            <rFont val="Tahoma"/>
            <family val="2"/>
          </rPr>
          <t>Duwijn, Stefan:</t>
        </r>
        <r>
          <rPr>
            <sz val="9"/>
            <color indexed="81"/>
            <rFont val="Tahoma"/>
            <family val="2"/>
          </rPr>
          <t xml:space="preserve">
automated emailing/messaging to customer</t>
        </r>
      </text>
    </comment>
    <comment ref="E67" authorId="1">
      <text>
        <r>
          <rPr>
            <b/>
            <sz val="8"/>
            <color indexed="81"/>
            <rFont val="Tahoma"/>
            <family val="2"/>
          </rPr>
          <t>Trevor:</t>
        </r>
        <r>
          <rPr>
            <sz val="8"/>
            <color indexed="81"/>
            <rFont val="Tahoma"/>
            <family val="2"/>
          </rPr>
          <t xml:space="preserve">
15 min copywriting</t>
        </r>
      </text>
    </comment>
    <comment ref="F67" authorId="1">
      <text>
        <r>
          <rPr>
            <b/>
            <sz val="8"/>
            <color indexed="81"/>
            <rFont val="Tahoma"/>
            <family val="2"/>
          </rPr>
          <t>Trevor:</t>
        </r>
        <r>
          <rPr>
            <sz val="8"/>
            <color indexed="81"/>
            <rFont val="Tahoma"/>
            <family val="2"/>
          </rPr>
          <t xml:space="preserve">
+15 min OF  per campaign</t>
        </r>
      </text>
    </comment>
    <comment ref="K67" authorId="2">
      <text>
        <r>
          <rPr>
            <b/>
            <sz val="9"/>
            <color indexed="81"/>
            <rFont val="Tahoma"/>
            <family val="2"/>
          </rPr>
          <t>Duwijn, Stefan:</t>
        </r>
        <r>
          <rPr>
            <sz val="9"/>
            <color indexed="81"/>
            <rFont val="Tahoma"/>
            <family val="2"/>
          </rPr>
          <t xml:space="preserve">
15 mins is calling customer</t>
        </r>
      </text>
    </comment>
    <comment ref="E68" authorId="1">
      <text>
        <r>
          <rPr>
            <b/>
            <sz val="8"/>
            <color indexed="81"/>
            <rFont val="Tahoma"/>
            <family val="2"/>
          </rPr>
          <t>Trevor:</t>
        </r>
        <r>
          <rPr>
            <sz val="8"/>
            <color indexed="81"/>
            <rFont val="Tahoma"/>
            <family val="2"/>
          </rPr>
          <t xml:space="preserve">
copywriting 2 hours per customer</t>
        </r>
      </text>
    </comment>
    <comment ref="F68" authorId="1">
      <text>
        <r>
          <rPr>
            <b/>
            <sz val="8"/>
            <color indexed="81"/>
            <rFont val="Tahoma"/>
            <family val="2"/>
          </rPr>
          <t>Trevor:</t>
        </r>
        <r>
          <rPr>
            <sz val="8"/>
            <color indexed="81"/>
            <rFont val="Tahoma"/>
            <family val="2"/>
          </rPr>
          <t xml:space="preserve">
15 mins per campaign OF</t>
        </r>
      </text>
    </comment>
    <comment ref="H68" authorId="1">
      <text>
        <r>
          <rPr>
            <b/>
            <sz val="8"/>
            <color indexed="81"/>
            <rFont val="Tahoma"/>
            <family val="2"/>
          </rPr>
          <t>Trevor:</t>
        </r>
        <r>
          <rPr>
            <sz val="8"/>
            <color indexed="81"/>
            <rFont val="Tahoma"/>
            <family val="2"/>
          </rPr>
          <t xml:space="preserve">
60 mins per campaign or per customer?</t>
        </r>
      </text>
    </comment>
    <comment ref="K68" authorId="2">
      <text>
        <r>
          <rPr>
            <b/>
            <sz val="9"/>
            <color indexed="81"/>
            <rFont val="Tahoma"/>
            <family val="2"/>
          </rPr>
          <t>Duwijn, Stefan:</t>
        </r>
        <r>
          <rPr>
            <sz val="9"/>
            <color indexed="81"/>
            <rFont val="Tahoma"/>
            <family val="2"/>
          </rPr>
          <t xml:space="preserve">
copywriting reduced to 60</t>
        </r>
      </text>
    </comment>
    <comment ref="E69" authorId="1">
      <text>
        <r>
          <rPr>
            <b/>
            <sz val="8"/>
            <color indexed="81"/>
            <rFont val="Tahoma"/>
            <family val="2"/>
          </rPr>
          <t>Trevor:</t>
        </r>
        <r>
          <rPr>
            <sz val="8"/>
            <color indexed="81"/>
            <rFont val="Tahoma"/>
            <family val="2"/>
          </rPr>
          <t xml:space="preserve">
copywriting 2 hours per customer</t>
        </r>
      </text>
    </comment>
    <comment ref="F69" authorId="1">
      <text>
        <r>
          <rPr>
            <b/>
            <sz val="8"/>
            <color indexed="81"/>
            <rFont val="Tahoma"/>
            <family val="2"/>
          </rPr>
          <t>Trevor:</t>
        </r>
        <r>
          <rPr>
            <sz val="8"/>
            <color indexed="81"/>
            <rFont val="Tahoma"/>
            <family val="2"/>
          </rPr>
          <t xml:space="preserve">
20 mins per campaign OF
(production card, video)</t>
        </r>
      </text>
    </comment>
    <comment ref="H69" authorId="1">
      <text>
        <r>
          <rPr>
            <b/>
            <sz val="8"/>
            <color indexed="81"/>
            <rFont val="Tahoma"/>
            <family val="2"/>
          </rPr>
          <t>Trevor:</t>
        </r>
        <r>
          <rPr>
            <sz val="8"/>
            <color indexed="81"/>
            <rFont val="Tahoma"/>
            <family val="2"/>
          </rPr>
          <t xml:space="preserve">
90 mins per campaign or per customer?</t>
        </r>
      </text>
    </comment>
    <comment ref="I69" authorId="1">
      <text>
        <r>
          <rPr>
            <b/>
            <sz val="8"/>
            <color indexed="81"/>
            <rFont val="Tahoma"/>
            <family val="2"/>
          </rPr>
          <t>Trevor:</t>
        </r>
        <r>
          <rPr>
            <sz val="8"/>
            <color indexed="81"/>
            <rFont val="Tahoma"/>
            <family val="2"/>
          </rPr>
          <t xml:space="preserve">
90 mins per campaign or per customer?</t>
        </r>
      </text>
    </comment>
    <comment ref="F70"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70" authorId="1">
      <text>
        <r>
          <rPr>
            <b/>
            <sz val="8"/>
            <color indexed="81"/>
            <rFont val="Tahoma"/>
            <family val="2"/>
          </rPr>
          <t>Trevor:</t>
        </r>
        <r>
          <rPr>
            <sz val="8"/>
            <color indexed="81"/>
            <rFont val="Tahoma"/>
            <family val="2"/>
          </rPr>
          <t xml:space="preserve">
60 mins per banner</t>
        </r>
      </text>
    </comment>
    <comment ref="I70" authorId="2">
      <text>
        <r>
          <rPr>
            <b/>
            <sz val="9"/>
            <color indexed="81"/>
            <rFont val="Tahoma"/>
            <family val="2"/>
          </rPr>
          <t>Duwijn, Stefan:</t>
        </r>
        <r>
          <rPr>
            <sz val="9"/>
            <color indexed="81"/>
            <rFont val="Tahoma"/>
            <family val="2"/>
          </rPr>
          <t xml:space="preserve">
6 variations</t>
        </r>
      </text>
    </comment>
    <comment ref="K70" authorId="2">
      <text>
        <r>
          <rPr>
            <b/>
            <sz val="9"/>
            <color indexed="81"/>
            <rFont val="Tahoma"/>
            <family val="2"/>
          </rPr>
          <t>Duwijn, Stefan:</t>
        </r>
        <r>
          <rPr>
            <sz val="9"/>
            <color indexed="81"/>
            <rFont val="Tahoma"/>
            <family val="2"/>
          </rPr>
          <t xml:space="preserve">
10 mins for copy to follow</t>
        </r>
      </text>
    </comment>
  </commentList>
</comments>
</file>

<file path=xl/comments3.xml><?xml version="1.0" encoding="utf-8"?>
<comments xmlns="http://schemas.openxmlformats.org/spreadsheetml/2006/main">
  <authors>
    <author>kevin murphy</author>
    <author>Truvo</author>
    <author>Duwijn, Stefan</author>
  </authors>
  <commentList>
    <comment ref="N3"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C5" authorId="1">
      <text>
        <r>
          <rPr>
            <b/>
            <sz val="11"/>
            <color indexed="81"/>
            <rFont val="Tahoma"/>
            <family val="2"/>
          </rPr>
          <t>Trevor:</t>
        </r>
        <r>
          <rPr>
            <sz val="11"/>
            <color indexed="81"/>
            <rFont val="Tahoma"/>
            <family val="2"/>
          </rPr>
          <t xml:space="preserve">
= incremental workload on MS
</t>
        </r>
      </text>
    </comment>
    <comment ref="H11" authorId="2">
      <text>
        <r>
          <rPr>
            <b/>
            <sz val="9"/>
            <color indexed="81"/>
            <rFont val="Tahoma"/>
            <family val="2"/>
          </rPr>
          <t>Duwijn, Stefan:</t>
        </r>
        <r>
          <rPr>
            <sz val="9"/>
            <color indexed="81"/>
            <rFont val="Tahoma"/>
            <family val="2"/>
          </rPr>
          <t xml:space="preserve">
valt weg als dit gebeurt door sales</t>
        </r>
      </text>
    </comment>
    <comment ref="E12" authorId="2">
      <text>
        <r>
          <rPr>
            <b/>
            <sz val="9"/>
            <color indexed="81"/>
            <rFont val="Tahoma"/>
            <family val="2"/>
          </rPr>
          <t>Duwijn, Stefan:</t>
        </r>
        <r>
          <rPr>
            <sz val="9"/>
            <color indexed="81"/>
            <rFont val="Tahoma"/>
            <family val="2"/>
          </rPr>
          <t xml:space="preserve">
= DB maintenance for name and heading changes</t>
        </r>
      </text>
    </comment>
    <comment ref="K12" authorId="2">
      <text>
        <r>
          <rPr>
            <b/>
            <sz val="9"/>
            <color indexed="81"/>
            <rFont val="Tahoma"/>
            <family val="2"/>
          </rPr>
          <t>Duwijn, Stefan:</t>
        </r>
        <r>
          <rPr>
            <sz val="9"/>
            <color indexed="81"/>
            <rFont val="Tahoma"/>
            <family val="2"/>
          </rPr>
          <t xml:space="preserve">
helpdesk calls by basic page users</t>
        </r>
      </text>
    </comment>
    <comment ref="C13" authorId="1">
      <text>
        <r>
          <rPr>
            <b/>
            <sz val="8"/>
            <color indexed="81"/>
            <rFont val="Tahoma"/>
            <family val="2"/>
          </rPr>
          <t>Trevor:</t>
        </r>
        <r>
          <rPr>
            <sz val="8"/>
            <color indexed="81"/>
            <rFont val="Tahoma"/>
            <family val="2"/>
          </rPr>
          <t xml:space="preserve">
multiple campaigns per customer</t>
        </r>
      </text>
    </comment>
    <comment ref="G13" authorId="1">
      <text>
        <r>
          <rPr>
            <b/>
            <sz val="8"/>
            <color indexed="81"/>
            <rFont val="Tahoma"/>
            <family val="2"/>
          </rPr>
          <t>Trevor:</t>
        </r>
        <r>
          <rPr>
            <sz val="8"/>
            <color indexed="81"/>
            <rFont val="Tahoma"/>
            <family val="2"/>
          </rPr>
          <t xml:space="preserve">
= average of (non IT + IT)</t>
        </r>
      </text>
    </comment>
    <comment ref="N13" authorId="2">
      <text>
        <r>
          <rPr>
            <b/>
            <sz val="9"/>
            <color indexed="81"/>
            <rFont val="Tahoma"/>
            <family val="2"/>
          </rPr>
          <t>Duwijn, Stefan:</t>
        </r>
        <r>
          <rPr>
            <sz val="9"/>
            <color indexed="81"/>
            <rFont val="Tahoma"/>
            <family val="2"/>
          </rPr>
          <t xml:space="preserve">
automated emailing/messaging to customer</t>
        </r>
      </text>
    </comment>
    <comment ref="E14" authorId="1">
      <text>
        <r>
          <rPr>
            <b/>
            <sz val="8"/>
            <color indexed="81"/>
            <rFont val="Tahoma"/>
            <family val="2"/>
          </rPr>
          <t>Trevor:</t>
        </r>
        <r>
          <rPr>
            <sz val="8"/>
            <color indexed="81"/>
            <rFont val="Tahoma"/>
            <family val="2"/>
          </rPr>
          <t xml:space="preserve">
15 min copywriting first time during OF</t>
        </r>
      </text>
    </comment>
    <comment ref="F14" authorId="1">
      <text>
        <r>
          <rPr>
            <b/>
            <sz val="8"/>
            <color indexed="81"/>
            <rFont val="Tahoma"/>
            <family val="2"/>
          </rPr>
          <t>Trevor:</t>
        </r>
        <r>
          <rPr>
            <sz val="8"/>
            <color indexed="81"/>
            <rFont val="Tahoma"/>
            <family val="2"/>
          </rPr>
          <t xml:space="preserve">
+15 min OF  per campaign</t>
        </r>
      </text>
    </comment>
    <comment ref="K14" authorId="2">
      <text>
        <r>
          <rPr>
            <b/>
            <sz val="9"/>
            <color indexed="81"/>
            <rFont val="Tahoma"/>
            <family val="2"/>
          </rPr>
          <t>Duwijn, Stefan:</t>
        </r>
        <r>
          <rPr>
            <sz val="9"/>
            <color indexed="81"/>
            <rFont val="Tahoma"/>
            <family val="2"/>
          </rPr>
          <t xml:space="preserve">
15 mins is calling customer</t>
        </r>
      </text>
    </comment>
    <comment ref="E15" authorId="1">
      <text>
        <r>
          <rPr>
            <b/>
            <sz val="8"/>
            <color indexed="81"/>
            <rFont val="Tahoma"/>
            <family val="2"/>
          </rPr>
          <t>Trevor:</t>
        </r>
        <r>
          <rPr>
            <sz val="8"/>
            <color indexed="81"/>
            <rFont val="Tahoma"/>
            <family val="2"/>
          </rPr>
          <t xml:space="preserve">
copywriting 2 hours per customer</t>
        </r>
      </text>
    </comment>
    <comment ref="F15" authorId="1">
      <text>
        <r>
          <rPr>
            <b/>
            <sz val="8"/>
            <color indexed="81"/>
            <rFont val="Tahoma"/>
            <family val="2"/>
          </rPr>
          <t>Trevor:</t>
        </r>
        <r>
          <rPr>
            <sz val="8"/>
            <color indexed="81"/>
            <rFont val="Tahoma"/>
            <family val="2"/>
          </rPr>
          <t xml:space="preserve">
15 mins per campaign OF</t>
        </r>
      </text>
    </comment>
    <comment ref="H15" authorId="1">
      <text>
        <r>
          <rPr>
            <b/>
            <sz val="8"/>
            <color indexed="81"/>
            <rFont val="Tahoma"/>
            <family val="2"/>
          </rPr>
          <t>Trevor:</t>
        </r>
        <r>
          <rPr>
            <sz val="8"/>
            <color indexed="81"/>
            <rFont val="Tahoma"/>
            <family val="2"/>
          </rPr>
          <t xml:space="preserve">
60 mins per campaign or per customer?</t>
        </r>
      </text>
    </comment>
    <comment ref="K15" authorId="2">
      <text>
        <r>
          <rPr>
            <b/>
            <sz val="9"/>
            <color indexed="81"/>
            <rFont val="Tahoma"/>
            <family val="2"/>
          </rPr>
          <t>Duwijn, Stefan:</t>
        </r>
        <r>
          <rPr>
            <sz val="9"/>
            <color indexed="81"/>
            <rFont val="Tahoma"/>
            <family val="2"/>
          </rPr>
          <t xml:space="preserve">
copywriting reduced to 60</t>
        </r>
      </text>
    </comment>
    <comment ref="E16" authorId="1">
      <text>
        <r>
          <rPr>
            <b/>
            <sz val="8"/>
            <color indexed="81"/>
            <rFont val="Tahoma"/>
            <family val="2"/>
          </rPr>
          <t>Trevor:</t>
        </r>
        <r>
          <rPr>
            <sz val="8"/>
            <color indexed="81"/>
            <rFont val="Tahoma"/>
            <family val="2"/>
          </rPr>
          <t xml:space="preserve">
copywriting 2 hours per customer + 30 mins video</t>
        </r>
      </text>
    </comment>
    <comment ref="F16" authorId="1">
      <text>
        <r>
          <rPr>
            <b/>
            <sz val="8"/>
            <color indexed="81"/>
            <rFont val="Tahoma"/>
            <family val="2"/>
          </rPr>
          <t>Trevor:</t>
        </r>
        <r>
          <rPr>
            <sz val="8"/>
            <color indexed="81"/>
            <rFont val="Tahoma"/>
            <family val="2"/>
          </rPr>
          <t xml:space="preserve">
20 mins per campaign OF
(production card, video)</t>
        </r>
      </text>
    </comment>
    <comment ref="H16" authorId="1">
      <text>
        <r>
          <rPr>
            <b/>
            <sz val="8"/>
            <color indexed="81"/>
            <rFont val="Tahoma"/>
            <family val="2"/>
          </rPr>
          <t>Trevor:</t>
        </r>
        <r>
          <rPr>
            <sz val="8"/>
            <color indexed="81"/>
            <rFont val="Tahoma"/>
            <family val="2"/>
          </rPr>
          <t xml:space="preserve">
90 mins per campaign or per customer?</t>
        </r>
      </text>
    </comment>
    <comment ref="I16" authorId="1">
      <text>
        <r>
          <rPr>
            <b/>
            <sz val="8"/>
            <color indexed="81"/>
            <rFont val="Tahoma"/>
            <family val="2"/>
          </rPr>
          <t>Trevor:</t>
        </r>
        <r>
          <rPr>
            <sz val="8"/>
            <color indexed="81"/>
            <rFont val="Tahoma"/>
            <family val="2"/>
          </rPr>
          <t xml:space="preserve">
90 mins per campaign or per customer?</t>
        </r>
      </text>
    </comment>
    <comment ref="F17"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17" authorId="1">
      <text>
        <r>
          <rPr>
            <b/>
            <sz val="8"/>
            <color indexed="81"/>
            <rFont val="Tahoma"/>
            <family val="2"/>
          </rPr>
          <t>Trevor:</t>
        </r>
        <r>
          <rPr>
            <sz val="8"/>
            <color indexed="81"/>
            <rFont val="Tahoma"/>
            <family val="2"/>
          </rPr>
          <t xml:space="preserve">
60 mins per banner using banner production tool</t>
        </r>
      </text>
    </comment>
    <comment ref="I17" authorId="2">
      <text>
        <r>
          <rPr>
            <b/>
            <sz val="9"/>
            <color indexed="81"/>
            <rFont val="Tahoma"/>
            <family val="2"/>
          </rPr>
          <t>Duwijn, Stefan:</t>
        </r>
        <r>
          <rPr>
            <sz val="9"/>
            <color indexed="81"/>
            <rFont val="Tahoma"/>
            <family val="2"/>
          </rPr>
          <t xml:space="preserve">
6 variations</t>
        </r>
      </text>
    </comment>
    <comment ref="K17" authorId="2">
      <text>
        <r>
          <rPr>
            <b/>
            <sz val="9"/>
            <color indexed="81"/>
            <rFont val="Tahoma"/>
            <family val="2"/>
          </rPr>
          <t>Duwijn, Stefan:</t>
        </r>
        <r>
          <rPr>
            <sz val="9"/>
            <color indexed="81"/>
            <rFont val="Tahoma"/>
            <family val="2"/>
          </rPr>
          <t xml:space="preserve">
10 mins for copy to follow</t>
        </r>
      </text>
    </comment>
    <comment ref="N30"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33" authorId="2">
      <text>
        <r>
          <rPr>
            <b/>
            <sz val="9"/>
            <color indexed="81"/>
            <rFont val="Tahoma"/>
            <family val="2"/>
          </rPr>
          <t>Duwijn, Stefan:</t>
        </r>
        <r>
          <rPr>
            <sz val="9"/>
            <color indexed="81"/>
            <rFont val="Tahoma"/>
            <family val="2"/>
          </rPr>
          <t xml:space="preserve">
MS fulfilment done in graphics under a new team</t>
        </r>
      </text>
    </comment>
    <comment ref="K35" authorId="2">
      <text>
        <r>
          <rPr>
            <b/>
            <sz val="9"/>
            <color indexed="81"/>
            <rFont val="Tahoma"/>
            <family val="2"/>
          </rPr>
          <t>Duwijn, Stefan:</t>
        </r>
        <r>
          <rPr>
            <sz val="9"/>
            <color indexed="81"/>
            <rFont val="Tahoma"/>
            <family val="2"/>
          </rPr>
          <t xml:space="preserve">
audit call after 6 months</t>
        </r>
      </text>
    </comment>
    <comment ref="C40" authorId="1">
      <text>
        <r>
          <rPr>
            <b/>
            <sz val="8"/>
            <color indexed="81"/>
            <rFont val="Tahoma"/>
            <family val="2"/>
          </rPr>
          <t>Trevor:</t>
        </r>
        <r>
          <rPr>
            <sz val="8"/>
            <color indexed="81"/>
            <rFont val="Tahoma"/>
            <family val="2"/>
          </rPr>
          <t xml:space="preserve">
multiple campaigns per customer</t>
        </r>
      </text>
    </comment>
    <comment ref="G40" authorId="1">
      <text>
        <r>
          <rPr>
            <b/>
            <sz val="8"/>
            <color indexed="81"/>
            <rFont val="Tahoma"/>
            <family val="2"/>
          </rPr>
          <t>Trevor:</t>
        </r>
        <r>
          <rPr>
            <sz val="8"/>
            <color indexed="81"/>
            <rFont val="Tahoma"/>
            <family val="2"/>
          </rPr>
          <t xml:space="preserve">
= average of (non IT + IT)</t>
        </r>
      </text>
    </comment>
    <comment ref="N40" authorId="2">
      <text>
        <r>
          <rPr>
            <b/>
            <sz val="9"/>
            <color indexed="81"/>
            <rFont val="Tahoma"/>
            <family val="2"/>
          </rPr>
          <t>Duwijn, Stefan:</t>
        </r>
        <r>
          <rPr>
            <sz val="9"/>
            <color indexed="81"/>
            <rFont val="Tahoma"/>
            <family val="2"/>
          </rPr>
          <t xml:space="preserve">
automated emailing/messaging to customer</t>
        </r>
      </text>
    </comment>
    <comment ref="E41" authorId="1">
      <text>
        <r>
          <rPr>
            <b/>
            <sz val="8"/>
            <color indexed="81"/>
            <rFont val="Tahoma"/>
            <family val="2"/>
          </rPr>
          <t>Trevor:</t>
        </r>
        <r>
          <rPr>
            <sz val="8"/>
            <color indexed="81"/>
            <rFont val="Tahoma"/>
            <family val="2"/>
          </rPr>
          <t xml:space="preserve">
15 min copywriting</t>
        </r>
      </text>
    </comment>
    <comment ref="F41" authorId="1">
      <text>
        <r>
          <rPr>
            <b/>
            <sz val="8"/>
            <color indexed="81"/>
            <rFont val="Tahoma"/>
            <family val="2"/>
          </rPr>
          <t>Trevor:</t>
        </r>
        <r>
          <rPr>
            <sz val="8"/>
            <color indexed="81"/>
            <rFont val="Tahoma"/>
            <family val="2"/>
          </rPr>
          <t xml:space="preserve">
+15 min OF  per campaign</t>
        </r>
      </text>
    </comment>
    <comment ref="K41" authorId="2">
      <text>
        <r>
          <rPr>
            <b/>
            <sz val="9"/>
            <color indexed="81"/>
            <rFont val="Tahoma"/>
            <family val="2"/>
          </rPr>
          <t>Duwijn, Stefan:</t>
        </r>
        <r>
          <rPr>
            <sz val="9"/>
            <color indexed="81"/>
            <rFont val="Tahoma"/>
            <family val="2"/>
          </rPr>
          <t xml:space="preserve">
15 mins is calling customer</t>
        </r>
      </text>
    </comment>
    <comment ref="E42" authorId="1">
      <text>
        <r>
          <rPr>
            <b/>
            <sz val="8"/>
            <color indexed="81"/>
            <rFont val="Tahoma"/>
            <family val="2"/>
          </rPr>
          <t>Trevor:</t>
        </r>
        <r>
          <rPr>
            <sz val="8"/>
            <color indexed="81"/>
            <rFont val="Tahoma"/>
            <family val="2"/>
          </rPr>
          <t xml:space="preserve">
copywriting 2 hours per customer</t>
        </r>
      </text>
    </comment>
    <comment ref="F42" authorId="1">
      <text>
        <r>
          <rPr>
            <b/>
            <sz val="8"/>
            <color indexed="81"/>
            <rFont val="Tahoma"/>
            <family val="2"/>
          </rPr>
          <t>Trevor:</t>
        </r>
        <r>
          <rPr>
            <sz val="8"/>
            <color indexed="81"/>
            <rFont val="Tahoma"/>
            <family val="2"/>
          </rPr>
          <t xml:space="preserve">
15 mins per campaign OF</t>
        </r>
      </text>
    </comment>
    <comment ref="H42" authorId="1">
      <text>
        <r>
          <rPr>
            <b/>
            <sz val="8"/>
            <color indexed="81"/>
            <rFont val="Tahoma"/>
            <family val="2"/>
          </rPr>
          <t>Trevor:</t>
        </r>
        <r>
          <rPr>
            <sz val="8"/>
            <color indexed="81"/>
            <rFont val="Tahoma"/>
            <family val="2"/>
          </rPr>
          <t xml:space="preserve">
60 mins per campaign or per customer?</t>
        </r>
      </text>
    </comment>
    <comment ref="K42" authorId="2">
      <text>
        <r>
          <rPr>
            <b/>
            <sz val="9"/>
            <color indexed="81"/>
            <rFont val="Tahoma"/>
            <family val="2"/>
          </rPr>
          <t>Duwijn, Stefan:</t>
        </r>
        <r>
          <rPr>
            <sz val="9"/>
            <color indexed="81"/>
            <rFont val="Tahoma"/>
            <family val="2"/>
          </rPr>
          <t xml:space="preserve">
copywriting reduced to 60</t>
        </r>
      </text>
    </comment>
    <comment ref="E43" authorId="1">
      <text>
        <r>
          <rPr>
            <b/>
            <sz val="8"/>
            <color indexed="81"/>
            <rFont val="Tahoma"/>
            <family val="2"/>
          </rPr>
          <t>Trevor:</t>
        </r>
        <r>
          <rPr>
            <sz val="8"/>
            <color indexed="81"/>
            <rFont val="Tahoma"/>
            <family val="2"/>
          </rPr>
          <t xml:space="preserve">
copywriting 2 hours per customer</t>
        </r>
      </text>
    </comment>
    <comment ref="F43" authorId="1">
      <text>
        <r>
          <rPr>
            <b/>
            <sz val="8"/>
            <color indexed="81"/>
            <rFont val="Tahoma"/>
            <family val="2"/>
          </rPr>
          <t>Trevor:</t>
        </r>
        <r>
          <rPr>
            <sz val="8"/>
            <color indexed="81"/>
            <rFont val="Tahoma"/>
            <family val="2"/>
          </rPr>
          <t xml:space="preserve">
20 mins per campaign OF
(production card, video)</t>
        </r>
      </text>
    </comment>
    <comment ref="H43" authorId="1">
      <text>
        <r>
          <rPr>
            <b/>
            <sz val="8"/>
            <color indexed="81"/>
            <rFont val="Tahoma"/>
            <family val="2"/>
          </rPr>
          <t>Trevor:</t>
        </r>
        <r>
          <rPr>
            <sz val="8"/>
            <color indexed="81"/>
            <rFont val="Tahoma"/>
            <family val="2"/>
          </rPr>
          <t xml:space="preserve">
90 mins per campaign or per customer?</t>
        </r>
      </text>
    </comment>
    <comment ref="I43" authorId="1">
      <text>
        <r>
          <rPr>
            <b/>
            <sz val="8"/>
            <color indexed="81"/>
            <rFont val="Tahoma"/>
            <family val="2"/>
          </rPr>
          <t>Trevor:</t>
        </r>
        <r>
          <rPr>
            <sz val="8"/>
            <color indexed="81"/>
            <rFont val="Tahoma"/>
            <family val="2"/>
          </rPr>
          <t xml:space="preserve">
90 mins per campaign or per customer?</t>
        </r>
      </text>
    </comment>
    <comment ref="F44"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44" authorId="1">
      <text>
        <r>
          <rPr>
            <b/>
            <sz val="8"/>
            <color indexed="81"/>
            <rFont val="Tahoma"/>
            <family val="2"/>
          </rPr>
          <t>Trevor:</t>
        </r>
        <r>
          <rPr>
            <sz val="8"/>
            <color indexed="81"/>
            <rFont val="Tahoma"/>
            <family val="2"/>
          </rPr>
          <t xml:space="preserve">
60 mins per banner</t>
        </r>
      </text>
    </comment>
    <comment ref="I44" authorId="2">
      <text>
        <r>
          <rPr>
            <b/>
            <sz val="9"/>
            <color indexed="81"/>
            <rFont val="Tahoma"/>
            <family val="2"/>
          </rPr>
          <t>Duwijn, Stefan:</t>
        </r>
        <r>
          <rPr>
            <sz val="9"/>
            <color indexed="81"/>
            <rFont val="Tahoma"/>
            <family val="2"/>
          </rPr>
          <t xml:space="preserve">
6 variations</t>
        </r>
      </text>
    </comment>
    <comment ref="K44" authorId="2">
      <text>
        <r>
          <rPr>
            <b/>
            <sz val="9"/>
            <color indexed="81"/>
            <rFont val="Tahoma"/>
            <family val="2"/>
          </rPr>
          <t>Duwijn, Stefan:</t>
        </r>
        <r>
          <rPr>
            <sz val="9"/>
            <color indexed="81"/>
            <rFont val="Tahoma"/>
            <family val="2"/>
          </rPr>
          <t xml:space="preserve">
10 mins for copy to follow</t>
        </r>
      </text>
    </comment>
    <comment ref="N56" authorId="0">
      <text>
        <r>
          <rPr>
            <b/>
            <sz val="8"/>
            <color indexed="81"/>
            <rFont val="Tahoma"/>
            <family val="2"/>
          </rPr>
          <t>kevin murphy:</t>
        </r>
        <r>
          <rPr>
            <sz val="8"/>
            <color indexed="81"/>
            <rFont val="Tahoma"/>
            <family val="2"/>
          </rPr>
          <t xml:space="preserve">
Assume that PAC must call to update the customer as to the remaining calls.</t>
        </r>
      </text>
    </comment>
    <comment ref="H59" authorId="2">
      <text>
        <r>
          <rPr>
            <b/>
            <sz val="9"/>
            <color indexed="81"/>
            <rFont val="Tahoma"/>
            <family val="2"/>
          </rPr>
          <t>Duwijn, Stefan:</t>
        </r>
        <r>
          <rPr>
            <sz val="9"/>
            <color indexed="81"/>
            <rFont val="Tahoma"/>
            <family val="2"/>
          </rPr>
          <t xml:space="preserve">
MS fulfilment done in graphics under a new team</t>
        </r>
      </text>
    </comment>
    <comment ref="K61" authorId="2">
      <text>
        <r>
          <rPr>
            <b/>
            <sz val="9"/>
            <color indexed="81"/>
            <rFont val="Tahoma"/>
            <family val="2"/>
          </rPr>
          <t>Duwijn, Stefan:</t>
        </r>
        <r>
          <rPr>
            <sz val="9"/>
            <color indexed="81"/>
            <rFont val="Tahoma"/>
            <family val="2"/>
          </rPr>
          <t xml:space="preserve">
audit call after 6 months</t>
        </r>
      </text>
    </comment>
    <comment ref="C66" authorId="1">
      <text>
        <r>
          <rPr>
            <b/>
            <sz val="8"/>
            <color indexed="81"/>
            <rFont val="Tahoma"/>
            <family val="2"/>
          </rPr>
          <t>Trevor:</t>
        </r>
        <r>
          <rPr>
            <sz val="8"/>
            <color indexed="81"/>
            <rFont val="Tahoma"/>
            <family val="2"/>
          </rPr>
          <t xml:space="preserve">
multiple campaigns per customer</t>
        </r>
      </text>
    </comment>
    <comment ref="G66" authorId="1">
      <text>
        <r>
          <rPr>
            <b/>
            <sz val="8"/>
            <color indexed="81"/>
            <rFont val="Tahoma"/>
            <family val="2"/>
          </rPr>
          <t>Trevor:</t>
        </r>
        <r>
          <rPr>
            <sz val="8"/>
            <color indexed="81"/>
            <rFont val="Tahoma"/>
            <family val="2"/>
          </rPr>
          <t xml:space="preserve">
= average of (non IT + IT)</t>
        </r>
      </text>
    </comment>
    <comment ref="N66" authorId="2">
      <text>
        <r>
          <rPr>
            <b/>
            <sz val="9"/>
            <color indexed="81"/>
            <rFont val="Tahoma"/>
            <family val="2"/>
          </rPr>
          <t>Duwijn, Stefan:</t>
        </r>
        <r>
          <rPr>
            <sz val="9"/>
            <color indexed="81"/>
            <rFont val="Tahoma"/>
            <family val="2"/>
          </rPr>
          <t xml:space="preserve">
automated emailing/messaging to customer</t>
        </r>
      </text>
    </comment>
    <comment ref="E67" authorId="1">
      <text>
        <r>
          <rPr>
            <b/>
            <sz val="8"/>
            <color indexed="81"/>
            <rFont val="Tahoma"/>
            <family val="2"/>
          </rPr>
          <t>Trevor:</t>
        </r>
        <r>
          <rPr>
            <sz val="8"/>
            <color indexed="81"/>
            <rFont val="Tahoma"/>
            <family val="2"/>
          </rPr>
          <t xml:space="preserve">
15 min copywriting</t>
        </r>
      </text>
    </comment>
    <comment ref="F67" authorId="1">
      <text>
        <r>
          <rPr>
            <b/>
            <sz val="8"/>
            <color indexed="81"/>
            <rFont val="Tahoma"/>
            <family val="2"/>
          </rPr>
          <t>Trevor:</t>
        </r>
        <r>
          <rPr>
            <sz val="8"/>
            <color indexed="81"/>
            <rFont val="Tahoma"/>
            <family val="2"/>
          </rPr>
          <t xml:space="preserve">
+15 min OF  per campaign</t>
        </r>
      </text>
    </comment>
    <comment ref="K67" authorId="2">
      <text>
        <r>
          <rPr>
            <b/>
            <sz val="9"/>
            <color indexed="81"/>
            <rFont val="Tahoma"/>
            <family val="2"/>
          </rPr>
          <t>Duwijn, Stefan:</t>
        </r>
        <r>
          <rPr>
            <sz val="9"/>
            <color indexed="81"/>
            <rFont val="Tahoma"/>
            <family val="2"/>
          </rPr>
          <t xml:space="preserve">
15 mins is calling customer</t>
        </r>
      </text>
    </comment>
    <comment ref="E68" authorId="1">
      <text>
        <r>
          <rPr>
            <b/>
            <sz val="8"/>
            <color indexed="81"/>
            <rFont val="Tahoma"/>
            <family val="2"/>
          </rPr>
          <t>Trevor:</t>
        </r>
        <r>
          <rPr>
            <sz val="8"/>
            <color indexed="81"/>
            <rFont val="Tahoma"/>
            <family val="2"/>
          </rPr>
          <t xml:space="preserve">
copywriting 2 hours per customer</t>
        </r>
      </text>
    </comment>
    <comment ref="F68" authorId="1">
      <text>
        <r>
          <rPr>
            <b/>
            <sz val="8"/>
            <color indexed="81"/>
            <rFont val="Tahoma"/>
            <family val="2"/>
          </rPr>
          <t>Trevor:</t>
        </r>
        <r>
          <rPr>
            <sz val="8"/>
            <color indexed="81"/>
            <rFont val="Tahoma"/>
            <family val="2"/>
          </rPr>
          <t xml:space="preserve">
15 mins per campaign OF</t>
        </r>
      </text>
    </comment>
    <comment ref="H68" authorId="1">
      <text>
        <r>
          <rPr>
            <b/>
            <sz val="8"/>
            <color indexed="81"/>
            <rFont val="Tahoma"/>
            <family val="2"/>
          </rPr>
          <t>Trevor:</t>
        </r>
        <r>
          <rPr>
            <sz val="8"/>
            <color indexed="81"/>
            <rFont val="Tahoma"/>
            <family val="2"/>
          </rPr>
          <t xml:space="preserve">
60 mins per campaign or per customer?</t>
        </r>
      </text>
    </comment>
    <comment ref="K68" authorId="2">
      <text>
        <r>
          <rPr>
            <b/>
            <sz val="9"/>
            <color indexed="81"/>
            <rFont val="Tahoma"/>
            <family val="2"/>
          </rPr>
          <t>Duwijn, Stefan:</t>
        </r>
        <r>
          <rPr>
            <sz val="9"/>
            <color indexed="81"/>
            <rFont val="Tahoma"/>
            <family val="2"/>
          </rPr>
          <t xml:space="preserve">
copywriting reduced to 60</t>
        </r>
      </text>
    </comment>
    <comment ref="E69" authorId="1">
      <text>
        <r>
          <rPr>
            <b/>
            <sz val="8"/>
            <color indexed="81"/>
            <rFont val="Tahoma"/>
            <family val="2"/>
          </rPr>
          <t>Trevor:</t>
        </r>
        <r>
          <rPr>
            <sz val="8"/>
            <color indexed="81"/>
            <rFont val="Tahoma"/>
            <family val="2"/>
          </rPr>
          <t xml:space="preserve">
copywriting 2 hours per customer</t>
        </r>
      </text>
    </comment>
    <comment ref="F69" authorId="1">
      <text>
        <r>
          <rPr>
            <b/>
            <sz val="8"/>
            <color indexed="81"/>
            <rFont val="Tahoma"/>
            <family val="2"/>
          </rPr>
          <t>Trevor:</t>
        </r>
        <r>
          <rPr>
            <sz val="8"/>
            <color indexed="81"/>
            <rFont val="Tahoma"/>
            <family val="2"/>
          </rPr>
          <t xml:space="preserve">
20 mins per campaign OF
(production card, video)</t>
        </r>
      </text>
    </comment>
    <comment ref="H69" authorId="1">
      <text>
        <r>
          <rPr>
            <b/>
            <sz val="8"/>
            <color indexed="81"/>
            <rFont val="Tahoma"/>
            <family val="2"/>
          </rPr>
          <t>Trevor:</t>
        </r>
        <r>
          <rPr>
            <sz val="8"/>
            <color indexed="81"/>
            <rFont val="Tahoma"/>
            <family val="2"/>
          </rPr>
          <t xml:space="preserve">
90 mins per campaign or per customer?</t>
        </r>
      </text>
    </comment>
    <comment ref="I69" authorId="1">
      <text>
        <r>
          <rPr>
            <b/>
            <sz val="8"/>
            <color indexed="81"/>
            <rFont val="Tahoma"/>
            <family val="2"/>
          </rPr>
          <t>Trevor:</t>
        </r>
        <r>
          <rPr>
            <sz val="8"/>
            <color indexed="81"/>
            <rFont val="Tahoma"/>
            <family val="2"/>
          </rPr>
          <t xml:space="preserve">
90 mins per campaign or per customer?</t>
        </r>
      </text>
    </comment>
    <comment ref="F70" authorId="1">
      <text>
        <r>
          <rPr>
            <b/>
            <sz val="8"/>
            <color indexed="81"/>
            <rFont val="Tahoma"/>
            <family val="2"/>
          </rPr>
          <t>Trevor:</t>
        </r>
        <r>
          <rPr>
            <sz val="8"/>
            <color indexed="81"/>
            <rFont val="Tahoma"/>
            <family val="2"/>
          </rPr>
          <t xml:space="preserve">
if no IT support then paper flow, production card, manual flow and follow up with partner</t>
        </r>
      </text>
    </comment>
    <comment ref="H70" authorId="1">
      <text>
        <r>
          <rPr>
            <b/>
            <sz val="8"/>
            <color indexed="81"/>
            <rFont val="Tahoma"/>
            <family val="2"/>
          </rPr>
          <t>Trevor:</t>
        </r>
        <r>
          <rPr>
            <sz val="8"/>
            <color indexed="81"/>
            <rFont val="Tahoma"/>
            <family val="2"/>
          </rPr>
          <t xml:space="preserve">
60 mins per banner</t>
        </r>
      </text>
    </comment>
    <comment ref="I70" authorId="2">
      <text>
        <r>
          <rPr>
            <b/>
            <sz val="9"/>
            <color indexed="81"/>
            <rFont val="Tahoma"/>
            <family val="2"/>
          </rPr>
          <t>Duwijn, Stefan:</t>
        </r>
        <r>
          <rPr>
            <sz val="9"/>
            <color indexed="81"/>
            <rFont val="Tahoma"/>
            <family val="2"/>
          </rPr>
          <t xml:space="preserve">
6 variations</t>
        </r>
      </text>
    </comment>
    <comment ref="K70" authorId="2">
      <text>
        <r>
          <rPr>
            <b/>
            <sz val="9"/>
            <color indexed="81"/>
            <rFont val="Tahoma"/>
            <family val="2"/>
          </rPr>
          <t>Duwijn, Stefan:</t>
        </r>
        <r>
          <rPr>
            <sz val="9"/>
            <color indexed="81"/>
            <rFont val="Tahoma"/>
            <family val="2"/>
          </rPr>
          <t xml:space="preserve">
10 mins for copy to follow</t>
        </r>
      </text>
    </comment>
  </commentList>
</comments>
</file>

<file path=xl/sharedStrings.xml><?xml version="1.0" encoding="utf-8"?>
<sst xmlns="http://schemas.openxmlformats.org/spreadsheetml/2006/main" count="1293" uniqueCount="128">
  <si>
    <t>€15 - €20 per hour</t>
  </si>
  <si>
    <t>IE</t>
  </si>
  <si>
    <t>€25 - €30 per hour</t>
  </si>
  <si>
    <t>BE</t>
  </si>
  <si>
    <t>€10 - €12 per hour</t>
  </si>
  <si>
    <t>PA</t>
  </si>
  <si>
    <t>Outsource costs</t>
  </si>
  <si>
    <t>administration - Top level domains</t>
  </si>
  <si>
    <t>Seo optimiser</t>
  </si>
  <si>
    <t>content collector</t>
  </si>
  <si>
    <t xml:space="preserve">designer </t>
  </si>
  <si>
    <t>graphics skills in bannering - flash etc.</t>
  </si>
  <si>
    <t>copywriting skills</t>
  </si>
  <si>
    <t>Match profile to resources as we need:</t>
  </si>
  <si>
    <t>New Media - application and tools</t>
  </si>
  <si>
    <t>CRM integration - Selligent, workflow, counter e.g. MYSite Support session</t>
  </si>
  <si>
    <t>Automation - end to end processes</t>
  </si>
  <si>
    <t>Automation - integration to FEU</t>
  </si>
  <si>
    <t>Risk</t>
  </si>
  <si>
    <t>Guidelines on Content for home Improvement vertical</t>
  </si>
  <si>
    <t>Training on bookings e.g. schedules, appointments, calendars etc.</t>
  </si>
  <si>
    <t xml:space="preserve"> </t>
  </si>
  <si>
    <t>Training for Customer Service on  in App Advertising</t>
  </si>
  <si>
    <t>Training for Customer Service on  first line support of funnel products</t>
  </si>
  <si>
    <t>Training for Customer Service on MySite Rebundling elements</t>
  </si>
  <si>
    <t>Training for Customer Service on booking tool</t>
  </si>
  <si>
    <t>Training for Customer Service on LBA</t>
  </si>
  <si>
    <t>Graphics flash training</t>
  </si>
  <si>
    <t>Additional costs</t>
  </si>
  <si>
    <t>Total</t>
  </si>
  <si>
    <t>No impact</t>
  </si>
  <si>
    <t>(1.) Assumption that a web scrapping tool would build an initial database of macro heading information in database with an user interface (2.) Content collectors would spend 15 minutes gathering information from individual business websites and updating the database (3.) The database would automatically prescribe the "next" site to update (4.)The database would automatically feed the yellow site, without Operations input (5.) Processing will vary between 15 and 25 minutes depending on the IT solution</t>
  </si>
  <si>
    <t>Outsource opportunity (language) for data collection by call centre</t>
  </si>
  <si>
    <t>Home Verticals</t>
  </si>
  <si>
    <t>MS Support</t>
  </si>
  <si>
    <t>(1.) 50 minutes to answer customer queries and train them on the service. Also to tell them they are active (2.) 70 if there is not an automated CRM scheduling tool (3.) Reminders for all customers (4.) Needs to know how to schedule appointments, calendar, etc.</t>
  </si>
  <si>
    <t>(1.) Order processing from FEU will automatically feed the booking application (2.) If there is manual loading to the booking tool the duration will be 10 minutes</t>
  </si>
  <si>
    <t>180 calls - customer service and reminders</t>
  </si>
  <si>
    <t>Bookings Pro</t>
  </si>
  <si>
    <t>basic booking version is pure self service and no customer support included</t>
  </si>
  <si>
    <t>1080 calls - customer service and reminders</t>
  </si>
  <si>
    <t>Bookings basic</t>
  </si>
  <si>
    <t>Artwork to be supplied by sales. If not, then reject + follow up/chasing by sales support</t>
  </si>
  <si>
    <t>(1.) The video process flow, using XML feeds, will be deployed for all units, where video is sold.  (2.) Graphics would need to create 4 different sizes (3.) Processing will vary between 60 and 90 minutes depending on the IT solution  (4.) There should be an automated workflow  (5.)The database would automatically feed the yellow site, without Operations input</t>
  </si>
  <si>
    <t>(1.) Is loaded as an item of the contract automatically under FEU in each unit and automatically creates a contact, schedule and counter for Operations fulfilment (2.) The degree of automation will vary the processing between 10 and 45 minutes, depending on available XML, items codes reflecting the placement etc. (3.) An automated inventory tool to manage banners.</t>
  </si>
  <si>
    <t>75 minutes                                                           4 variations to MMA standards</t>
  </si>
  <si>
    <t>In App Advertising</t>
  </si>
  <si>
    <t>(1.) The video process flow, using XML feeds, will be deployed for all units, where video is sold.  (2.) Graphics would need to create 6 versions: static + flash version in 3 different sizes (3.) Processing will vary between 60 and 90 minutes depending on the IT solution  (4.) There should be an automated workflow  (5.)The database would automatically feed the yellow site, without Operations input</t>
  </si>
  <si>
    <t>(1.) Is loaded as an item of the contract automatically under FEU in each unit and automatically creates a contact, schedule and counter for Operations fulfilment (2.) The degree of automation will vary the processing between 10 and 45 minutes, depending on available XML, items codes reflecting the placement etc.</t>
  </si>
  <si>
    <t>Six variations of adverts</t>
  </si>
  <si>
    <t>DSP - Ad Network</t>
  </si>
  <si>
    <t>(1.) D43 is  the averaged out number of campaigns  between 3, 12 and 24 (2.) The process times vary due to automation, estimated at 75 minutes  for copywriting (3.) The first copy writing session is in fulfilment, hence the minus one session in the formula (4.) On average Customer Service has to contact or be contacted by 75% of this customer group</t>
  </si>
  <si>
    <t>(1.) In three quarters of the cases an artist or copywriter will have to fulfil, or a quarter is supplied by the customer (2.) The fulfilment takes 90 minutes due graphics work in html also being required in this instance (3.) There is a workflow tool and a site/server to upload finished copy or graphics to.</t>
  </si>
  <si>
    <t>(1.) Is loaded as an item of the contract automatically under FEU in each unit and automatically creates a contact, schedule and counter for Operations fulfilment (2.) 120 minutes copywriting plus 30 mins for video fulfilment (3.) If no automated XML to the LBA platform then campaign data will have to be rekeyed to the LBA platform (20 mins)</t>
  </si>
  <si>
    <t>Column D is the average number of campaigns, 3, 12 or 24 per customer package</t>
  </si>
  <si>
    <t>Rich Media</t>
  </si>
  <si>
    <t>(1.) D42 is  the averaged out number of campaigns  between 3, 12 and 24 (2.) The process times vary due to automation, estimated at 60 minutes for copywriting (3.) The first copy writing session is in fulfilment, hence the minus one session in the formula (4.) The time taken is 60 minutes (4.) On average Customer Service has to contact or be contacted by 75% of this customer group</t>
  </si>
  <si>
    <t>(1.) In three quarters of the cases an artist or copywriter will have to fulfil, or a quarter is supplied by the customer (2.) The fulfilment takes 60 minutes (3.) There is a workflow tool and a site/server to upload finished copy or graphics to.</t>
  </si>
  <si>
    <t>(1.) Is loaded as an item of the contract automatically under FEU in each unit and automatically creates a contact, schedule and counter for Operations fulfilment (2.) 120 minutes for copywriting (3.) if no automated XML to LBA platform then campaign data will have to be keyed ((15 mins)</t>
  </si>
  <si>
    <t>Html</t>
  </si>
  <si>
    <t xml:space="preserve">(1.) D41 is  the averaged out number of campaigns between 3, 12 and 24 (2.) The process times vary due to automation, estimated at 15 minutes for copywriting (3.) The first copy writing session is in fulfilment, hence the minus one session in the formula </t>
  </si>
  <si>
    <t>(1.) Is loaded as an item of the contract automatically under FEU in each unit and automatically creates a contact, schedule and counter for Operations fulfilment (2.) Processing 15 minutes for copywriting (3.) If no automatic XML feed to the LBA platform then campaign data will have to be rekeyed in platform (15 mins)+T12</t>
  </si>
  <si>
    <t>SMS-text</t>
  </si>
  <si>
    <t>Is loaded as an item of the contract automatically under FEU in each unit and automatically creates a contact, schedule and counter for Operations fulfilment and indicates if the products is RON (unsegmented), RON Channel or ROS</t>
  </si>
  <si>
    <t>There are three product variations</t>
  </si>
  <si>
    <t>Location based advertising</t>
  </si>
  <si>
    <t>(1.) Customer Service will receive calls in relation to the Claim your Business initiative (2.) Answering queries and resolution/validation will take 15 minutes on average (3.) There is no verification on any data except for headings changes and certain name verification (as per marketing business case) (3.) Only a quarter of claim your business entities will require Customer Service assistance annually</t>
  </si>
  <si>
    <t>(1.) The claim your business link between the MySite Self serve to Base Data will involve heading or name verification in only 33% of occasions (2.) The manual verification will take 15 minutes on average (3.) There is no verification on any data except for headings changes and certain name verification (as per marketing business case)</t>
  </si>
  <si>
    <t>Claim your business</t>
  </si>
  <si>
    <t>No impact as will be amended by the rep via FEU at point of sale</t>
  </si>
  <si>
    <t>should be done by sales in Self Serve</t>
  </si>
  <si>
    <t>sub-domains</t>
  </si>
  <si>
    <t>(1.) Baseline the service to Belgium (2.) Post activation a content person will spend 30 minutes updating the client website. (3. ) This does not involve a customer contact, this is a content play (4.) Only 75% of websites require updating</t>
  </si>
  <si>
    <t>Base lining to Belgium level of service</t>
  </si>
  <si>
    <t>Post-fill</t>
  </si>
  <si>
    <t>(1.) The FEU in each unit will interface with the IP provider registration and allow the rep to prescribe the top level domain at the point of sale. (2.) The rep then sends in the documentation to Operations and we manually administer the registration (3.) Operations email the customer on successful registration</t>
  </si>
  <si>
    <t>TLDs in MS+</t>
  </si>
  <si>
    <t>(1.) Optimiser team takes 30 minutes to update a website (2.) This is the current time used fro SEO in Belgium</t>
  </si>
  <si>
    <t>SEO Differentiation - revision of kws (MS+)</t>
  </si>
  <si>
    <t>(1.) If the sessions are to be addressed ProActively and there is no automation there will be a manual input (2.) The manual call is 10 minutes duration (3.) We need to call a quarter of customer to maintain their run rte of service sessions (to avoid a backlog)</t>
  </si>
  <si>
    <t>(1.) Assumed there is an application allowing for scheduling and counter of remaining session (2.) we sell "up to" five sessions (3.) proactively call three times only, not five. (4.) each session is potentially 60 minute duration, or part thereof.</t>
  </si>
  <si>
    <t>5 my Site support sessions in MS+</t>
  </si>
  <si>
    <t>(1.) The PAC plan requires two customer calls to all MySite paid customers (2.) The call takes 30 minutes</t>
  </si>
  <si>
    <t>(1.) A flat 0.25 FTE is assumed to answer customer calls and queries on these sites</t>
  </si>
  <si>
    <t>(1.) Baseline the service to Belgium (2.) An optimiser/graphics artist will spend 30 minutes updating the client website. (3. ) This does not involve a customer contact, this is a content play (4.) Only 80% of websites require updating.</t>
  </si>
  <si>
    <t>(1.) It takes 10 minutes to process the MySite, check if complete, validate number to BiRD's and pass logo or picture to graphics (2.) All sales will arrive via FEU in each unit (3.) There will be no or minimal manual order fulfilment required (4.) The  link to CSA/MySite creation will be automated by electronic feed  (5.) Content keying of keywords or text lines (10)</t>
  </si>
  <si>
    <t>30mins fulfilment</t>
  </si>
  <si>
    <t>Upgrade from Basic to paying item</t>
  </si>
  <si>
    <t>There should be an automated CRM and workflow, such as Selligent to drive and record customer interaction and product flow</t>
  </si>
  <si>
    <t>There should be an automated CRM and workflow, such as Selligent to drive and record customer interaction and product flow. All reporting should be automated and, at a minimum, monitoring should provide automated alerts (with manual corrective actions). Customer acceptance will be  automated email and automatic uploads t Advertiser  Lounge</t>
  </si>
  <si>
    <t>Is loaded as an item of the contract automatically under FEU in each unit and automatically creates a contact, schedule and counter for Operations fulfilment</t>
  </si>
  <si>
    <t>MySite Rebundling</t>
  </si>
  <si>
    <t>€</t>
  </si>
  <si>
    <t>Average</t>
  </si>
  <si>
    <t>Manual</t>
  </si>
  <si>
    <t>Automation</t>
  </si>
  <si>
    <t>IT Sup</t>
  </si>
  <si>
    <t>Comments/Assumptions</t>
  </si>
  <si>
    <t>Comments</t>
  </si>
  <si>
    <t>Headcount cost</t>
  </si>
  <si>
    <t>ProActive care</t>
  </si>
  <si>
    <t>CS</t>
  </si>
  <si>
    <t>Graphics</t>
  </si>
  <si>
    <t>Order Fulfilment + Third party management</t>
  </si>
  <si>
    <t>avg # of camp per customer</t>
  </si>
  <si>
    <t>Yr. 1 Volumes</t>
  </si>
  <si>
    <t>Initiative</t>
  </si>
  <si>
    <t>Number</t>
  </si>
  <si>
    <t>Portugal</t>
  </si>
  <si>
    <t>There should be an automated CRM and workflow, such as Selligent to drive and record customer interaction and product flow. All reporting should be automated and, at a minimum, monitoring should provide automated alerts (with manual corrective actions). Customer acceptance will be be automated email and automatic uploads t Advertiser  Lounge</t>
  </si>
  <si>
    <t>Assumptions - ProActive Care</t>
  </si>
  <si>
    <t>Assumptions - Customer service</t>
  </si>
  <si>
    <t>Assumptions - Graphics</t>
  </si>
  <si>
    <t>Assumptions - Order Fulfilment and third party providers</t>
  </si>
  <si>
    <t>Ireland</t>
  </si>
  <si>
    <t>(1.) The duration is 30 minutes (2.) There are 5 sessions per customer (3.) Only 40% of sessions will be used (4.) The sessions are not proactively given (5.) 20% reduction by transfer from free changes (current process) to paid changes (proposed)</t>
  </si>
  <si>
    <t>5 sessions per customer</t>
  </si>
  <si>
    <t>quid translations? Does this replaces Beweb or on top of Beweb?                           Six variations of adverts</t>
  </si>
  <si>
    <t>Lead times</t>
  </si>
  <si>
    <t>Need to multiple by campaigns (75%)</t>
  </si>
  <si>
    <t>Translations are required in Belgium</t>
  </si>
  <si>
    <t>(1.) will be done by sales in MySite admin</t>
  </si>
  <si>
    <t>already in place</t>
  </si>
  <si>
    <t>already in place + no increase in number of MS</t>
  </si>
  <si>
    <t>no impact for BE as changes included in MS+. Service or tools will be required to be more efficient</t>
  </si>
  <si>
    <t>(1.) It takes 10 minutes to process the MySite, check if complete, validate the number in As400 and pass logo or picture creation to graphics (2.) All sales will arrive via FEU in each unit (3.) There will be no or minimal manual order fulfilment required (4.) The  link to CSA/MySite creation will be automated by electronic feed</t>
  </si>
  <si>
    <t>30mins</t>
  </si>
  <si>
    <t>Belgium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</si>
</sst>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0.0"/>
    <numFmt numFmtId="166" formatCode="_-* #,##0.00\ _€_-;\-* #,##0.00\ _€_-;_-* &quot;-&quot;??\ _€_-;_-@_-"/>
    <numFmt numFmtId="167" formatCode="_(&quot;$&quot;* #,##0.00_);_(&quot;$&quot;* \(#,##0.00\);_(&quot;$&quot;* &quot;-&quot;??_);_(@_)"/>
  </numFmts>
  <fonts count="4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color indexed="8"/>
      <name val="Calibri"/>
      <family val="2"/>
    </font>
    <font>
      <b/>
      <sz val="11"/>
      <color indexed="8"/>
      <name val="Calibri"/>
      <family val="2"/>
    </font>
    <font>
      <b/>
      <sz val="11"/>
      <name val="Calibri"/>
      <family val="2"/>
    </font>
    <font>
      <sz val="11"/>
      <name val="Calibri"/>
      <family val="2"/>
      <scheme val="minor"/>
    </font>
    <font>
      <sz val="11"/>
      <name val="Calibri"/>
      <family val="2"/>
    </font>
    <font>
      <sz val="11"/>
      <color indexed="30"/>
      <name val="Calibri"/>
      <family val="2"/>
    </font>
    <font>
      <b/>
      <sz val="11"/>
      <name val="Calibri"/>
      <family val="2"/>
      <scheme val="minor"/>
    </font>
    <font>
      <b/>
      <sz val="16"/>
      <color theme="1"/>
      <name val="Calibri"/>
      <family val="2"/>
      <scheme val="minor"/>
    </font>
    <font>
      <b/>
      <sz val="16"/>
      <color theme="1"/>
      <name val="Calibri"/>
      <family val="2"/>
    </font>
    <font>
      <b/>
      <sz val="16"/>
      <name val="Calibri"/>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1"/>
      <color indexed="81"/>
      <name val="Tahoma"/>
      <family val="2"/>
    </font>
    <font>
      <sz val="11"/>
      <color indexed="81"/>
      <name val="Tahoma"/>
      <family val="2"/>
    </font>
    <font>
      <sz val="11"/>
      <color indexed="9"/>
      <name val="Calibri"/>
      <family val="2"/>
    </font>
    <font>
      <sz val="11"/>
      <color indexed="20"/>
      <name val="Calibri"/>
      <family val="2"/>
    </font>
    <font>
      <b/>
      <sz val="9"/>
      <color indexed="0"/>
      <name val="Arial"/>
      <family val="2"/>
    </font>
    <font>
      <b/>
      <sz val="11"/>
      <color indexed="52"/>
      <name val="Calibri"/>
      <family val="2"/>
    </font>
    <font>
      <sz val="9"/>
      <color indexed="0"/>
      <name val="Arial"/>
      <family val="2"/>
    </font>
    <font>
      <b/>
      <sz val="11"/>
      <color indexed="9"/>
      <name val="Calibri"/>
      <family val="2"/>
    </font>
    <font>
      <sz val="12"/>
      <color theme="1"/>
      <name val="Calibri"/>
      <family val="2"/>
      <scheme val="minor"/>
    </font>
    <font>
      <sz val="12"/>
      <color indexed="8"/>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1"/>
      <color rgb="FFFF0000"/>
      <name val="Calibri"/>
      <family val="2"/>
    </font>
    <font>
      <sz val="11"/>
      <color rgb="FFFF0000"/>
      <name val="Calibri"/>
      <family val="2"/>
    </font>
    <font>
      <b/>
      <sz val="16"/>
      <color rgb="FFFF0000"/>
      <name val="Calibri"/>
      <family val="2"/>
      <scheme val="minor"/>
    </font>
  </fonts>
  <fills count="2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6">
    <xf numFmtId="0" fontId="0" fillId="0" borderId="0"/>
    <xf numFmtId="43" fontId="5" fillId="0" borderId="0" applyFont="0" applyFill="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23" borderId="0" applyNumberFormat="0" applyBorder="0" applyAlignment="0" applyProtection="0"/>
    <xf numFmtId="0" fontId="22" fillId="7" borderId="0" applyNumberFormat="0" applyBorder="0" applyAlignment="0" applyProtection="0"/>
    <xf numFmtId="0" fontId="23" fillId="0" borderId="30">
      <alignment horizontal="left"/>
    </xf>
    <xf numFmtId="0" fontId="24" fillId="24" borderId="31" applyNumberFormat="0" applyAlignment="0" applyProtection="0"/>
    <xf numFmtId="0" fontId="25" fillId="0" borderId="0">
      <alignment horizontal="right" vertical="center"/>
    </xf>
    <xf numFmtId="0" fontId="23" fillId="0" borderId="0">
      <alignment horizontal="center" vertical="center" wrapText="1"/>
    </xf>
    <xf numFmtId="0" fontId="26" fillId="25" borderId="32" applyNumberFormat="0" applyAlignment="0" applyProtection="0"/>
    <xf numFmtId="166" fontId="27" fillId="0" borderId="0" applyFont="0" applyFill="0" applyBorder="0" applyAlignment="0" applyProtection="0"/>
    <xf numFmtId="166" fontId="27" fillId="0" borderId="0" applyFont="0" applyFill="0" applyBorder="0" applyAlignment="0" applyProtection="0"/>
    <xf numFmtId="166" fontId="28" fillId="0" borderId="0" applyFont="0" applyFill="0" applyBorder="0" applyAlignment="0" applyProtection="0"/>
    <xf numFmtId="167" fontId="29" fillId="0" borderId="0" applyFont="0" applyFill="0" applyBorder="0" applyAlignment="0" applyProtection="0"/>
    <xf numFmtId="0" fontId="30" fillId="0" borderId="0" applyNumberFormat="0" applyFill="0" applyBorder="0" applyAlignment="0" applyProtection="0"/>
    <xf numFmtId="0" fontId="31" fillId="8" borderId="0" applyNumberFormat="0" applyBorder="0" applyAlignment="0" applyProtection="0"/>
    <xf numFmtId="0" fontId="32" fillId="0" borderId="33" applyNumberFormat="0" applyFill="0" applyAlignment="0" applyProtection="0"/>
    <xf numFmtId="0" fontId="33" fillId="0" borderId="34" applyNumberFormat="0" applyFill="0" applyAlignment="0" applyProtection="0"/>
    <xf numFmtId="0" fontId="34" fillId="0" borderId="35" applyNumberFormat="0" applyFill="0" applyAlignment="0" applyProtection="0"/>
    <xf numFmtId="0" fontId="34" fillId="0" borderId="0" applyNumberFormat="0" applyFill="0" applyBorder="0" applyAlignment="0" applyProtection="0"/>
    <xf numFmtId="0" fontId="35" fillId="11" borderId="31" applyNumberFormat="0" applyAlignment="0" applyProtection="0"/>
    <xf numFmtId="0" fontId="36" fillId="0" borderId="36" applyNumberFormat="0" applyFill="0" applyAlignment="0" applyProtection="0"/>
    <xf numFmtId="0" fontId="37" fillId="26" borderId="0" applyNumberFormat="0" applyBorder="0" applyAlignment="0" applyProtection="0"/>
    <xf numFmtId="0" fontId="27" fillId="0" borderId="0"/>
    <xf numFmtId="0" fontId="1" fillId="0" borderId="0"/>
    <xf numFmtId="0" fontId="29" fillId="0" borderId="0"/>
    <xf numFmtId="0" fontId="5" fillId="27" borderId="37" applyNumberFormat="0" applyFont="0" applyAlignment="0" applyProtection="0"/>
    <xf numFmtId="0" fontId="38" fillId="24" borderId="38" applyNumberFormat="0" applyAlignment="0" applyProtection="0"/>
    <xf numFmtId="9" fontId="5" fillId="0" borderId="0" applyFont="0" applyFill="0" applyBorder="0" applyAlignment="0" applyProtection="0"/>
    <xf numFmtId="9" fontId="27" fillId="0" borderId="0" applyFont="0" applyFill="0" applyBorder="0" applyAlignment="0" applyProtection="0"/>
    <xf numFmtId="0" fontId="25" fillId="0" borderId="0">
      <alignment horizontal="left" vertical="center" wrapText="1"/>
    </xf>
    <xf numFmtId="0" fontId="39" fillId="0" borderId="0" applyNumberFormat="0" applyFill="0" applyBorder="0" applyAlignment="0" applyProtection="0"/>
    <xf numFmtId="0" fontId="6" fillId="0" borderId="39" applyNumberFormat="0" applyFill="0" applyAlignment="0" applyProtection="0"/>
    <xf numFmtId="0" fontId="40" fillId="0" borderId="0" applyNumberFormat="0" applyFill="0" applyBorder="0" applyAlignment="0" applyProtection="0"/>
  </cellStyleXfs>
  <cellXfs count="165">
    <xf numFmtId="0" fontId="0" fillId="0" borderId="0" xfId="0"/>
    <xf numFmtId="0" fontId="0" fillId="0" borderId="0" xfId="0" applyAlignment="1">
      <alignment wrapText="1"/>
    </xf>
    <xf numFmtId="0" fontId="4" fillId="0" borderId="0" xfId="0" applyFont="1"/>
    <xf numFmtId="3" fontId="0" fillId="0" borderId="0" xfId="0" applyNumberFormat="1" applyBorder="1"/>
    <xf numFmtId="3" fontId="0" fillId="0" borderId="1" xfId="0" applyNumberFormat="1" applyBorder="1"/>
    <xf numFmtId="3" fontId="0" fillId="0" borderId="0" xfId="0" applyNumberFormat="1"/>
    <xf numFmtId="2" fontId="0" fillId="0" borderId="0" xfId="0" applyNumberFormat="1"/>
    <xf numFmtId="164" fontId="3" fillId="0" borderId="1" xfId="1" applyNumberFormat="1" applyFont="1" applyBorder="1"/>
    <xf numFmtId="2" fontId="3" fillId="0" borderId="1" xfId="0" applyNumberFormat="1" applyFont="1" applyBorder="1"/>
    <xf numFmtId="0" fontId="3" fillId="0" borderId="0" xfId="0" applyFont="1"/>
    <xf numFmtId="3" fontId="6" fillId="0" borderId="2" xfId="0" applyNumberFormat="1" applyFont="1" applyBorder="1"/>
    <xf numFmtId="2" fontId="7" fillId="0" borderId="3" xfId="0" applyNumberFormat="1" applyFont="1" applyBorder="1"/>
    <xf numFmtId="0" fontId="8" fillId="0" borderId="0" xfId="0" applyFont="1"/>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8" fillId="3" borderId="7" xfId="0" applyFont="1" applyFill="1" applyBorder="1" applyAlignment="1">
      <alignment vertical="top" wrapText="1"/>
    </xf>
    <xf numFmtId="3" fontId="6" fillId="0" borderId="1" xfId="0" applyNumberFormat="1" applyFont="1" applyBorder="1"/>
    <xf numFmtId="2" fontId="7" fillId="0" borderId="8" xfId="0" applyNumberFormat="1" applyFont="1" applyBorder="1"/>
    <xf numFmtId="2" fontId="9" fillId="0" borderId="9" xfId="0" applyNumberFormat="1" applyFont="1" applyBorder="1"/>
    <xf numFmtId="2" fontId="9" fillId="0" borderId="6" xfId="0" applyNumberFormat="1" applyFont="1" applyBorder="1"/>
    <xf numFmtId="0" fontId="8" fillId="0" borderId="5" xfId="0" applyFont="1" applyBorder="1"/>
    <xf numFmtId="0" fontId="8" fillId="0" borderId="6" xfId="0" applyFont="1" applyBorder="1"/>
    <xf numFmtId="0" fontId="0" fillId="0" borderId="7" xfId="0" applyBorder="1"/>
    <xf numFmtId="0" fontId="0" fillId="0" borderId="9" xfId="0" applyBorder="1" applyAlignment="1">
      <alignment horizontal="center"/>
    </xf>
    <xf numFmtId="3" fontId="6" fillId="0" borderId="10" xfId="0" applyNumberFormat="1" applyFont="1" applyBorder="1"/>
    <xf numFmtId="3" fontId="6" fillId="0" borderId="9" xfId="0" applyNumberFormat="1" applyFont="1" applyBorder="1"/>
    <xf numFmtId="2" fontId="9" fillId="0" borderId="9" xfId="0" applyNumberFormat="1" applyFont="1" applyFill="1" applyBorder="1"/>
    <xf numFmtId="2" fontId="9" fillId="0" borderId="6" xfId="0" applyNumberFormat="1" applyFont="1" applyFill="1" applyBorder="1"/>
    <xf numFmtId="0" fontId="8" fillId="0" borderId="5" xfId="0" applyFont="1" applyFill="1" applyBorder="1"/>
    <xf numFmtId="0" fontId="9" fillId="2" borderId="11" xfId="0" applyFont="1" applyFill="1" applyBorder="1" applyAlignment="1">
      <alignment vertical="top" wrapText="1"/>
    </xf>
    <xf numFmtId="0" fontId="8" fillId="2" borderId="9" xfId="0" applyFont="1" applyFill="1" applyBorder="1" applyAlignment="1">
      <alignment vertical="top" wrapText="1"/>
    </xf>
    <xf numFmtId="0" fontId="8" fillId="3" borderId="9" xfId="0" applyFont="1" applyFill="1" applyBorder="1" applyAlignment="1">
      <alignment vertical="top" wrapText="1"/>
    </xf>
    <xf numFmtId="0" fontId="9" fillId="3" borderId="9" xfId="0" applyFont="1" applyFill="1" applyBorder="1" applyAlignment="1">
      <alignment vertical="top" wrapText="1"/>
    </xf>
    <xf numFmtId="0" fontId="9" fillId="0" borderId="6" xfId="0" applyFont="1" applyFill="1" applyBorder="1"/>
    <xf numFmtId="0" fontId="9" fillId="0" borderId="6" xfId="0" applyFont="1" applyBorder="1"/>
    <xf numFmtId="0" fontId="9" fillId="0" borderId="7" xfId="0" applyFont="1" applyFill="1" applyBorder="1"/>
    <xf numFmtId="0" fontId="9" fillId="0" borderId="9" xfId="0" applyFont="1" applyBorder="1" applyAlignment="1">
      <alignment horizontal="center"/>
    </xf>
    <xf numFmtId="0" fontId="9" fillId="2" borderId="9" xfId="0" applyFont="1" applyFill="1" applyBorder="1" applyAlignment="1">
      <alignment vertical="top" wrapText="1"/>
    </xf>
    <xf numFmtId="0" fontId="9" fillId="3" borderId="7" xfId="0" applyFont="1" applyFill="1" applyBorder="1" applyAlignment="1">
      <alignment vertical="top" wrapText="1"/>
    </xf>
    <xf numFmtId="0" fontId="7" fillId="0" borderId="8" xfId="0" applyFont="1" applyBorder="1"/>
    <xf numFmtId="2" fontId="9" fillId="0" borderId="8" xfId="0" applyNumberFormat="1" applyFont="1" applyFill="1" applyBorder="1"/>
    <xf numFmtId="165" fontId="9" fillId="0" borderId="8" xfId="0" applyNumberFormat="1" applyFont="1" applyFill="1" applyBorder="1"/>
    <xf numFmtId="0" fontId="10" fillId="2" borderId="11" xfId="0" applyFont="1" applyFill="1" applyBorder="1" applyAlignment="1">
      <alignment vertical="top" wrapText="1"/>
    </xf>
    <xf numFmtId="0" fontId="10" fillId="2" borderId="9" xfId="0" applyFont="1" applyFill="1" applyBorder="1" applyAlignment="1">
      <alignment vertical="top" wrapText="1"/>
    </xf>
    <xf numFmtId="3" fontId="6" fillId="0" borderId="6" xfId="0" applyNumberFormat="1" applyFont="1" applyBorder="1"/>
    <xf numFmtId="2" fontId="7" fillId="0" borderId="9" xfId="0" applyNumberFormat="1" applyFont="1" applyBorder="1"/>
    <xf numFmtId="2" fontId="7" fillId="0" borderId="9" xfId="0" applyNumberFormat="1" applyFont="1" applyFill="1" applyBorder="1"/>
    <xf numFmtId="2" fontId="7" fillId="0" borderId="6" xfId="0" applyNumberFormat="1" applyFont="1" applyFill="1" applyBorder="1"/>
    <xf numFmtId="2" fontId="7" fillId="0" borderId="8" xfId="0" applyNumberFormat="1" applyFont="1" applyFill="1" applyBorder="1"/>
    <xf numFmtId="0" fontId="9" fillId="0" borderId="8" xfId="0" applyFont="1" applyFill="1" applyBorder="1"/>
    <xf numFmtId="0" fontId="0" fillId="3" borderId="7" xfId="0" applyFill="1" applyBorder="1" applyAlignment="1">
      <alignment vertical="top" wrapText="1"/>
    </xf>
    <xf numFmtId="2" fontId="8" fillId="0" borderId="9" xfId="0" applyNumberFormat="1" applyFont="1" applyBorder="1"/>
    <xf numFmtId="2" fontId="8" fillId="0" borderId="6" xfId="0" applyNumberFormat="1" applyFont="1" applyBorder="1"/>
    <xf numFmtId="2" fontId="8" fillId="0" borderId="5" xfId="0" applyNumberFormat="1" applyFont="1" applyBorder="1"/>
    <xf numFmtId="2" fontId="8" fillId="0" borderId="8" xfId="0" applyNumberFormat="1" applyFont="1" applyBorder="1"/>
    <xf numFmtId="0" fontId="8" fillId="0" borderId="8" xfId="0" applyFont="1" applyBorder="1"/>
    <xf numFmtId="0" fontId="8" fillId="0" borderId="7" xfId="0" applyFont="1" applyBorder="1" applyAlignment="1">
      <alignment horizontal="left" indent="1"/>
    </xf>
    <xf numFmtId="2" fontId="8" fillId="0" borderId="9" xfId="0" applyNumberFormat="1" applyFont="1" applyFill="1" applyBorder="1"/>
    <xf numFmtId="2" fontId="8" fillId="0" borderId="6" xfId="0" applyNumberFormat="1" applyFont="1" applyFill="1" applyBorder="1"/>
    <xf numFmtId="2" fontId="8" fillId="0" borderId="5" xfId="0" applyNumberFormat="1" applyFont="1" applyFill="1" applyBorder="1"/>
    <xf numFmtId="2" fontId="8" fillId="0" borderId="8" xfId="0" applyNumberFormat="1" applyFont="1" applyFill="1" applyBorder="1"/>
    <xf numFmtId="0" fontId="8" fillId="0" borderId="8" xfId="0" applyFont="1" applyFill="1" applyBorder="1"/>
    <xf numFmtId="0" fontId="9" fillId="4" borderId="6" xfId="0" applyFont="1" applyFill="1" applyBorder="1"/>
    <xf numFmtId="0" fontId="0" fillId="0" borderId="7" xfId="0" applyBorder="1" applyAlignment="1">
      <alignment horizontal="left" indent="1"/>
    </xf>
    <xf numFmtId="0" fontId="0" fillId="2" borderId="9" xfId="0" applyFill="1" applyBorder="1" applyAlignment="1">
      <alignment vertical="top" wrapText="1"/>
    </xf>
    <xf numFmtId="0" fontId="0" fillId="2" borderId="12" xfId="0" applyFill="1" applyBorder="1" applyAlignment="1">
      <alignment vertical="top" wrapText="1"/>
    </xf>
    <xf numFmtId="0" fontId="0" fillId="2" borderId="11" xfId="0" applyFill="1" applyBorder="1" applyAlignment="1">
      <alignment vertical="top" wrapText="1"/>
    </xf>
    <xf numFmtId="2" fontId="11" fillId="0" borderId="6" xfId="0" applyNumberFormat="1" applyFont="1" applyBorder="1"/>
    <xf numFmtId="0" fontId="0" fillId="0" borderId="13" xfId="0" applyBorder="1" applyAlignment="1">
      <alignment wrapText="1"/>
    </xf>
    <xf numFmtId="0" fontId="6" fillId="0" borderId="14" xfId="0" applyFont="1" applyBorder="1" applyAlignment="1">
      <alignment horizontal="center"/>
    </xf>
    <xf numFmtId="0" fontId="6" fillId="0" borderId="8" xfId="0" applyFont="1" applyBorder="1" applyAlignment="1">
      <alignment horizontal="center"/>
    </xf>
    <xf numFmtId="0" fontId="0" fillId="0" borderId="6" xfId="0" applyBorder="1" applyAlignment="1">
      <alignment horizontal="center"/>
    </xf>
    <xf numFmtId="0" fontId="6" fillId="0" borderId="15" xfId="0" applyFont="1" applyFill="1" applyBorder="1" applyAlignment="1">
      <alignment horizontal="center" wrapText="1"/>
    </xf>
    <xf numFmtId="0" fontId="6" fillId="0" borderId="16" xfId="0" applyFont="1" applyBorder="1" applyAlignment="1">
      <alignment horizontal="center"/>
    </xf>
    <xf numFmtId="0" fontId="6" fillId="0" borderId="17" xfId="0" applyFont="1" applyBorder="1" applyAlignment="1">
      <alignment horizontal="center"/>
    </xf>
    <xf numFmtId="0" fontId="0" fillId="0" borderId="23" xfId="0" applyBorder="1" applyAlignment="1">
      <alignment horizontal="center" wrapText="1"/>
    </xf>
    <xf numFmtId="0" fontId="0" fillId="0" borderId="23" xfId="0" applyBorder="1" applyAlignment="1">
      <alignment horizontal="center"/>
    </xf>
    <xf numFmtId="0" fontId="0" fillId="0" borderId="24" xfId="0" applyBorder="1" applyAlignment="1">
      <alignment wrapText="1"/>
    </xf>
    <xf numFmtId="0" fontId="0" fillId="0" borderId="25" xfId="0" applyBorder="1" applyAlignment="1">
      <alignment horizontal="center"/>
    </xf>
    <xf numFmtId="2" fontId="6" fillId="0" borderId="0" xfId="0" applyNumberFormat="1" applyFont="1" applyBorder="1"/>
    <xf numFmtId="2" fontId="7" fillId="0" borderId="0" xfId="0" applyNumberFormat="1" applyFont="1" applyBorder="1"/>
    <xf numFmtId="2" fontId="9" fillId="5" borderId="8" xfId="0" applyNumberFormat="1" applyFont="1" applyFill="1" applyBorder="1"/>
    <xf numFmtId="165" fontId="9" fillId="5" borderId="8" xfId="0" applyNumberFormat="1" applyFont="1" applyFill="1" applyBorder="1"/>
    <xf numFmtId="2" fontId="7" fillId="0" borderId="6" xfId="0" applyNumberFormat="1" applyFont="1" applyBorder="1"/>
    <xf numFmtId="0" fontId="9" fillId="0" borderId="8" xfId="0" applyFont="1" applyBorder="1"/>
    <xf numFmtId="3" fontId="8" fillId="0" borderId="6" xfId="0" applyNumberFormat="1" applyFont="1" applyBorder="1"/>
    <xf numFmtId="0" fontId="0" fillId="0" borderId="15" xfId="0" applyBorder="1" applyAlignment="1">
      <alignment wrapText="1"/>
    </xf>
    <xf numFmtId="0" fontId="0" fillId="0" borderId="27" xfId="0" applyBorder="1" applyAlignment="1">
      <alignment wrapText="1"/>
    </xf>
    <xf numFmtId="0" fontId="0" fillId="0" borderId="0" xfId="0" applyBorder="1" applyAlignment="1">
      <alignment wrapText="1"/>
    </xf>
    <xf numFmtId="0" fontId="6" fillId="0" borderId="9" xfId="0" applyFont="1" applyBorder="1" applyAlignment="1">
      <alignment horizontal="center"/>
    </xf>
    <xf numFmtId="0" fontId="6" fillId="0" borderId="27" xfId="0" applyFont="1" applyFill="1" applyBorder="1" applyAlignment="1">
      <alignment horizontal="center" wrapText="1"/>
    </xf>
    <xf numFmtId="0" fontId="0" fillId="0" borderId="28" xfId="0" applyBorder="1" applyAlignment="1">
      <alignment wrapText="1"/>
    </xf>
    <xf numFmtId="0" fontId="0" fillId="0" borderId="29" xfId="0" applyBorder="1" applyAlignment="1">
      <alignment wrapText="1"/>
    </xf>
    <xf numFmtId="3" fontId="6" fillId="0" borderId="9" xfId="0" applyNumberFormat="1" applyFont="1" applyBorder="1" applyAlignment="1">
      <alignment vertical="top"/>
    </xf>
    <xf numFmtId="2" fontId="7" fillId="0" borderId="8" xfId="0" applyNumberFormat="1" applyFont="1" applyBorder="1" applyAlignment="1">
      <alignment vertical="top"/>
    </xf>
    <xf numFmtId="2" fontId="9" fillId="0" borderId="9" xfId="0" applyNumberFormat="1" applyFont="1" applyBorder="1" applyAlignment="1">
      <alignment vertical="top"/>
    </xf>
    <xf numFmtId="2" fontId="9" fillId="0" borderId="6" xfId="0" applyNumberFormat="1"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12" fillId="0" borderId="7" xfId="0" applyFont="1" applyBorder="1" applyAlignment="1">
      <alignment vertical="top"/>
    </xf>
    <xf numFmtId="0" fontId="0" fillId="0" borderId="9" xfId="0" applyBorder="1" applyAlignment="1">
      <alignment horizontal="center" vertical="top"/>
    </xf>
    <xf numFmtId="0" fontId="9" fillId="0" borderId="6" xfId="0" applyFont="1" applyBorder="1" applyAlignment="1">
      <alignment vertical="top"/>
    </xf>
    <xf numFmtId="0" fontId="13" fillId="0" borderId="7" xfId="0" applyFont="1" applyFill="1" applyBorder="1" applyAlignment="1">
      <alignment vertical="top"/>
    </xf>
    <xf numFmtId="0" fontId="9" fillId="0" borderId="9" xfId="0" applyFont="1" applyBorder="1" applyAlignment="1">
      <alignment horizontal="center" vertical="top"/>
    </xf>
    <xf numFmtId="0" fontId="7" fillId="0" borderId="8" xfId="0" applyFont="1" applyBorder="1" applyAlignment="1">
      <alignment vertical="top"/>
    </xf>
    <xf numFmtId="2" fontId="9" fillId="5" borderId="8" xfId="0" applyNumberFormat="1" applyFont="1" applyFill="1" applyBorder="1" applyAlignment="1">
      <alignment vertical="top"/>
    </xf>
    <xf numFmtId="2" fontId="9" fillId="0" borderId="8" xfId="0" applyNumberFormat="1" applyFont="1" applyFill="1" applyBorder="1" applyAlignment="1">
      <alignment vertical="top"/>
    </xf>
    <xf numFmtId="165" fontId="9" fillId="5" borderId="8" xfId="0" applyNumberFormat="1" applyFont="1" applyFill="1" applyBorder="1" applyAlignment="1">
      <alignment vertical="top"/>
    </xf>
    <xf numFmtId="0" fontId="9" fillId="0" borderId="7" xfId="0" applyFont="1" applyFill="1" applyBorder="1" applyAlignment="1">
      <alignment vertical="top"/>
    </xf>
    <xf numFmtId="2" fontId="7" fillId="0" borderId="9" xfId="0" applyNumberFormat="1" applyFont="1" applyBorder="1" applyAlignment="1">
      <alignment vertical="top"/>
    </xf>
    <xf numFmtId="2" fontId="7" fillId="0" borderId="6" xfId="0" applyNumberFormat="1" applyFont="1" applyBorder="1" applyAlignment="1">
      <alignment vertical="top"/>
    </xf>
    <xf numFmtId="2" fontId="7" fillId="0" borderId="8" xfId="0" applyNumberFormat="1" applyFont="1" applyFill="1" applyBorder="1" applyAlignment="1">
      <alignment vertical="top"/>
    </xf>
    <xf numFmtId="0" fontId="9" fillId="0" borderId="8" xfId="0" applyFont="1" applyBorder="1" applyAlignment="1">
      <alignment vertical="top"/>
    </xf>
    <xf numFmtId="0" fontId="14" fillId="0" borderId="7" xfId="0" applyFont="1" applyFill="1" applyBorder="1" applyAlignment="1">
      <alignment vertical="top"/>
    </xf>
    <xf numFmtId="2" fontId="8" fillId="0" borderId="9" xfId="0" applyNumberFormat="1" applyFont="1" applyBorder="1" applyAlignment="1">
      <alignment vertical="top"/>
    </xf>
    <xf numFmtId="2" fontId="8" fillId="0" borderId="6" xfId="0" applyNumberFormat="1" applyFont="1" applyBorder="1" applyAlignment="1">
      <alignment vertical="top"/>
    </xf>
    <xf numFmtId="2" fontId="8" fillId="0" borderId="5" xfId="0" applyNumberFormat="1" applyFont="1" applyBorder="1" applyAlignment="1">
      <alignment vertical="top"/>
    </xf>
    <xf numFmtId="2" fontId="8" fillId="0" borderId="8" xfId="0" applyNumberFormat="1" applyFont="1" applyBorder="1" applyAlignment="1">
      <alignment vertical="top"/>
    </xf>
    <xf numFmtId="0" fontId="8" fillId="0" borderId="8" xfId="0" applyFont="1" applyBorder="1" applyAlignment="1">
      <alignment vertical="top"/>
    </xf>
    <xf numFmtId="3" fontId="8" fillId="0" borderId="6" xfId="0" applyNumberFormat="1" applyFont="1" applyBorder="1" applyAlignment="1">
      <alignment vertical="top"/>
    </xf>
    <xf numFmtId="0" fontId="8" fillId="0" borderId="7" xfId="0" applyFont="1" applyBorder="1" applyAlignment="1">
      <alignment horizontal="left" vertical="top"/>
    </xf>
    <xf numFmtId="0" fontId="0" fillId="0" borderId="7" xfId="0" applyBorder="1" applyAlignment="1">
      <alignment horizontal="left" vertical="top"/>
    </xf>
    <xf numFmtId="0" fontId="0" fillId="3" borderId="15" xfId="0" applyFill="1" applyBorder="1" applyAlignment="1">
      <alignment vertical="top" wrapText="1"/>
    </xf>
    <xf numFmtId="2" fontId="11" fillId="0" borderId="6" xfId="0" applyNumberFormat="1" applyFont="1" applyBorder="1" applyAlignment="1">
      <alignment vertical="top"/>
    </xf>
    <xf numFmtId="0" fontId="2" fillId="0" borderId="0" xfId="0" applyFont="1"/>
    <xf numFmtId="0" fontId="2" fillId="2" borderId="4"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3" borderId="7" xfId="0" applyFont="1" applyFill="1" applyBorder="1" applyAlignment="1">
      <alignment vertical="top" wrapText="1"/>
    </xf>
    <xf numFmtId="3" fontId="41" fillId="0" borderId="1" xfId="0" applyNumberFormat="1" applyFont="1" applyBorder="1"/>
    <xf numFmtId="2" fontId="41" fillId="0" borderId="8" xfId="0" applyNumberFormat="1" applyFont="1" applyBorder="1"/>
    <xf numFmtId="2" fontId="42" fillId="0" borderId="9" xfId="0" applyNumberFormat="1" applyFont="1" applyBorder="1"/>
    <xf numFmtId="2" fontId="42" fillId="0" borderId="6" xfId="0" applyNumberFormat="1" applyFont="1" applyBorder="1"/>
    <xf numFmtId="0" fontId="2" fillId="0" borderId="5" xfId="0" applyFont="1" applyBorder="1"/>
    <xf numFmtId="0" fontId="2" fillId="0" borderId="6" xfId="0" applyFont="1" applyBorder="1"/>
    <xf numFmtId="0" fontId="2" fillId="0" borderId="7" xfId="0" applyFont="1" applyBorder="1"/>
    <xf numFmtId="0" fontId="2" fillId="0" borderId="9" xfId="0" applyFont="1" applyBorder="1" applyAlignment="1">
      <alignment horizontal="center"/>
    </xf>
    <xf numFmtId="3" fontId="41" fillId="0" borderId="10" xfId="0" applyNumberFormat="1" applyFont="1" applyBorder="1"/>
    <xf numFmtId="3" fontId="41" fillId="0" borderId="9" xfId="0" applyNumberFormat="1" applyFont="1" applyBorder="1"/>
    <xf numFmtId="2" fontId="42" fillId="0" borderId="9" xfId="0" applyNumberFormat="1" applyFont="1" applyFill="1" applyBorder="1"/>
    <xf numFmtId="2" fontId="42" fillId="0" borderId="6" xfId="0" applyNumberFormat="1" applyFont="1" applyFill="1" applyBorder="1"/>
    <xf numFmtId="0" fontId="2" fillId="0" borderId="5" xfId="0" applyFont="1" applyFill="1" applyBorder="1"/>
    <xf numFmtId="3" fontId="9" fillId="0" borderId="6" xfId="0" applyNumberFormat="1" applyFont="1" applyBorder="1"/>
    <xf numFmtId="3" fontId="9" fillId="0" borderId="6" xfId="0" applyNumberFormat="1" applyFont="1" applyBorder="1" applyAlignment="1">
      <alignment vertical="top"/>
    </xf>
    <xf numFmtId="1" fontId="9" fillId="0" borderId="6" xfId="0" applyNumberFormat="1" applyFont="1" applyBorder="1"/>
    <xf numFmtId="3" fontId="41" fillId="0" borderId="9" xfId="0" applyNumberFormat="1" applyFont="1" applyBorder="1" applyAlignment="1">
      <alignment vertical="top"/>
    </xf>
    <xf numFmtId="2" fontId="41" fillId="0" borderId="8" xfId="0" applyNumberFormat="1" applyFont="1" applyBorder="1" applyAlignment="1">
      <alignment vertical="top"/>
    </xf>
    <xf numFmtId="2" fontId="42" fillId="0" borderId="9" xfId="0" applyNumberFormat="1" applyFont="1" applyBorder="1" applyAlignment="1">
      <alignment vertical="top"/>
    </xf>
    <xf numFmtId="2" fontId="42" fillId="0" borderId="6" xfId="0" applyNumberFormat="1"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43" fillId="0" borderId="7" xfId="0" applyFont="1" applyBorder="1" applyAlignment="1">
      <alignment vertical="top"/>
    </xf>
    <xf numFmtId="0" fontId="2" fillId="0" borderId="9" xfId="0" applyFont="1" applyBorder="1" applyAlignment="1">
      <alignment horizontal="center" vertical="top"/>
    </xf>
    <xf numFmtId="0" fontId="0" fillId="0" borderId="26" xfId="0" applyBorder="1" applyAlignment="1">
      <alignment horizontal="center"/>
    </xf>
    <xf numFmtId="0" fontId="0" fillId="0" borderId="23" xfId="0" applyBorder="1" applyAlignment="1">
      <alignment horizontal="center" wrapText="1"/>
    </xf>
    <xf numFmtId="0" fontId="0" fillId="0" borderId="19" xfId="0" applyBorder="1" applyAlignment="1">
      <alignment horizontal="center" wrapText="1"/>
    </xf>
    <xf numFmtId="0" fontId="0" fillId="0" borderId="18" xfId="0" applyBorder="1" applyAlignment="1">
      <alignment horizontal="center" wrapText="1"/>
    </xf>
    <xf numFmtId="0" fontId="0" fillId="0" borderId="23"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18" xfId="0" applyBorder="1" applyAlignment="1">
      <alignment horizontal="center"/>
    </xf>
  </cellXfs>
  <cellStyles count="5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ch" xfId="27"/>
    <cellStyle name="Calculation 2" xfId="28"/>
    <cellStyle name="cell" xfId="29"/>
    <cellStyle name="ch" xfId="30"/>
    <cellStyle name="Check Cell 2" xfId="31"/>
    <cellStyle name="Comma 2" xfId="1"/>
    <cellStyle name="Comma 2 2" xfId="32"/>
    <cellStyle name="Comma 3" xfId="33"/>
    <cellStyle name="Comma 4" xfId="34"/>
    <cellStyle name="Currency 2" xfId="35"/>
    <cellStyle name="Explanatory Text 2" xfId="36"/>
    <cellStyle name="Good 2" xfId="37"/>
    <cellStyle name="Heading 1 2" xfId="38"/>
    <cellStyle name="Heading 2 2" xfId="39"/>
    <cellStyle name="Heading 3 2" xfId="40"/>
    <cellStyle name="Heading 4 2" xfId="41"/>
    <cellStyle name="Input 2" xfId="42"/>
    <cellStyle name="Linked Cell 2" xfId="43"/>
    <cellStyle name="Neutral 2" xfId="44"/>
    <cellStyle name="Normal" xfId="0" builtinId="0"/>
    <cellStyle name="Normal 2" xfId="45"/>
    <cellStyle name="Normal 2 2" xfId="46"/>
    <cellStyle name="Normal 3" xfId="47"/>
    <cellStyle name="Note 2" xfId="48"/>
    <cellStyle name="Output 2" xfId="49"/>
    <cellStyle name="Percent 2" xfId="50"/>
    <cellStyle name="Percent 3" xfId="51"/>
    <cellStyle name="rh" xfId="52"/>
    <cellStyle name="Title 2" xfId="53"/>
    <cellStyle name="Total 2" xfId="54"/>
    <cellStyle name="Warning Text 2" xfId="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3176</xdr:colOff>
      <xdr:row>12</xdr:row>
      <xdr:rowOff>14817</xdr:rowOff>
    </xdr:from>
    <xdr:to>
      <xdr:col>3</xdr:col>
      <xdr:colOff>3176</xdr:colOff>
      <xdr:row>17</xdr:row>
      <xdr:rowOff>5663</xdr:rowOff>
    </xdr:to>
    <xdr:sp macro="" textlink="">
      <xdr:nvSpPr>
        <xdr:cNvPr id="2" name="Right Brace 1"/>
        <xdr:cNvSpPr/>
      </xdr:nvSpPr>
      <xdr:spPr>
        <a:xfrm>
          <a:off x="1831976" y="23008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39</xdr:row>
      <xdr:rowOff>14817</xdr:rowOff>
    </xdr:from>
    <xdr:to>
      <xdr:col>3</xdr:col>
      <xdr:colOff>3176</xdr:colOff>
      <xdr:row>44</xdr:row>
      <xdr:rowOff>5663</xdr:rowOff>
    </xdr:to>
    <xdr:sp macro="" textlink="">
      <xdr:nvSpPr>
        <xdr:cNvPr id="3" name="Right Brace 2"/>
        <xdr:cNvSpPr/>
      </xdr:nvSpPr>
      <xdr:spPr>
        <a:xfrm>
          <a:off x="1831976" y="7444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65</xdr:row>
      <xdr:rowOff>14817</xdr:rowOff>
    </xdr:from>
    <xdr:to>
      <xdr:col>3</xdr:col>
      <xdr:colOff>3176</xdr:colOff>
      <xdr:row>70</xdr:row>
      <xdr:rowOff>5663</xdr:rowOff>
    </xdr:to>
    <xdr:sp macro="" textlink="">
      <xdr:nvSpPr>
        <xdr:cNvPr id="4" name="Right Brace 3"/>
        <xdr:cNvSpPr/>
      </xdr:nvSpPr>
      <xdr:spPr>
        <a:xfrm>
          <a:off x="1831976" y="12397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3176</xdr:colOff>
      <xdr:row>12</xdr:row>
      <xdr:rowOff>14817</xdr:rowOff>
    </xdr:from>
    <xdr:to>
      <xdr:col>3</xdr:col>
      <xdr:colOff>3176</xdr:colOff>
      <xdr:row>17</xdr:row>
      <xdr:rowOff>5663</xdr:rowOff>
    </xdr:to>
    <xdr:sp macro="" textlink="">
      <xdr:nvSpPr>
        <xdr:cNvPr id="2" name="Right Brace 1"/>
        <xdr:cNvSpPr/>
      </xdr:nvSpPr>
      <xdr:spPr>
        <a:xfrm>
          <a:off x="1831976" y="23008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39</xdr:row>
      <xdr:rowOff>14817</xdr:rowOff>
    </xdr:from>
    <xdr:to>
      <xdr:col>3</xdr:col>
      <xdr:colOff>3176</xdr:colOff>
      <xdr:row>44</xdr:row>
      <xdr:rowOff>5663</xdr:rowOff>
    </xdr:to>
    <xdr:sp macro="" textlink="">
      <xdr:nvSpPr>
        <xdr:cNvPr id="3" name="Right Brace 2"/>
        <xdr:cNvSpPr/>
      </xdr:nvSpPr>
      <xdr:spPr>
        <a:xfrm>
          <a:off x="1831976" y="7444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65</xdr:row>
      <xdr:rowOff>14817</xdr:rowOff>
    </xdr:from>
    <xdr:to>
      <xdr:col>3</xdr:col>
      <xdr:colOff>3176</xdr:colOff>
      <xdr:row>70</xdr:row>
      <xdr:rowOff>5663</xdr:rowOff>
    </xdr:to>
    <xdr:sp macro="" textlink="">
      <xdr:nvSpPr>
        <xdr:cNvPr id="4" name="Right Brace 3"/>
        <xdr:cNvSpPr/>
      </xdr:nvSpPr>
      <xdr:spPr>
        <a:xfrm>
          <a:off x="1831976" y="12397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3176</xdr:colOff>
      <xdr:row>12</xdr:row>
      <xdr:rowOff>14817</xdr:rowOff>
    </xdr:from>
    <xdr:to>
      <xdr:col>3</xdr:col>
      <xdr:colOff>3176</xdr:colOff>
      <xdr:row>17</xdr:row>
      <xdr:rowOff>5663</xdr:rowOff>
    </xdr:to>
    <xdr:sp macro="" textlink="">
      <xdr:nvSpPr>
        <xdr:cNvPr id="2" name="Right Brace 1"/>
        <xdr:cNvSpPr/>
      </xdr:nvSpPr>
      <xdr:spPr>
        <a:xfrm>
          <a:off x="1831976" y="23008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39</xdr:row>
      <xdr:rowOff>14817</xdr:rowOff>
    </xdr:from>
    <xdr:to>
      <xdr:col>3</xdr:col>
      <xdr:colOff>3176</xdr:colOff>
      <xdr:row>44</xdr:row>
      <xdr:rowOff>5663</xdr:rowOff>
    </xdr:to>
    <xdr:sp macro="" textlink="">
      <xdr:nvSpPr>
        <xdr:cNvPr id="3" name="Right Brace 2"/>
        <xdr:cNvSpPr/>
      </xdr:nvSpPr>
      <xdr:spPr>
        <a:xfrm>
          <a:off x="1831976" y="7444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3176</xdr:colOff>
      <xdr:row>65</xdr:row>
      <xdr:rowOff>14817</xdr:rowOff>
    </xdr:from>
    <xdr:to>
      <xdr:col>3</xdr:col>
      <xdr:colOff>3176</xdr:colOff>
      <xdr:row>70</xdr:row>
      <xdr:rowOff>5663</xdr:rowOff>
    </xdr:to>
    <xdr:sp macro="" textlink="">
      <xdr:nvSpPr>
        <xdr:cNvPr id="4" name="Right Brace 3"/>
        <xdr:cNvSpPr/>
      </xdr:nvSpPr>
      <xdr:spPr>
        <a:xfrm>
          <a:off x="1831976" y="12397317"/>
          <a:ext cx="0" cy="94334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kevin%20murphy\Local%20Settings\Temporary%20Internet%20Files\Content.Outlook\LKA5O3QB\BCs_summary_vi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mgoncalves\Local%20Settings\Temporary%20Internet%20Files\Content.Outlook\8HETUB2R\Funnel%20products%202012%20(activity)%20with%20assumptions%20KM%20%20SD%20km7-%202605201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_2012"/>
      <sheetName val="OI_2013"/>
      <sheetName val="OI_2014"/>
      <sheetName val="IE_MY_SITE"/>
      <sheetName val="Ad_Network_BE"/>
      <sheetName val="--&gt;Ops"/>
      <sheetName val="Sheet1"/>
      <sheetName val="Three units"/>
      <sheetName val="Volumes"/>
      <sheetName val="--&gt; NM"/>
      <sheetName val="ADV capex"/>
      <sheetName val="ADV opex"/>
      <sheetName val="New Media"/>
      <sheetName val="LBA"/>
      <sheetName val="LBA Tables"/>
      <sheetName val="In-App"/>
      <sheetName val="Ad Network"/>
      <sheetName val="Ad Network Tables"/>
      <sheetName val="MS Rebundling"/>
      <sheetName val="MS Reb tables"/>
      <sheetName val="MS Support"/>
      <sheetName val="MS_Support_tables"/>
      <sheetName val="Vertical"/>
      <sheetName val="vertical_tables"/>
      <sheetName val="Booking"/>
      <sheetName val="Booking_tables"/>
      <sheetName val="Sheet17"/>
    </sheetNames>
    <sheetDataSet>
      <sheetData sheetId="0"/>
      <sheetData sheetId="1">
        <row r="4">
          <cell r="P4">
            <v>775.4</v>
          </cell>
        </row>
        <row r="5">
          <cell r="P5">
            <v>66</v>
          </cell>
        </row>
        <row r="6">
          <cell r="P6">
            <v>143</v>
          </cell>
        </row>
        <row r="8">
          <cell r="P8">
            <v>415</v>
          </cell>
        </row>
        <row r="9">
          <cell r="P9">
            <v>175</v>
          </cell>
        </row>
        <row r="10">
          <cell r="P10">
            <v>225</v>
          </cell>
        </row>
        <row r="12">
          <cell r="P12">
            <v>842.84800000000007</v>
          </cell>
        </row>
        <row r="13">
          <cell r="P13">
            <v>313.5</v>
          </cell>
        </row>
        <row r="14">
          <cell r="P14">
            <v>278.505</v>
          </cell>
        </row>
        <row r="16">
          <cell r="P16">
            <v>660</v>
          </cell>
        </row>
      </sheetData>
      <sheetData sheetId="2">
        <row r="4">
          <cell r="P4">
            <v>814.32</v>
          </cell>
        </row>
        <row r="5">
          <cell r="P5">
            <v>74</v>
          </cell>
        </row>
        <row r="6">
          <cell r="P6">
            <v>156</v>
          </cell>
        </row>
        <row r="8">
          <cell r="P8">
            <v>425</v>
          </cell>
        </row>
        <row r="9">
          <cell r="P9">
            <v>185</v>
          </cell>
        </row>
        <row r="10">
          <cell r="P10">
            <v>230</v>
          </cell>
        </row>
        <row r="12">
          <cell r="P12">
            <v>842.84800000000007</v>
          </cell>
        </row>
        <row r="13">
          <cell r="P13">
            <v>313.5</v>
          </cell>
        </row>
        <row r="14">
          <cell r="P14">
            <v>278.505</v>
          </cell>
        </row>
        <row r="16">
          <cell r="P16">
            <v>660</v>
          </cell>
        </row>
      </sheetData>
      <sheetData sheetId="3">
        <row r="11">
          <cell r="F11">
            <v>200</v>
          </cell>
          <cell r="H11">
            <v>200</v>
          </cell>
        </row>
        <row r="23">
          <cell r="F23">
            <v>1121.4000000000001</v>
          </cell>
          <cell r="H23">
            <v>1248.4079999999999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7">
          <cell r="C7">
            <v>3300.0000000000005</v>
          </cell>
          <cell r="D7">
            <v>3630</v>
          </cell>
          <cell r="E7">
            <v>3630</v>
          </cell>
        </row>
        <row r="16">
          <cell r="C16">
            <v>2000</v>
          </cell>
          <cell r="D16">
            <v>3000</v>
          </cell>
          <cell r="E16">
            <v>3200</v>
          </cell>
        </row>
        <row r="25">
          <cell r="D25">
            <v>3849.9999999999995</v>
          </cell>
          <cell r="E25">
            <v>3849.9999999999995</v>
          </cell>
        </row>
        <row r="26">
          <cell r="D26">
            <v>4.5454545454545456E-2</v>
          </cell>
          <cell r="E26">
            <v>4.5454545454545456E-2</v>
          </cell>
        </row>
      </sheetData>
      <sheetData sheetId="20"/>
      <sheetData sheetId="21">
        <row r="21">
          <cell r="F21">
            <v>4347.3999999999996</v>
          </cell>
          <cell r="G21">
            <v>4564.7700000000004</v>
          </cell>
          <cell r="H21">
            <v>4564.7700000000004</v>
          </cell>
        </row>
      </sheetData>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hree units"/>
      <sheetName val="Volumes"/>
      <sheetName val="Sheet3"/>
    </sheetNames>
    <sheetDataSet>
      <sheetData sheetId="0" refreshError="1"/>
      <sheetData sheetId="1" refreshError="1"/>
      <sheetData sheetId="2">
        <row r="6">
          <cell r="F6">
            <v>6.8000000000000007</v>
          </cell>
        </row>
        <row r="11">
          <cell r="F11">
            <v>7.125</v>
          </cell>
        </row>
        <row r="16">
          <cell r="F16">
            <v>6.3333333333333339</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09"/>
  <sheetViews>
    <sheetView tabSelected="1" topLeftCell="A19" zoomScale="60" zoomScaleNormal="60" workbookViewId="0">
      <selection activeCell="C21" sqref="C21"/>
    </sheetView>
  </sheetViews>
  <sheetFormatPr defaultRowHeight="15" x14ac:dyDescent="0.25"/>
  <cols>
    <col min="2" max="2" width="47" customWidth="1"/>
    <col min="3" max="3" width="12.42578125" customWidth="1"/>
    <col min="4" max="4" width="10.5703125" customWidth="1"/>
    <col min="5" max="5" width="12.42578125" bestFit="1" customWidth="1"/>
    <col min="6" max="6" width="7.85546875" bestFit="1" customWidth="1"/>
    <col min="7" max="7" width="8.28515625" bestFit="1" customWidth="1"/>
    <col min="8" max="8" width="12.42578125" bestFit="1" customWidth="1"/>
    <col min="9" max="9" width="7.85546875" bestFit="1" customWidth="1"/>
    <col min="10" max="10" width="8.28515625" bestFit="1" customWidth="1"/>
    <col min="11" max="11" width="12.42578125" bestFit="1" customWidth="1"/>
    <col min="12" max="12" width="7.85546875" bestFit="1" customWidth="1"/>
    <col min="13" max="13" width="8.28515625" bestFit="1" customWidth="1"/>
    <col min="14" max="14" width="13.42578125" bestFit="1" customWidth="1"/>
    <col min="15" max="15" width="9" bestFit="1" customWidth="1"/>
    <col min="16" max="16" width="9.85546875" bestFit="1" customWidth="1"/>
    <col min="17" max="17" width="8.42578125" bestFit="1" customWidth="1"/>
    <col min="18" max="18" width="21.85546875" bestFit="1" customWidth="1"/>
    <col min="19" max="19" width="39.28515625" style="1" customWidth="1"/>
    <col min="20" max="20" width="53.85546875" style="1" customWidth="1"/>
    <col min="21" max="23" width="40" style="1" customWidth="1"/>
    <col min="258" max="258" width="47" customWidth="1"/>
    <col min="259" max="259" width="12.42578125" customWidth="1"/>
    <col min="260" max="260" width="10.5703125" customWidth="1"/>
    <col min="261" max="261" width="12.42578125" bestFit="1" customWidth="1"/>
    <col min="262" max="262" width="7.85546875" bestFit="1" customWidth="1"/>
    <col min="263" max="263" width="8.28515625" bestFit="1" customWidth="1"/>
    <col min="264" max="264" width="12.42578125" bestFit="1" customWidth="1"/>
    <col min="265" max="265" width="7.85546875" bestFit="1" customWidth="1"/>
    <col min="266" max="266" width="8.28515625" bestFit="1" customWidth="1"/>
    <col min="267" max="267" width="12.42578125" bestFit="1" customWidth="1"/>
    <col min="268" max="268" width="7.85546875" bestFit="1" customWidth="1"/>
    <col min="269" max="269" width="8.28515625" bestFit="1" customWidth="1"/>
    <col min="270" max="270" width="13.42578125" bestFit="1" customWidth="1"/>
    <col min="271" max="271" width="9" bestFit="1" customWidth="1"/>
    <col min="272" max="272" width="9.85546875" bestFit="1" customWidth="1"/>
    <col min="273" max="273" width="8.42578125" bestFit="1" customWidth="1"/>
    <col min="274" max="274" width="21.85546875" bestFit="1" customWidth="1"/>
    <col min="275" max="275" width="39.28515625" customWidth="1"/>
    <col min="276" max="276" width="53.85546875" customWidth="1"/>
    <col min="277" max="279" width="40" customWidth="1"/>
    <col min="514" max="514" width="47" customWidth="1"/>
    <col min="515" max="515" width="12.42578125" customWidth="1"/>
    <col min="516" max="516" width="10.5703125" customWidth="1"/>
    <col min="517" max="517" width="12.42578125" bestFit="1" customWidth="1"/>
    <col min="518" max="518" width="7.85546875" bestFit="1" customWidth="1"/>
    <col min="519" max="519" width="8.28515625" bestFit="1" customWidth="1"/>
    <col min="520" max="520" width="12.42578125" bestFit="1" customWidth="1"/>
    <col min="521" max="521" width="7.85546875" bestFit="1" customWidth="1"/>
    <col min="522" max="522" width="8.28515625" bestFit="1" customWidth="1"/>
    <col min="523" max="523" width="12.42578125" bestFit="1" customWidth="1"/>
    <col min="524" max="524" width="7.85546875" bestFit="1" customWidth="1"/>
    <col min="525" max="525" width="8.28515625" bestFit="1" customWidth="1"/>
    <col min="526" max="526" width="13.42578125" bestFit="1" customWidth="1"/>
    <col min="527" max="527" width="9" bestFit="1" customWidth="1"/>
    <col min="528" max="528" width="9.85546875" bestFit="1" customWidth="1"/>
    <col min="529" max="529" width="8.42578125" bestFit="1" customWidth="1"/>
    <col min="530" max="530" width="21.85546875" bestFit="1" customWidth="1"/>
    <col min="531" max="531" width="39.28515625" customWidth="1"/>
    <col min="532" max="532" width="53.85546875" customWidth="1"/>
    <col min="533" max="535" width="40" customWidth="1"/>
    <col min="770" max="770" width="47" customWidth="1"/>
    <col min="771" max="771" width="12.42578125" customWidth="1"/>
    <col min="772" max="772" width="10.5703125" customWidth="1"/>
    <col min="773" max="773" width="12.42578125" bestFit="1" customWidth="1"/>
    <col min="774" max="774" width="7.85546875" bestFit="1" customWidth="1"/>
    <col min="775" max="775" width="8.28515625" bestFit="1" customWidth="1"/>
    <col min="776" max="776" width="12.42578125" bestFit="1" customWidth="1"/>
    <col min="777" max="777" width="7.85546875" bestFit="1" customWidth="1"/>
    <col min="778" max="778" width="8.28515625" bestFit="1" customWidth="1"/>
    <col min="779" max="779" width="12.42578125" bestFit="1" customWidth="1"/>
    <col min="780" max="780" width="7.85546875" bestFit="1" customWidth="1"/>
    <col min="781" max="781" width="8.28515625" bestFit="1" customWidth="1"/>
    <col min="782" max="782" width="13.42578125" bestFit="1" customWidth="1"/>
    <col min="783" max="783" width="9" bestFit="1" customWidth="1"/>
    <col min="784" max="784" width="9.85546875" bestFit="1" customWidth="1"/>
    <col min="785" max="785" width="8.42578125" bestFit="1" customWidth="1"/>
    <col min="786" max="786" width="21.85546875" bestFit="1" customWidth="1"/>
    <col min="787" max="787" width="39.28515625" customWidth="1"/>
    <col min="788" max="788" width="53.85546875" customWidth="1"/>
    <col min="789" max="791" width="40" customWidth="1"/>
    <col min="1026" max="1026" width="47" customWidth="1"/>
    <col min="1027" max="1027" width="12.42578125" customWidth="1"/>
    <col min="1028" max="1028" width="10.5703125" customWidth="1"/>
    <col min="1029" max="1029" width="12.42578125" bestFit="1" customWidth="1"/>
    <col min="1030" max="1030" width="7.85546875" bestFit="1" customWidth="1"/>
    <col min="1031" max="1031" width="8.28515625" bestFit="1" customWidth="1"/>
    <col min="1032" max="1032" width="12.42578125" bestFit="1" customWidth="1"/>
    <col min="1033" max="1033" width="7.85546875" bestFit="1" customWidth="1"/>
    <col min="1034" max="1034" width="8.28515625" bestFit="1" customWidth="1"/>
    <col min="1035" max="1035" width="12.42578125" bestFit="1" customWidth="1"/>
    <col min="1036" max="1036" width="7.85546875" bestFit="1" customWidth="1"/>
    <col min="1037" max="1037" width="8.28515625" bestFit="1" customWidth="1"/>
    <col min="1038" max="1038" width="13.42578125" bestFit="1" customWidth="1"/>
    <col min="1039" max="1039" width="9" bestFit="1" customWidth="1"/>
    <col min="1040" max="1040" width="9.85546875" bestFit="1" customWidth="1"/>
    <col min="1041" max="1041" width="8.42578125" bestFit="1" customWidth="1"/>
    <col min="1042" max="1042" width="21.85546875" bestFit="1" customWidth="1"/>
    <col min="1043" max="1043" width="39.28515625" customWidth="1"/>
    <col min="1044" max="1044" width="53.85546875" customWidth="1"/>
    <col min="1045" max="1047" width="40" customWidth="1"/>
    <col min="1282" max="1282" width="47" customWidth="1"/>
    <col min="1283" max="1283" width="12.42578125" customWidth="1"/>
    <col min="1284" max="1284" width="10.5703125" customWidth="1"/>
    <col min="1285" max="1285" width="12.42578125" bestFit="1" customWidth="1"/>
    <col min="1286" max="1286" width="7.85546875" bestFit="1" customWidth="1"/>
    <col min="1287" max="1287" width="8.28515625" bestFit="1" customWidth="1"/>
    <col min="1288" max="1288" width="12.42578125" bestFit="1" customWidth="1"/>
    <col min="1289" max="1289" width="7.85546875" bestFit="1" customWidth="1"/>
    <col min="1290" max="1290" width="8.28515625" bestFit="1" customWidth="1"/>
    <col min="1291" max="1291" width="12.42578125" bestFit="1" customWidth="1"/>
    <col min="1292" max="1292" width="7.85546875" bestFit="1" customWidth="1"/>
    <col min="1293" max="1293" width="8.28515625" bestFit="1" customWidth="1"/>
    <col min="1294" max="1294" width="13.42578125" bestFit="1" customWidth="1"/>
    <col min="1295" max="1295" width="9" bestFit="1" customWidth="1"/>
    <col min="1296" max="1296" width="9.85546875" bestFit="1" customWidth="1"/>
    <col min="1297" max="1297" width="8.42578125" bestFit="1" customWidth="1"/>
    <col min="1298" max="1298" width="21.85546875" bestFit="1" customWidth="1"/>
    <col min="1299" max="1299" width="39.28515625" customWidth="1"/>
    <col min="1300" max="1300" width="53.85546875" customWidth="1"/>
    <col min="1301" max="1303" width="40" customWidth="1"/>
    <col min="1538" max="1538" width="47" customWidth="1"/>
    <col min="1539" max="1539" width="12.42578125" customWidth="1"/>
    <col min="1540" max="1540" width="10.5703125" customWidth="1"/>
    <col min="1541" max="1541" width="12.42578125" bestFit="1" customWidth="1"/>
    <col min="1542" max="1542" width="7.85546875" bestFit="1" customWidth="1"/>
    <col min="1543" max="1543" width="8.28515625" bestFit="1" customWidth="1"/>
    <col min="1544" max="1544" width="12.42578125" bestFit="1" customWidth="1"/>
    <col min="1545" max="1545" width="7.85546875" bestFit="1" customWidth="1"/>
    <col min="1546" max="1546" width="8.28515625" bestFit="1" customWidth="1"/>
    <col min="1547" max="1547" width="12.42578125" bestFit="1" customWidth="1"/>
    <col min="1548" max="1548" width="7.85546875" bestFit="1" customWidth="1"/>
    <col min="1549" max="1549" width="8.28515625" bestFit="1" customWidth="1"/>
    <col min="1550" max="1550" width="13.42578125" bestFit="1" customWidth="1"/>
    <col min="1551" max="1551" width="9" bestFit="1" customWidth="1"/>
    <col min="1552" max="1552" width="9.85546875" bestFit="1" customWidth="1"/>
    <col min="1553" max="1553" width="8.42578125" bestFit="1" customWidth="1"/>
    <col min="1554" max="1554" width="21.85546875" bestFit="1" customWidth="1"/>
    <col min="1555" max="1555" width="39.28515625" customWidth="1"/>
    <col min="1556" max="1556" width="53.85546875" customWidth="1"/>
    <col min="1557" max="1559" width="40" customWidth="1"/>
    <col min="1794" max="1794" width="47" customWidth="1"/>
    <col min="1795" max="1795" width="12.42578125" customWidth="1"/>
    <col min="1796" max="1796" width="10.5703125" customWidth="1"/>
    <col min="1797" max="1797" width="12.42578125" bestFit="1" customWidth="1"/>
    <col min="1798" max="1798" width="7.85546875" bestFit="1" customWidth="1"/>
    <col min="1799" max="1799" width="8.28515625" bestFit="1" customWidth="1"/>
    <col min="1800" max="1800" width="12.42578125" bestFit="1" customWidth="1"/>
    <col min="1801" max="1801" width="7.85546875" bestFit="1" customWidth="1"/>
    <col min="1802" max="1802" width="8.28515625" bestFit="1" customWidth="1"/>
    <col min="1803" max="1803" width="12.42578125" bestFit="1" customWidth="1"/>
    <col min="1804" max="1804" width="7.85546875" bestFit="1" customWidth="1"/>
    <col min="1805" max="1805" width="8.28515625" bestFit="1" customWidth="1"/>
    <col min="1806" max="1806" width="13.42578125" bestFit="1" customWidth="1"/>
    <col min="1807" max="1807" width="9" bestFit="1" customWidth="1"/>
    <col min="1808" max="1808" width="9.85546875" bestFit="1" customWidth="1"/>
    <col min="1809" max="1809" width="8.42578125" bestFit="1" customWidth="1"/>
    <col min="1810" max="1810" width="21.85546875" bestFit="1" customWidth="1"/>
    <col min="1811" max="1811" width="39.28515625" customWidth="1"/>
    <col min="1812" max="1812" width="53.85546875" customWidth="1"/>
    <col min="1813" max="1815" width="40" customWidth="1"/>
    <col min="2050" max="2050" width="47" customWidth="1"/>
    <col min="2051" max="2051" width="12.42578125" customWidth="1"/>
    <col min="2052" max="2052" width="10.5703125" customWidth="1"/>
    <col min="2053" max="2053" width="12.42578125" bestFit="1" customWidth="1"/>
    <col min="2054" max="2054" width="7.85546875" bestFit="1" customWidth="1"/>
    <col min="2055" max="2055" width="8.28515625" bestFit="1" customWidth="1"/>
    <col min="2056" max="2056" width="12.42578125" bestFit="1" customWidth="1"/>
    <col min="2057" max="2057" width="7.85546875" bestFit="1" customWidth="1"/>
    <col min="2058" max="2058" width="8.28515625" bestFit="1" customWidth="1"/>
    <col min="2059" max="2059" width="12.42578125" bestFit="1" customWidth="1"/>
    <col min="2060" max="2060" width="7.85546875" bestFit="1" customWidth="1"/>
    <col min="2061" max="2061" width="8.28515625" bestFit="1" customWidth="1"/>
    <col min="2062" max="2062" width="13.42578125" bestFit="1" customWidth="1"/>
    <col min="2063" max="2063" width="9" bestFit="1" customWidth="1"/>
    <col min="2064" max="2064" width="9.85546875" bestFit="1" customWidth="1"/>
    <col min="2065" max="2065" width="8.42578125" bestFit="1" customWidth="1"/>
    <col min="2066" max="2066" width="21.85546875" bestFit="1" customWidth="1"/>
    <col min="2067" max="2067" width="39.28515625" customWidth="1"/>
    <col min="2068" max="2068" width="53.85546875" customWidth="1"/>
    <col min="2069" max="2071" width="40" customWidth="1"/>
    <col min="2306" max="2306" width="47" customWidth="1"/>
    <col min="2307" max="2307" width="12.42578125" customWidth="1"/>
    <col min="2308" max="2308" width="10.5703125" customWidth="1"/>
    <col min="2309" max="2309" width="12.42578125" bestFit="1" customWidth="1"/>
    <col min="2310" max="2310" width="7.85546875" bestFit="1" customWidth="1"/>
    <col min="2311" max="2311" width="8.28515625" bestFit="1" customWidth="1"/>
    <col min="2312" max="2312" width="12.42578125" bestFit="1" customWidth="1"/>
    <col min="2313" max="2313" width="7.85546875" bestFit="1" customWidth="1"/>
    <col min="2314" max="2314" width="8.28515625" bestFit="1" customWidth="1"/>
    <col min="2315" max="2315" width="12.42578125" bestFit="1" customWidth="1"/>
    <col min="2316" max="2316" width="7.85546875" bestFit="1" customWidth="1"/>
    <col min="2317" max="2317" width="8.28515625" bestFit="1" customWidth="1"/>
    <col min="2318" max="2318" width="13.42578125" bestFit="1" customWidth="1"/>
    <col min="2319" max="2319" width="9" bestFit="1" customWidth="1"/>
    <col min="2320" max="2320" width="9.85546875" bestFit="1" customWidth="1"/>
    <col min="2321" max="2321" width="8.42578125" bestFit="1" customWidth="1"/>
    <col min="2322" max="2322" width="21.85546875" bestFit="1" customWidth="1"/>
    <col min="2323" max="2323" width="39.28515625" customWidth="1"/>
    <col min="2324" max="2324" width="53.85546875" customWidth="1"/>
    <col min="2325" max="2327" width="40" customWidth="1"/>
    <col min="2562" max="2562" width="47" customWidth="1"/>
    <col min="2563" max="2563" width="12.42578125" customWidth="1"/>
    <col min="2564" max="2564" width="10.5703125" customWidth="1"/>
    <col min="2565" max="2565" width="12.42578125" bestFit="1" customWidth="1"/>
    <col min="2566" max="2566" width="7.85546875" bestFit="1" customWidth="1"/>
    <col min="2567" max="2567" width="8.28515625" bestFit="1" customWidth="1"/>
    <col min="2568" max="2568" width="12.42578125" bestFit="1" customWidth="1"/>
    <col min="2569" max="2569" width="7.85546875" bestFit="1" customWidth="1"/>
    <col min="2570" max="2570" width="8.28515625" bestFit="1" customWidth="1"/>
    <col min="2571" max="2571" width="12.42578125" bestFit="1" customWidth="1"/>
    <col min="2572" max="2572" width="7.85546875" bestFit="1" customWidth="1"/>
    <col min="2573" max="2573" width="8.28515625" bestFit="1" customWidth="1"/>
    <col min="2574" max="2574" width="13.42578125" bestFit="1" customWidth="1"/>
    <col min="2575" max="2575" width="9" bestFit="1" customWidth="1"/>
    <col min="2576" max="2576" width="9.85546875" bestFit="1" customWidth="1"/>
    <col min="2577" max="2577" width="8.42578125" bestFit="1" customWidth="1"/>
    <col min="2578" max="2578" width="21.85546875" bestFit="1" customWidth="1"/>
    <col min="2579" max="2579" width="39.28515625" customWidth="1"/>
    <col min="2580" max="2580" width="53.85546875" customWidth="1"/>
    <col min="2581" max="2583" width="40" customWidth="1"/>
    <col min="2818" max="2818" width="47" customWidth="1"/>
    <col min="2819" max="2819" width="12.42578125" customWidth="1"/>
    <col min="2820" max="2820" width="10.5703125" customWidth="1"/>
    <col min="2821" max="2821" width="12.42578125" bestFit="1" customWidth="1"/>
    <col min="2822" max="2822" width="7.85546875" bestFit="1" customWidth="1"/>
    <col min="2823" max="2823" width="8.28515625" bestFit="1" customWidth="1"/>
    <col min="2824" max="2824" width="12.42578125" bestFit="1" customWidth="1"/>
    <col min="2825" max="2825" width="7.85546875" bestFit="1" customWidth="1"/>
    <col min="2826" max="2826" width="8.28515625" bestFit="1" customWidth="1"/>
    <col min="2827" max="2827" width="12.42578125" bestFit="1" customWidth="1"/>
    <col min="2828" max="2828" width="7.85546875" bestFit="1" customWidth="1"/>
    <col min="2829" max="2829" width="8.28515625" bestFit="1" customWidth="1"/>
    <col min="2830" max="2830" width="13.42578125" bestFit="1" customWidth="1"/>
    <col min="2831" max="2831" width="9" bestFit="1" customWidth="1"/>
    <col min="2832" max="2832" width="9.85546875" bestFit="1" customWidth="1"/>
    <col min="2833" max="2833" width="8.42578125" bestFit="1" customWidth="1"/>
    <col min="2834" max="2834" width="21.85546875" bestFit="1" customWidth="1"/>
    <col min="2835" max="2835" width="39.28515625" customWidth="1"/>
    <col min="2836" max="2836" width="53.85546875" customWidth="1"/>
    <col min="2837" max="2839" width="40" customWidth="1"/>
    <col min="3074" max="3074" width="47" customWidth="1"/>
    <col min="3075" max="3075" width="12.42578125" customWidth="1"/>
    <col min="3076" max="3076" width="10.5703125" customWidth="1"/>
    <col min="3077" max="3077" width="12.42578125" bestFit="1" customWidth="1"/>
    <col min="3078" max="3078" width="7.85546875" bestFit="1" customWidth="1"/>
    <col min="3079" max="3079" width="8.28515625" bestFit="1" customWidth="1"/>
    <col min="3080" max="3080" width="12.42578125" bestFit="1" customWidth="1"/>
    <col min="3081" max="3081" width="7.85546875" bestFit="1" customWidth="1"/>
    <col min="3082" max="3082" width="8.28515625" bestFit="1" customWidth="1"/>
    <col min="3083" max="3083" width="12.42578125" bestFit="1" customWidth="1"/>
    <col min="3084" max="3084" width="7.85546875" bestFit="1" customWidth="1"/>
    <col min="3085" max="3085" width="8.28515625" bestFit="1" customWidth="1"/>
    <col min="3086" max="3086" width="13.42578125" bestFit="1" customWidth="1"/>
    <col min="3087" max="3087" width="9" bestFit="1" customWidth="1"/>
    <col min="3088" max="3088" width="9.85546875" bestFit="1" customWidth="1"/>
    <col min="3089" max="3089" width="8.42578125" bestFit="1" customWidth="1"/>
    <col min="3090" max="3090" width="21.85546875" bestFit="1" customWidth="1"/>
    <col min="3091" max="3091" width="39.28515625" customWidth="1"/>
    <col min="3092" max="3092" width="53.85546875" customWidth="1"/>
    <col min="3093" max="3095" width="40" customWidth="1"/>
    <col min="3330" max="3330" width="47" customWidth="1"/>
    <col min="3331" max="3331" width="12.42578125" customWidth="1"/>
    <col min="3332" max="3332" width="10.5703125" customWidth="1"/>
    <col min="3333" max="3333" width="12.42578125" bestFit="1" customWidth="1"/>
    <col min="3334" max="3334" width="7.85546875" bestFit="1" customWidth="1"/>
    <col min="3335" max="3335" width="8.28515625" bestFit="1" customWidth="1"/>
    <col min="3336" max="3336" width="12.42578125" bestFit="1" customWidth="1"/>
    <col min="3337" max="3337" width="7.85546875" bestFit="1" customWidth="1"/>
    <col min="3338" max="3338" width="8.28515625" bestFit="1" customWidth="1"/>
    <col min="3339" max="3339" width="12.42578125" bestFit="1" customWidth="1"/>
    <col min="3340" max="3340" width="7.85546875" bestFit="1" customWidth="1"/>
    <col min="3341" max="3341" width="8.28515625" bestFit="1" customWidth="1"/>
    <col min="3342" max="3342" width="13.42578125" bestFit="1" customWidth="1"/>
    <col min="3343" max="3343" width="9" bestFit="1" customWidth="1"/>
    <col min="3344" max="3344" width="9.85546875" bestFit="1" customWidth="1"/>
    <col min="3345" max="3345" width="8.42578125" bestFit="1" customWidth="1"/>
    <col min="3346" max="3346" width="21.85546875" bestFit="1" customWidth="1"/>
    <col min="3347" max="3347" width="39.28515625" customWidth="1"/>
    <col min="3348" max="3348" width="53.85546875" customWidth="1"/>
    <col min="3349" max="3351" width="40" customWidth="1"/>
    <col min="3586" max="3586" width="47" customWidth="1"/>
    <col min="3587" max="3587" width="12.42578125" customWidth="1"/>
    <col min="3588" max="3588" width="10.5703125" customWidth="1"/>
    <col min="3589" max="3589" width="12.42578125" bestFit="1" customWidth="1"/>
    <col min="3590" max="3590" width="7.85546875" bestFit="1" customWidth="1"/>
    <col min="3591" max="3591" width="8.28515625" bestFit="1" customWidth="1"/>
    <col min="3592" max="3592" width="12.42578125" bestFit="1" customWidth="1"/>
    <col min="3593" max="3593" width="7.85546875" bestFit="1" customWidth="1"/>
    <col min="3594" max="3594" width="8.28515625" bestFit="1" customWidth="1"/>
    <col min="3595" max="3595" width="12.42578125" bestFit="1" customWidth="1"/>
    <col min="3596" max="3596" width="7.85546875" bestFit="1" customWidth="1"/>
    <col min="3597" max="3597" width="8.28515625" bestFit="1" customWidth="1"/>
    <col min="3598" max="3598" width="13.42578125" bestFit="1" customWidth="1"/>
    <col min="3599" max="3599" width="9" bestFit="1" customWidth="1"/>
    <col min="3600" max="3600" width="9.85546875" bestFit="1" customWidth="1"/>
    <col min="3601" max="3601" width="8.42578125" bestFit="1" customWidth="1"/>
    <col min="3602" max="3602" width="21.85546875" bestFit="1" customWidth="1"/>
    <col min="3603" max="3603" width="39.28515625" customWidth="1"/>
    <col min="3604" max="3604" width="53.85546875" customWidth="1"/>
    <col min="3605" max="3607" width="40" customWidth="1"/>
    <col min="3842" max="3842" width="47" customWidth="1"/>
    <col min="3843" max="3843" width="12.42578125" customWidth="1"/>
    <col min="3844" max="3844" width="10.5703125" customWidth="1"/>
    <col min="3845" max="3845" width="12.42578125" bestFit="1" customWidth="1"/>
    <col min="3846" max="3846" width="7.85546875" bestFit="1" customWidth="1"/>
    <col min="3847" max="3847" width="8.28515625" bestFit="1" customWidth="1"/>
    <col min="3848" max="3848" width="12.42578125" bestFit="1" customWidth="1"/>
    <col min="3849" max="3849" width="7.85546875" bestFit="1" customWidth="1"/>
    <col min="3850" max="3850" width="8.28515625" bestFit="1" customWidth="1"/>
    <col min="3851" max="3851" width="12.42578125" bestFit="1" customWidth="1"/>
    <col min="3852" max="3852" width="7.85546875" bestFit="1" customWidth="1"/>
    <col min="3853" max="3853" width="8.28515625" bestFit="1" customWidth="1"/>
    <col min="3854" max="3854" width="13.42578125" bestFit="1" customWidth="1"/>
    <col min="3855" max="3855" width="9" bestFit="1" customWidth="1"/>
    <col min="3856" max="3856" width="9.85546875" bestFit="1" customWidth="1"/>
    <col min="3857" max="3857" width="8.42578125" bestFit="1" customWidth="1"/>
    <col min="3858" max="3858" width="21.85546875" bestFit="1" customWidth="1"/>
    <col min="3859" max="3859" width="39.28515625" customWidth="1"/>
    <col min="3860" max="3860" width="53.85546875" customWidth="1"/>
    <col min="3861" max="3863" width="40" customWidth="1"/>
    <col min="4098" max="4098" width="47" customWidth="1"/>
    <col min="4099" max="4099" width="12.42578125" customWidth="1"/>
    <col min="4100" max="4100" width="10.5703125" customWidth="1"/>
    <col min="4101" max="4101" width="12.42578125" bestFit="1" customWidth="1"/>
    <col min="4102" max="4102" width="7.85546875" bestFit="1" customWidth="1"/>
    <col min="4103" max="4103" width="8.28515625" bestFit="1" customWidth="1"/>
    <col min="4104" max="4104" width="12.42578125" bestFit="1" customWidth="1"/>
    <col min="4105" max="4105" width="7.85546875" bestFit="1" customWidth="1"/>
    <col min="4106" max="4106" width="8.28515625" bestFit="1" customWidth="1"/>
    <col min="4107" max="4107" width="12.42578125" bestFit="1" customWidth="1"/>
    <col min="4108" max="4108" width="7.85546875" bestFit="1" customWidth="1"/>
    <col min="4109" max="4109" width="8.28515625" bestFit="1" customWidth="1"/>
    <col min="4110" max="4110" width="13.42578125" bestFit="1" customWidth="1"/>
    <col min="4111" max="4111" width="9" bestFit="1" customWidth="1"/>
    <col min="4112" max="4112" width="9.85546875" bestFit="1" customWidth="1"/>
    <col min="4113" max="4113" width="8.42578125" bestFit="1" customWidth="1"/>
    <col min="4114" max="4114" width="21.85546875" bestFit="1" customWidth="1"/>
    <col min="4115" max="4115" width="39.28515625" customWidth="1"/>
    <col min="4116" max="4116" width="53.85546875" customWidth="1"/>
    <col min="4117" max="4119" width="40" customWidth="1"/>
    <col min="4354" max="4354" width="47" customWidth="1"/>
    <col min="4355" max="4355" width="12.42578125" customWidth="1"/>
    <col min="4356" max="4356" width="10.5703125" customWidth="1"/>
    <col min="4357" max="4357" width="12.42578125" bestFit="1" customWidth="1"/>
    <col min="4358" max="4358" width="7.85546875" bestFit="1" customWidth="1"/>
    <col min="4359" max="4359" width="8.28515625" bestFit="1" customWidth="1"/>
    <col min="4360" max="4360" width="12.42578125" bestFit="1" customWidth="1"/>
    <col min="4361" max="4361" width="7.85546875" bestFit="1" customWidth="1"/>
    <col min="4362" max="4362" width="8.28515625" bestFit="1" customWidth="1"/>
    <col min="4363" max="4363" width="12.42578125" bestFit="1" customWidth="1"/>
    <col min="4364" max="4364" width="7.85546875" bestFit="1" customWidth="1"/>
    <col min="4365" max="4365" width="8.28515625" bestFit="1" customWidth="1"/>
    <col min="4366" max="4366" width="13.42578125" bestFit="1" customWidth="1"/>
    <col min="4367" max="4367" width="9" bestFit="1" customWidth="1"/>
    <col min="4368" max="4368" width="9.85546875" bestFit="1" customWidth="1"/>
    <col min="4369" max="4369" width="8.42578125" bestFit="1" customWidth="1"/>
    <col min="4370" max="4370" width="21.85546875" bestFit="1" customWidth="1"/>
    <col min="4371" max="4371" width="39.28515625" customWidth="1"/>
    <col min="4372" max="4372" width="53.85546875" customWidth="1"/>
    <col min="4373" max="4375" width="40" customWidth="1"/>
    <col min="4610" max="4610" width="47" customWidth="1"/>
    <col min="4611" max="4611" width="12.42578125" customWidth="1"/>
    <col min="4612" max="4612" width="10.5703125" customWidth="1"/>
    <col min="4613" max="4613" width="12.42578125" bestFit="1" customWidth="1"/>
    <col min="4614" max="4614" width="7.85546875" bestFit="1" customWidth="1"/>
    <col min="4615" max="4615" width="8.28515625" bestFit="1" customWidth="1"/>
    <col min="4616" max="4616" width="12.42578125" bestFit="1" customWidth="1"/>
    <col min="4617" max="4617" width="7.85546875" bestFit="1" customWidth="1"/>
    <col min="4618" max="4618" width="8.28515625" bestFit="1" customWidth="1"/>
    <col min="4619" max="4619" width="12.42578125" bestFit="1" customWidth="1"/>
    <col min="4620" max="4620" width="7.85546875" bestFit="1" customWidth="1"/>
    <col min="4621" max="4621" width="8.28515625" bestFit="1" customWidth="1"/>
    <col min="4622" max="4622" width="13.42578125" bestFit="1" customWidth="1"/>
    <col min="4623" max="4623" width="9" bestFit="1" customWidth="1"/>
    <col min="4624" max="4624" width="9.85546875" bestFit="1" customWidth="1"/>
    <col min="4625" max="4625" width="8.42578125" bestFit="1" customWidth="1"/>
    <col min="4626" max="4626" width="21.85546875" bestFit="1" customWidth="1"/>
    <col min="4627" max="4627" width="39.28515625" customWidth="1"/>
    <col min="4628" max="4628" width="53.85546875" customWidth="1"/>
    <col min="4629" max="4631" width="40" customWidth="1"/>
    <col min="4866" max="4866" width="47" customWidth="1"/>
    <col min="4867" max="4867" width="12.42578125" customWidth="1"/>
    <col min="4868" max="4868" width="10.5703125" customWidth="1"/>
    <col min="4869" max="4869" width="12.42578125" bestFit="1" customWidth="1"/>
    <col min="4870" max="4870" width="7.85546875" bestFit="1" customWidth="1"/>
    <col min="4871" max="4871" width="8.28515625" bestFit="1" customWidth="1"/>
    <col min="4872" max="4872" width="12.42578125" bestFit="1" customWidth="1"/>
    <col min="4873" max="4873" width="7.85546875" bestFit="1" customWidth="1"/>
    <col min="4874" max="4874" width="8.28515625" bestFit="1" customWidth="1"/>
    <col min="4875" max="4875" width="12.42578125" bestFit="1" customWidth="1"/>
    <col min="4876" max="4876" width="7.85546875" bestFit="1" customWidth="1"/>
    <col min="4877" max="4877" width="8.28515625" bestFit="1" customWidth="1"/>
    <col min="4878" max="4878" width="13.42578125" bestFit="1" customWidth="1"/>
    <col min="4879" max="4879" width="9" bestFit="1" customWidth="1"/>
    <col min="4880" max="4880" width="9.85546875" bestFit="1" customWidth="1"/>
    <col min="4881" max="4881" width="8.42578125" bestFit="1" customWidth="1"/>
    <col min="4882" max="4882" width="21.85546875" bestFit="1" customWidth="1"/>
    <col min="4883" max="4883" width="39.28515625" customWidth="1"/>
    <col min="4884" max="4884" width="53.85546875" customWidth="1"/>
    <col min="4885" max="4887" width="40" customWidth="1"/>
    <col min="5122" max="5122" width="47" customWidth="1"/>
    <col min="5123" max="5123" width="12.42578125" customWidth="1"/>
    <col min="5124" max="5124" width="10.5703125" customWidth="1"/>
    <col min="5125" max="5125" width="12.42578125" bestFit="1" customWidth="1"/>
    <col min="5126" max="5126" width="7.85546875" bestFit="1" customWidth="1"/>
    <col min="5127" max="5127" width="8.28515625" bestFit="1" customWidth="1"/>
    <col min="5128" max="5128" width="12.42578125" bestFit="1" customWidth="1"/>
    <col min="5129" max="5129" width="7.85546875" bestFit="1" customWidth="1"/>
    <col min="5130" max="5130" width="8.28515625" bestFit="1" customWidth="1"/>
    <col min="5131" max="5131" width="12.42578125" bestFit="1" customWidth="1"/>
    <col min="5132" max="5132" width="7.85546875" bestFit="1" customWidth="1"/>
    <col min="5133" max="5133" width="8.28515625" bestFit="1" customWidth="1"/>
    <col min="5134" max="5134" width="13.42578125" bestFit="1" customWidth="1"/>
    <col min="5135" max="5135" width="9" bestFit="1" customWidth="1"/>
    <col min="5136" max="5136" width="9.85546875" bestFit="1" customWidth="1"/>
    <col min="5137" max="5137" width="8.42578125" bestFit="1" customWidth="1"/>
    <col min="5138" max="5138" width="21.85546875" bestFit="1" customWidth="1"/>
    <col min="5139" max="5139" width="39.28515625" customWidth="1"/>
    <col min="5140" max="5140" width="53.85546875" customWidth="1"/>
    <col min="5141" max="5143" width="40" customWidth="1"/>
    <col min="5378" max="5378" width="47" customWidth="1"/>
    <col min="5379" max="5379" width="12.42578125" customWidth="1"/>
    <col min="5380" max="5380" width="10.5703125" customWidth="1"/>
    <col min="5381" max="5381" width="12.42578125" bestFit="1" customWidth="1"/>
    <col min="5382" max="5382" width="7.85546875" bestFit="1" customWidth="1"/>
    <col min="5383" max="5383" width="8.28515625" bestFit="1" customWidth="1"/>
    <col min="5384" max="5384" width="12.42578125" bestFit="1" customWidth="1"/>
    <col min="5385" max="5385" width="7.85546875" bestFit="1" customWidth="1"/>
    <col min="5386" max="5386" width="8.28515625" bestFit="1" customWidth="1"/>
    <col min="5387" max="5387" width="12.42578125" bestFit="1" customWidth="1"/>
    <col min="5388" max="5388" width="7.85546875" bestFit="1" customWidth="1"/>
    <col min="5389" max="5389" width="8.28515625" bestFit="1" customWidth="1"/>
    <col min="5390" max="5390" width="13.42578125" bestFit="1" customWidth="1"/>
    <col min="5391" max="5391" width="9" bestFit="1" customWidth="1"/>
    <col min="5392" max="5392" width="9.85546875" bestFit="1" customWidth="1"/>
    <col min="5393" max="5393" width="8.42578125" bestFit="1" customWidth="1"/>
    <col min="5394" max="5394" width="21.85546875" bestFit="1" customWidth="1"/>
    <col min="5395" max="5395" width="39.28515625" customWidth="1"/>
    <col min="5396" max="5396" width="53.85546875" customWidth="1"/>
    <col min="5397" max="5399" width="40" customWidth="1"/>
    <col min="5634" max="5634" width="47" customWidth="1"/>
    <col min="5635" max="5635" width="12.42578125" customWidth="1"/>
    <col min="5636" max="5636" width="10.5703125" customWidth="1"/>
    <col min="5637" max="5637" width="12.42578125" bestFit="1" customWidth="1"/>
    <col min="5638" max="5638" width="7.85546875" bestFit="1" customWidth="1"/>
    <col min="5639" max="5639" width="8.28515625" bestFit="1" customWidth="1"/>
    <col min="5640" max="5640" width="12.42578125" bestFit="1" customWidth="1"/>
    <col min="5641" max="5641" width="7.85546875" bestFit="1" customWidth="1"/>
    <col min="5642" max="5642" width="8.28515625" bestFit="1" customWidth="1"/>
    <col min="5643" max="5643" width="12.42578125" bestFit="1" customWidth="1"/>
    <col min="5644" max="5644" width="7.85546875" bestFit="1" customWidth="1"/>
    <col min="5645" max="5645" width="8.28515625" bestFit="1" customWidth="1"/>
    <col min="5646" max="5646" width="13.42578125" bestFit="1" customWidth="1"/>
    <col min="5647" max="5647" width="9" bestFit="1" customWidth="1"/>
    <col min="5648" max="5648" width="9.85546875" bestFit="1" customWidth="1"/>
    <col min="5649" max="5649" width="8.42578125" bestFit="1" customWidth="1"/>
    <col min="5650" max="5650" width="21.85546875" bestFit="1" customWidth="1"/>
    <col min="5651" max="5651" width="39.28515625" customWidth="1"/>
    <col min="5652" max="5652" width="53.85546875" customWidth="1"/>
    <col min="5653" max="5655" width="40" customWidth="1"/>
    <col min="5890" max="5890" width="47" customWidth="1"/>
    <col min="5891" max="5891" width="12.42578125" customWidth="1"/>
    <col min="5892" max="5892" width="10.5703125" customWidth="1"/>
    <col min="5893" max="5893" width="12.42578125" bestFit="1" customWidth="1"/>
    <col min="5894" max="5894" width="7.85546875" bestFit="1" customWidth="1"/>
    <col min="5895" max="5895" width="8.28515625" bestFit="1" customWidth="1"/>
    <col min="5896" max="5896" width="12.42578125" bestFit="1" customWidth="1"/>
    <col min="5897" max="5897" width="7.85546875" bestFit="1" customWidth="1"/>
    <col min="5898" max="5898" width="8.28515625" bestFit="1" customWidth="1"/>
    <col min="5899" max="5899" width="12.42578125" bestFit="1" customWidth="1"/>
    <col min="5900" max="5900" width="7.85546875" bestFit="1" customWidth="1"/>
    <col min="5901" max="5901" width="8.28515625" bestFit="1" customWidth="1"/>
    <col min="5902" max="5902" width="13.42578125" bestFit="1" customWidth="1"/>
    <col min="5903" max="5903" width="9" bestFit="1" customWidth="1"/>
    <col min="5904" max="5904" width="9.85546875" bestFit="1" customWidth="1"/>
    <col min="5905" max="5905" width="8.42578125" bestFit="1" customWidth="1"/>
    <col min="5906" max="5906" width="21.85546875" bestFit="1" customWidth="1"/>
    <col min="5907" max="5907" width="39.28515625" customWidth="1"/>
    <col min="5908" max="5908" width="53.85546875" customWidth="1"/>
    <col min="5909" max="5911" width="40" customWidth="1"/>
    <col min="6146" max="6146" width="47" customWidth="1"/>
    <col min="6147" max="6147" width="12.42578125" customWidth="1"/>
    <col min="6148" max="6148" width="10.5703125" customWidth="1"/>
    <col min="6149" max="6149" width="12.42578125" bestFit="1" customWidth="1"/>
    <col min="6150" max="6150" width="7.85546875" bestFit="1" customWidth="1"/>
    <col min="6151" max="6151" width="8.28515625" bestFit="1" customWidth="1"/>
    <col min="6152" max="6152" width="12.42578125" bestFit="1" customWidth="1"/>
    <col min="6153" max="6153" width="7.85546875" bestFit="1" customWidth="1"/>
    <col min="6154" max="6154" width="8.28515625" bestFit="1" customWidth="1"/>
    <col min="6155" max="6155" width="12.42578125" bestFit="1" customWidth="1"/>
    <col min="6156" max="6156" width="7.85546875" bestFit="1" customWidth="1"/>
    <col min="6157" max="6157" width="8.28515625" bestFit="1" customWidth="1"/>
    <col min="6158" max="6158" width="13.42578125" bestFit="1" customWidth="1"/>
    <col min="6159" max="6159" width="9" bestFit="1" customWidth="1"/>
    <col min="6160" max="6160" width="9.85546875" bestFit="1" customWidth="1"/>
    <col min="6161" max="6161" width="8.42578125" bestFit="1" customWidth="1"/>
    <col min="6162" max="6162" width="21.85546875" bestFit="1" customWidth="1"/>
    <col min="6163" max="6163" width="39.28515625" customWidth="1"/>
    <col min="6164" max="6164" width="53.85546875" customWidth="1"/>
    <col min="6165" max="6167" width="40" customWidth="1"/>
    <col min="6402" max="6402" width="47" customWidth="1"/>
    <col min="6403" max="6403" width="12.42578125" customWidth="1"/>
    <col min="6404" max="6404" width="10.5703125" customWidth="1"/>
    <col min="6405" max="6405" width="12.42578125" bestFit="1" customWidth="1"/>
    <col min="6406" max="6406" width="7.85546875" bestFit="1" customWidth="1"/>
    <col min="6407" max="6407" width="8.28515625" bestFit="1" customWidth="1"/>
    <col min="6408" max="6408" width="12.42578125" bestFit="1" customWidth="1"/>
    <col min="6409" max="6409" width="7.85546875" bestFit="1" customWidth="1"/>
    <col min="6410" max="6410" width="8.28515625" bestFit="1" customWidth="1"/>
    <col min="6411" max="6411" width="12.42578125" bestFit="1" customWidth="1"/>
    <col min="6412" max="6412" width="7.85546875" bestFit="1" customWidth="1"/>
    <col min="6413" max="6413" width="8.28515625" bestFit="1" customWidth="1"/>
    <col min="6414" max="6414" width="13.42578125" bestFit="1" customWidth="1"/>
    <col min="6415" max="6415" width="9" bestFit="1" customWidth="1"/>
    <col min="6416" max="6416" width="9.85546875" bestFit="1" customWidth="1"/>
    <col min="6417" max="6417" width="8.42578125" bestFit="1" customWidth="1"/>
    <col min="6418" max="6418" width="21.85546875" bestFit="1" customWidth="1"/>
    <col min="6419" max="6419" width="39.28515625" customWidth="1"/>
    <col min="6420" max="6420" width="53.85546875" customWidth="1"/>
    <col min="6421" max="6423" width="40" customWidth="1"/>
    <col min="6658" max="6658" width="47" customWidth="1"/>
    <col min="6659" max="6659" width="12.42578125" customWidth="1"/>
    <col min="6660" max="6660" width="10.5703125" customWidth="1"/>
    <col min="6661" max="6661" width="12.42578125" bestFit="1" customWidth="1"/>
    <col min="6662" max="6662" width="7.85546875" bestFit="1" customWidth="1"/>
    <col min="6663" max="6663" width="8.28515625" bestFit="1" customWidth="1"/>
    <col min="6664" max="6664" width="12.42578125" bestFit="1" customWidth="1"/>
    <col min="6665" max="6665" width="7.85546875" bestFit="1" customWidth="1"/>
    <col min="6666" max="6666" width="8.28515625" bestFit="1" customWidth="1"/>
    <col min="6667" max="6667" width="12.42578125" bestFit="1" customWidth="1"/>
    <col min="6668" max="6668" width="7.85546875" bestFit="1" customWidth="1"/>
    <col min="6669" max="6669" width="8.28515625" bestFit="1" customWidth="1"/>
    <col min="6670" max="6670" width="13.42578125" bestFit="1" customWidth="1"/>
    <col min="6671" max="6671" width="9" bestFit="1" customWidth="1"/>
    <col min="6672" max="6672" width="9.85546875" bestFit="1" customWidth="1"/>
    <col min="6673" max="6673" width="8.42578125" bestFit="1" customWidth="1"/>
    <col min="6674" max="6674" width="21.85546875" bestFit="1" customWidth="1"/>
    <col min="6675" max="6675" width="39.28515625" customWidth="1"/>
    <col min="6676" max="6676" width="53.85546875" customWidth="1"/>
    <col min="6677" max="6679" width="40" customWidth="1"/>
    <col min="6914" max="6914" width="47" customWidth="1"/>
    <col min="6915" max="6915" width="12.42578125" customWidth="1"/>
    <col min="6916" max="6916" width="10.5703125" customWidth="1"/>
    <col min="6917" max="6917" width="12.42578125" bestFit="1" customWidth="1"/>
    <col min="6918" max="6918" width="7.85546875" bestFit="1" customWidth="1"/>
    <col min="6919" max="6919" width="8.28515625" bestFit="1" customWidth="1"/>
    <col min="6920" max="6920" width="12.42578125" bestFit="1" customWidth="1"/>
    <col min="6921" max="6921" width="7.85546875" bestFit="1" customWidth="1"/>
    <col min="6922" max="6922" width="8.28515625" bestFit="1" customWidth="1"/>
    <col min="6923" max="6923" width="12.42578125" bestFit="1" customWidth="1"/>
    <col min="6924" max="6924" width="7.85546875" bestFit="1" customWidth="1"/>
    <col min="6925" max="6925" width="8.28515625" bestFit="1" customWidth="1"/>
    <col min="6926" max="6926" width="13.42578125" bestFit="1" customWidth="1"/>
    <col min="6927" max="6927" width="9" bestFit="1" customWidth="1"/>
    <col min="6928" max="6928" width="9.85546875" bestFit="1" customWidth="1"/>
    <col min="6929" max="6929" width="8.42578125" bestFit="1" customWidth="1"/>
    <col min="6930" max="6930" width="21.85546875" bestFit="1" customWidth="1"/>
    <col min="6931" max="6931" width="39.28515625" customWidth="1"/>
    <col min="6932" max="6932" width="53.85546875" customWidth="1"/>
    <col min="6933" max="6935" width="40" customWidth="1"/>
    <col min="7170" max="7170" width="47" customWidth="1"/>
    <col min="7171" max="7171" width="12.42578125" customWidth="1"/>
    <col min="7172" max="7172" width="10.5703125" customWidth="1"/>
    <col min="7173" max="7173" width="12.42578125" bestFit="1" customWidth="1"/>
    <col min="7174" max="7174" width="7.85546875" bestFit="1" customWidth="1"/>
    <col min="7175" max="7175" width="8.28515625" bestFit="1" customWidth="1"/>
    <col min="7176" max="7176" width="12.42578125" bestFit="1" customWidth="1"/>
    <col min="7177" max="7177" width="7.85546875" bestFit="1" customWidth="1"/>
    <col min="7178" max="7178" width="8.28515625" bestFit="1" customWidth="1"/>
    <col min="7179" max="7179" width="12.42578125" bestFit="1" customWidth="1"/>
    <col min="7180" max="7180" width="7.85546875" bestFit="1" customWidth="1"/>
    <col min="7181" max="7181" width="8.28515625" bestFit="1" customWidth="1"/>
    <col min="7182" max="7182" width="13.42578125" bestFit="1" customWidth="1"/>
    <col min="7183" max="7183" width="9" bestFit="1" customWidth="1"/>
    <col min="7184" max="7184" width="9.85546875" bestFit="1" customWidth="1"/>
    <col min="7185" max="7185" width="8.42578125" bestFit="1" customWidth="1"/>
    <col min="7186" max="7186" width="21.85546875" bestFit="1" customWidth="1"/>
    <col min="7187" max="7187" width="39.28515625" customWidth="1"/>
    <col min="7188" max="7188" width="53.85546875" customWidth="1"/>
    <col min="7189" max="7191" width="40" customWidth="1"/>
    <col min="7426" max="7426" width="47" customWidth="1"/>
    <col min="7427" max="7427" width="12.42578125" customWidth="1"/>
    <col min="7428" max="7428" width="10.5703125" customWidth="1"/>
    <col min="7429" max="7429" width="12.42578125" bestFit="1" customWidth="1"/>
    <col min="7430" max="7430" width="7.85546875" bestFit="1" customWidth="1"/>
    <col min="7431" max="7431" width="8.28515625" bestFit="1" customWidth="1"/>
    <col min="7432" max="7432" width="12.42578125" bestFit="1" customWidth="1"/>
    <col min="7433" max="7433" width="7.85546875" bestFit="1" customWidth="1"/>
    <col min="7434" max="7434" width="8.28515625" bestFit="1" customWidth="1"/>
    <col min="7435" max="7435" width="12.42578125" bestFit="1" customWidth="1"/>
    <col min="7436" max="7436" width="7.85546875" bestFit="1" customWidth="1"/>
    <col min="7437" max="7437" width="8.28515625" bestFit="1" customWidth="1"/>
    <col min="7438" max="7438" width="13.42578125" bestFit="1" customWidth="1"/>
    <col min="7439" max="7439" width="9" bestFit="1" customWidth="1"/>
    <col min="7440" max="7440" width="9.85546875" bestFit="1" customWidth="1"/>
    <col min="7441" max="7441" width="8.42578125" bestFit="1" customWidth="1"/>
    <col min="7442" max="7442" width="21.85546875" bestFit="1" customWidth="1"/>
    <col min="7443" max="7443" width="39.28515625" customWidth="1"/>
    <col min="7444" max="7444" width="53.85546875" customWidth="1"/>
    <col min="7445" max="7447" width="40" customWidth="1"/>
    <col min="7682" max="7682" width="47" customWidth="1"/>
    <col min="7683" max="7683" width="12.42578125" customWidth="1"/>
    <col min="7684" max="7684" width="10.5703125" customWidth="1"/>
    <col min="7685" max="7685" width="12.42578125" bestFit="1" customWidth="1"/>
    <col min="7686" max="7686" width="7.85546875" bestFit="1" customWidth="1"/>
    <col min="7687" max="7687" width="8.28515625" bestFit="1" customWidth="1"/>
    <col min="7688" max="7688" width="12.42578125" bestFit="1" customWidth="1"/>
    <col min="7689" max="7689" width="7.85546875" bestFit="1" customWidth="1"/>
    <col min="7690" max="7690" width="8.28515625" bestFit="1" customWidth="1"/>
    <col min="7691" max="7691" width="12.42578125" bestFit="1" customWidth="1"/>
    <col min="7692" max="7692" width="7.85546875" bestFit="1" customWidth="1"/>
    <col min="7693" max="7693" width="8.28515625" bestFit="1" customWidth="1"/>
    <col min="7694" max="7694" width="13.42578125" bestFit="1" customWidth="1"/>
    <col min="7695" max="7695" width="9" bestFit="1" customWidth="1"/>
    <col min="7696" max="7696" width="9.85546875" bestFit="1" customWidth="1"/>
    <col min="7697" max="7697" width="8.42578125" bestFit="1" customWidth="1"/>
    <col min="7698" max="7698" width="21.85546875" bestFit="1" customWidth="1"/>
    <col min="7699" max="7699" width="39.28515625" customWidth="1"/>
    <col min="7700" max="7700" width="53.85546875" customWidth="1"/>
    <col min="7701" max="7703" width="40" customWidth="1"/>
    <col min="7938" max="7938" width="47" customWidth="1"/>
    <col min="7939" max="7939" width="12.42578125" customWidth="1"/>
    <col min="7940" max="7940" width="10.5703125" customWidth="1"/>
    <col min="7941" max="7941" width="12.42578125" bestFit="1" customWidth="1"/>
    <col min="7942" max="7942" width="7.85546875" bestFit="1" customWidth="1"/>
    <col min="7943" max="7943" width="8.28515625" bestFit="1" customWidth="1"/>
    <col min="7944" max="7944" width="12.42578125" bestFit="1" customWidth="1"/>
    <col min="7945" max="7945" width="7.85546875" bestFit="1" customWidth="1"/>
    <col min="7946" max="7946" width="8.28515625" bestFit="1" customWidth="1"/>
    <col min="7947" max="7947" width="12.42578125" bestFit="1" customWidth="1"/>
    <col min="7948" max="7948" width="7.85546875" bestFit="1" customWidth="1"/>
    <col min="7949" max="7949" width="8.28515625" bestFit="1" customWidth="1"/>
    <col min="7950" max="7950" width="13.42578125" bestFit="1" customWidth="1"/>
    <col min="7951" max="7951" width="9" bestFit="1" customWidth="1"/>
    <col min="7952" max="7952" width="9.85546875" bestFit="1" customWidth="1"/>
    <col min="7953" max="7953" width="8.42578125" bestFit="1" customWidth="1"/>
    <col min="7954" max="7954" width="21.85546875" bestFit="1" customWidth="1"/>
    <col min="7955" max="7955" width="39.28515625" customWidth="1"/>
    <col min="7956" max="7956" width="53.85546875" customWidth="1"/>
    <col min="7957" max="7959" width="40" customWidth="1"/>
    <col min="8194" max="8194" width="47" customWidth="1"/>
    <col min="8195" max="8195" width="12.42578125" customWidth="1"/>
    <col min="8196" max="8196" width="10.5703125" customWidth="1"/>
    <col min="8197" max="8197" width="12.42578125" bestFit="1" customWidth="1"/>
    <col min="8198" max="8198" width="7.85546875" bestFit="1" customWidth="1"/>
    <col min="8199" max="8199" width="8.28515625" bestFit="1" customWidth="1"/>
    <col min="8200" max="8200" width="12.42578125" bestFit="1" customWidth="1"/>
    <col min="8201" max="8201" width="7.85546875" bestFit="1" customWidth="1"/>
    <col min="8202" max="8202" width="8.28515625" bestFit="1" customWidth="1"/>
    <col min="8203" max="8203" width="12.42578125" bestFit="1" customWidth="1"/>
    <col min="8204" max="8204" width="7.85546875" bestFit="1" customWidth="1"/>
    <col min="8205" max="8205" width="8.28515625" bestFit="1" customWidth="1"/>
    <col min="8206" max="8206" width="13.42578125" bestFit="1" customWidth="1"/>
    <col min="8207" max="8207" width="9" bestFit="1" customWidth="1"/>
    <col min="8208" max="8208" width="9.85546875" bestFit="1" customWidth="1"/>
    <col min="8209" max="8209" width="8.42578125" bestFit="1" customWidth="1"/>
    <col min="8210" max="8210" width="21.85546875" bestFit="1" customWidth="1"/>
    <col min="8211" max="8211" width="39.28515625" customWidth="1"/>
    <col min="8212" max="8212" width="53.85546875" customWidth="1"/>
    <col min="8213" max="8215" width="40" customWidth="1"/>
    <col min="8450" max="8450" width="47" customWidth="1"/>
    <col min="8451" max="8451" width="12.42578125" customWidth="1"/>
    <col min="8452" max="8452" width="10.5703125" customWidth="1"/>
    <col min="8453" max="8453" width="12.42578125" bestFit="1" customWidth="1"/>
    <col min="8454" max="8454" width="7.85546875" bestFit="1" customWidth="1"/>
    <col min="8455" max="8455" width="8.28515625" bestFit="1" customWidth="1"/>
    <col min="8456" max="8456" width="12.42578125" bestFit="1" customWidth="1"/>
    <col min="8457" max="8457" width="7.85546875" bestFit="1" customWidth="1"/>
    <col min="8458" max="8458" width="8.28515625" bestFit="1" customWidth="1"/>
    <col min="8459" max="8459" width="12.42578125" bestFit="1" customWidth="1"/>
    <col min="8460" max="8460" width="7.85546875" bestFit="1" customWidth="1"/>
    <col min="8461" max="8461" width="8.28515625" bestFit="1" customWidth="1"/>
    <col min="8462" max="8462" width="13.42578125" bestFit="1" customWidth="1"/>
    <col min="8463" max="8463" width="9" bestFit="1" customWidth="1"/>
    <col min="8464" max="8464" width="9.85546875" bestFit="1" customWidth="1"/>
    <col min="8465" max="8465" width="8.42578125" bestFit="1" customWidth="1"/>
    <col min="8466" max="8466" width="21.85546875" bestFit="1" customWidth="1"/>
    <col min="8467" max="8467" width="39.28515625" customWidth="1"/>
    <col min="8468" max="8468" width="53.85546875" customWidth="1"/>
    <col min="8469" max="8471" width="40" customWidth="1"/>
    <col min="8706" max="8706" width="47" customWidth="1"/>
    <col min="8707" max="8707" width="12.42578125" customWidth="1"/>
    <col min="8708" max="8708" width="10.5703125" customWidth="1"/>
    <col min="8709" max="8709" width="12.42578125" bestFit="1" customWidth="1"/>
    <col min="8710" max="8710" width="7.85546875" bestFit="1" customWidth="1"/>
    <col min="8711" max="8711" width="8.28515625" bestFit="1" customWidth="1"/>
    <col min="8712" max="8712" width="12.42578125" bestFit="1" customWidth="1"/>
    <col min="8713" max="8713" width="7.85546875" bestFit="1" customWidth="1"/>
    <col min="8714" max="8714" width="8.28515625" bestFit="1" customWidth="1"/>
    <col min="8715" max="8715" width="12.42578125" bestFit="1" customWidth="1"/>
    <col min="8716" max="8716" width="7.85546875" bestFit="1" customWidth="1"/>
    <col min="8717" max="8717" width="8.28515625" bestFit="1" customWidth="1"/>
    <col min="8718" max="8718" width="13.42578125" bestFit="1" customWidth="1"/>
    <col min="8719" max="8719" width="9" bestFit="1" customWidth="1"/>
    <col min="8720" max="8720" width="9.85546875" bestFit="1" customWidth="1"/>
    <col min="8721" max="8721" width="8.42578125" bestFit="1" customWidth="1"/>
    <col min="8722" max="8722" width="21.85546875" bestFit="1" customWidth="1"/>
    <col min="8723" max="8723" width="39.28515625" customWidth="1"/>
    <col min="8724" max="8724" width="53.85546875" customWidth="1"/>
    <col min="8725" max="8727" width="40" customWidth="1"/>
    <col min="8962" max="8962" width="47" customWidth="1"/>
    <col min="8963" max="8963" width="12.42578125" customWidth="1"/>
    <col min="8964" max="8964" width="10.5703125" customWidth="1"/>
    <col min="8965" max="8965" width="12.42578125" bestFit="1" customWidth="1"/>
    <col min="8966" max="8966" width="7.85546875" bestFit="1" customWidth="1"/>
    <col min="8967" max="8967" width="8.28515625" bestFit="1" customWidth="1"/>
    <col min="8968" max="8968" width="12.42578125" bestFit="1" customWidth="1"/>
    <col min="8969" max="8969" width="7.85546875" bestFit="1" customWidth="1"/>
    <col min="8970" max="8970" width="8.28515625" bestFit="1" customWidth="1"/>
    <col min="8971" max="8971" width="12.42578125" bestFit="1" customWidth="1"/>
    <col min="8972" max="8972" width="7.85546875" bestFit="1" customWidth="1"/>
    <col min="8973" max="8973" width="8.28515625" bestFit="1" customWidth="1"/>
    <col min="8974" max="8974" width="13.42578125" bestFit="1" customWidth="1"/>
    <col min="8975" max="8975" width="9" bestFit="1" customWidth="1"/>
    <col min="8976" max="8976" width="9.85546875" bestFit="1" customWidth="1"/>
    <col min="8977" max="8977" width="8.42578125" bestFit="1" customWidth="1"/>
    <col min="8978" max="8978" width="21.85546875" bestFit="1" customWidth="1"/>
    <col min="8979" max="8979" width="39.28515625" customWidth="1"/>
    <col min="8980" max="8980" width="53.85546875" customWidth="1"/>
    <col min="8981" max="8983" width="40" customWidth="1"/>
    <col min="9218" max="9218" width="47" customWidth="1"/>
    <col min="9219" max="9219" width="12.42578125" customWidth="1"/>
    <col min="9220" max="9220" width="10.5703125" customWidth="1"/>
    <col min="9221" max="9221" width="12.42578125" bestFit="1" customWidth="1"/>
    <col min="9222" max="9222" width="7.85546875" bestFit="1" customWidth="1"/>
    <col min="9223" max="9223" width="8.28515625" bestFit="1" customWidth="1"/>
    <col min="9224" max="9224" width="12.42578125" bestFit="1" customWidth="1"/>
    <col min="9225" max="9225" width="7.85546875" bestFit="1" customWidth="1"/>
    <col min="9226" max="9226" width="8.28515625" bestFit="1" customWidth="1"/>
    <col min="9227" max="9227" width="12.42578125" bestFit="1" customWidth="1"/>
    <col min="9228" max="9228" width="7.85546875" bestFit="1" customWidth="1"/>
    <col min="9229" max="9229" width="8.28515625" bestFit="1" customWidth="1"/>
    <col min="9230" max="9230" width="13.42578125" bestFit="1" customWidth="1"/>
    <col min="9231" max="9231" width="9" bestFit="1" customWidth="1"/>
    <col min="9232" max="9232" width="9.85546875" bestFit="1" customWidth="1"/>
    <col min="9233" max="9233" width="8.42578125" bestFit="1" customWidth="1"/>
    <col min="9234" max="9234" width="21.85546875" bestFit="1" customWidth="1"/>
    <col min="9235" max="9235" width="39.28515625" customWidth="1"/>
    <col min="9236" max="9236" width="53.85546875" customWidth="1"/>
    <col min="9237" max="9239" width="40" customWidth="1"/>
    <col min="9474" max="9474" width="47" customWidth="1"/>
    <col min="9475" max="9475" width="12.42578125" customWidth="1"/>
    <col min="9476" max="9476" width="10.5703125" customWidth="1"/>
    <col min="9477" max="9477" width="12.42578125" bestFit="1" customWidth="1"/>
    <col min="9478" max="9478" width="7.85546875" bestFit="1" customWidth="1"/>
    <col min="9479" max="9479" width="8.28515625" bestFit="1" customWidth="1"/>
    <col min="9480" max="9480" width="12.42578125" bestFit="1" customWidth="1"/>
    <col min="9481" max="9481" width="7.85546875" bestFit="1" customWidth="1"/>
    <col min="9482" max="9482" width="8.28515625" bestFit="1" customWidth="1"/>
    <col min="9483" max="9483" width="12.42578125" bestFit="1" customWidth="1"/>
    <col min="9484" max="9484" width="7.85546875" bestFit="1" customWidth="1"/>
    <col min="9485" max="9485" width="8.28515625" bestFit="1" customWidth="1"/>
    <col min="9486" max="9486" width="13.42578125" bestFit="1" customWidth="1"/>
    <col min="9487" max="9487" width="9" bestFit="1" customWidth="1"/>
    <col min="9488" max="9488" width="9.85546875" bestFit="1" customWidth="1"/>
    <col min="9489" max="9489" width="8.42578125" bestFit="1" customWidth="1"/>
    <col min="9490" max="9490" width="21.85546875" bestFit="1" customWidth="1"/>
    <col min="9491" max="9491" width="39.28515625" customWidth="1"/>
    <col min="9492" max="9492" width="53.85546875" customWidth="1"/>
    <col min="9493" max="9495" width="40" customWidth="1"/>
    <col min="9730" max="9730" width="47" customWidth="1"/>
    <col min="9731" max="9731" width="12.42578125" customWidth="1"/>
    <col min="9732" max="9732" width="10.5703125" customWidth="1"/>
    <col min="9733" max="9733" width="12.42578125" bestFit="1" customWidth="1"/>
    <col min="9734" max="9734" width="7.85546875" bestFit="1" customWidth="1"/>
    <col min="9735" max="9735" width="8.28515625" bestFit="1" customWidth="1"/>
    <col min="9736" max="9736" width="12.42578125" bestFit="1" customWidth="1"/>
    <col min="9737" max="9737" width="7.85546875" bestFit="1" customWidth="1"/>
    <col min="9738" max="9738" width="8.28515625" bestFit="1" customWidth="1"/>
    <col min="9739" max="9739" width="12.42578125" bestFit="1" customWidth="1"/>
    <col min="9740" max="9740" width="7.85546875" bestFit="1" customWidth="1"/>
    <col min="9741" max="9741" width="8.28515625" bestFit="1" customWidth="1"/>
    <col min="9742" max="9742" width="13.42578125" bestFit="1" customWidth="1"/>
    <col min="9743" max="9743" width="9" bestFit="1" customWidth="1"/>
    <col min="9744" max="9744" width="9.85546875" bestFit="1" customWidth="1"/>
    <col min="9745" max="9745" width="8.42578125" bestFit="1" customWidth="1"/>
    <col min="9746" max="9746" width="21.85546875" bestFit="1" customWidth="1"/>
    <col min="9747" max="9747" width="39.28515625" customWidth="1"/>
    <col min="9748" max="9748" width="53.85546875" customWidth="1"/>
    <col min="9749" max="9751" width="40" customWidth="1"/>
    <col min="9986" max="9986" width="47" customWidth="1"/>
    <col min="9987" max="9987" width="12.42578125" customWidth="1"/>
    <col min="9988" max="9988" width="10.5703125" customWidth="1"/>
    <col min="9989" max="9989" width="12.42578125" bestFit="1" customWidth="1"/>
    <col min="9990" max="9990" width="7.85546875" bestFit="1" customWidth="1"/>
    <col min="9991" max="9991" width="8.28515625" bestFit="1" customWidth="1"/>
    <col min="9992" max="9992" width="12.42578125" bestFit="1" customWidth="1"/>
    <col min="9993" max="9993" width="7.85546875" bestFit="1" customWidth="1"/>
    <col min="9994" max="9994" width="8.28515625" bestFit="1" customWidth="1"/>
    <col min="9995" max="9995" width="12.42578125" bestFit="1" customWidth="1"/>
    <col min="9996" max="9996" width="7.85546875" bestFit="1" customWidth="1"/>
    <col min="9997" max="9997" width="8.28515625" bestFit="1" customWidth="1"/>
    <col min="9998" max="9998" width="13.42578125" bestFit="1" customWidth="1"/>
    <col min="9999" max="9999" width="9" bestFit="1" customWidth="1"/>
    <col min="10000" max="10000" width="9.85546875" bestFit="1" customWidth="1"/>
    <col min="10001" max="10001" width="8.42578125" bestFit="1" customWidth="1"/>
    <col min="10002" max="10002" width="21.85546875" bestFit="1" customWidth="1"/>
    <col min="10003" max="10003" width="39.28515625" customWidth="1"/>
    <col min="10004" max="10004" width="53.85546875" customWidth="1"/>
    <col min="10005" max="10007" width="40" customWidth="1"/>
    <col min="10242" max="10242" width="47" customWidth="1"/>
    <col min="10243" max="10243" width="12.42578125" customWidth="1"/>
    <col min="10244" max="10244" width="10.5703125" customWidth="1"/>
    <col min="10245" max="10245" width="12.42578125" bestFit="1" customWidth="1"/>
    <col min="10246" max="10246" width="7.85546875" bestFit="1" customWidth="1"/>
    <col min="10247" max="10247" width="8.28515625" bestFit="1" customWidth="1"/>
    <col min="10248" max="10248" width="12.42578125" bestFit="1" customWidth="1"/>
    <col min="10249" max="10249" width="7.85546875" bestFit="1" customWidth="1"/>
    <col min="10250" max="10250" width="8.28515625" bestFit="1" customWidth="1"/>
    <col min="10251" max="10251" width="12.42578125" bestFit="1" customWidth="1"/>
    <col min="10252" max="10252" width="7.85546875" bestFit="1" customWidth="1"/>
    <col min="10253" max="10253" width="8.28515625" bestFit="1" customWidth="1"/>
    <col min="10254" max="10254" width="13.42578125" bestFit="1" customWidth="1"/>
    <col min="10255" max="10255" width="9" bestFit="1" customWidth="1"/>
    <col min="10256" max="10256" width="9.85546875" bestFit="1" customWidth="1"/>
    <col min="10257" max="10257" width="8.42578125" bestFit="1" customWidth="1"/>
    <col min="10258" max="10258" width="21.85546875" bestFit="1" customWidth="1"/>
    <col min="10259" max="10259" width="39.28515625" customWidth="1"/>
    <col min="10260" max="10260" width="53.85546875" customWidth="1"/>
    <col min="10261" max="10263" width="40" customWidth="1"/>
    <col min="10498" max="10498" width="47" customWidth="1"/>
    <col min="10499" max="10499" width="12.42578125" customWidth="1"/>
    <col min="10500" max="10500" width="10.5703125" customWidth="1"/>
    <col min="10501" max="10501" width="12.42578125" bestFit="1" customWidth="1"/>
    <col min="10502" max="10502" width="7.85546875" bestFit="1" customWidth="1"/>
    <col min="10503" max="10503" width="8.28515625" bestFit="1" customWidth="1"/>
    <col min="10504" max="10504" width="12.42578125" bestFit="1" customWidth="1"/>
    <col min="10505" max="10505" width="7.85546875" bestFit="1" customWidth="1"/>
    <col min="10506" max="10506" width="8.28515625" bestFit="1" customWidth="1"/>
    <col min="10507" max="10507" width="12.42578125" bestFit="1" customWidth="1"/>
    <col min="10508" max="10508" width="7.85546875" bestFit="1" customWidth="1"/>
    <col min="10509" max="10509" width="8.28515625" bestFit="1" customWidth="1"/>
    <col min="10510" max="10510" width="13.42578125" bestFit="1" customWidth="1"/>
    <col min="10511" max="10511" width="9" bestFit="1" customWidth="1"/>
    <col min="10512" max="10512" width="9.85546875" bestFit="1" customWidth="1"/>
    <col min="10513" max="10513" width="8.42578125" bestFit="1" customWidth="1"/>
    <col min="10514" max="10514" width="21.85546875" bestFit="1" customWidth="1"/>
    <col min="10515" max="10515" width="39.28515625" customWidth="1"/>
    <col min="10516" max="10516" width="53.85546875" customWidth="1"/>
    <col min="10517" max="10519" width="40" customWidth="1"/>
    <col min="10754" max="10754" width="47" customWidth="1"/>
    <col min="10755" max="10755" width="12.42578125" customWidth="1"/>
    <col min="10756" max="10756" width="10.5703125" customWidth="1"/>
    <col min="10757" max="10757" width="12.42578125" bestFit="1" customWidth="1"/>
    <col min="10758" max="10758" width="7.85546875" bestFit="1" customWidth="1"/>
    <col min="10759" max="10759" width="8.28515625" bestFit="1" customWidth="1"/>
    <col min="10760" max="10760" width="12.42578125" bestFit="1" customWidth="1"/>
    <col min="10761" max="10761" width="7.85546875" bestFit="1" customWidth="1"/>
    <col min="10762" max="10762" width="8.28515625" bestFit="1" customWidth="1"/>
    <col min="10763" max="10763" width="12.42578125" bestFit="1" customWidth="1"/>
    <col min="10764" max="10764" width="7.85546875" bestFit="1" customWidth="1"/>
    <col min="10765" max="10765" width="8.28515625" bestFit="1" customWidth="1"/>
    <col min="10766" max="10766" width="13.42578125" bestFit="1" customWidth="1"/>
    <col min="10767" max="10767" width="9" bestFit="1" customWidth="1"/>
    <col min="10768" max="10768" width="9.85546875" bestFit="1" customWidth="1"/>
    <col min="10769" max="10769" width="8.42578125" bestFit="1" customWidth="1"/>
    <col min="10770" max="10770" width="21.85546875" bestFit="1" customWidth="1"/>
    <col min="10771" max="10771" width="39.28515625" customWidth="1"/>
    <col min="10772" max="10772" width="53.85546875" customWidth="1"/>
    <col min="10773" max="10775" width="40" customWidth="1"/>
    <col min="11010" max="11010" width="47" customWidth="1"/>
    <col min="11011" max="11011" width="12.42578125" customWidth="1"/>
    <col min="11012" max="11012" width="10.5703125" customWidth="1"/>
    <col min="11013" max="11013" width="12.42578125" bestFit="1" customWidth="1"/>
    <col min="11014" max="11014" width="7.85546875" bestFit="1" customWidth="1"/>
    <col min="11015" max="11015" width="8.28515625" bestFit="1" customWidth="1"/>
    <col min="11016" max="11016" width="12.42578125" bestFit="1" customWidth="1"/>
    <col min="11017" max="11017" width="7.85546875" bestFit="1" customWidth="1"/>
    <col min="11018" max="11018" width="8.28515625" bestFit="1" customWidth="1"/>
    <col min="11019" max="11019" width="12.42578125" bestFit="1" customWidth="1"/>
    <col min="11020" max="11020" width="7.85546875" bestFit="1" customWidth="1"/>
    <col min="11021" max="11021" width="8.28515625" bestFit="1" customWidth="1"/>
    <col min="11022" max="11022" width="13.42578125" bestFit="1" customWidth="1"/>
    <col min="11023" max="11023" width="9" bestFit="1" customWidth="1"/>
    <col min="11024" max="11024" width="9.85546875" bestFit="1" customWidth="1"/>
    <col min="11025" max="11025" width="8.42578125" bestFit="1" customWidth="1"/>
    <col min="11026" max="11026" width="21.85546875" bestFit="1" customWidth="1"/>
    <col min="11027" max="11027" width="39.28515625" customWidth="1"/>
    <col min="11028" max="11028" width="53.85546875" customWidth="1"/>
    <col min="11029" max="11031" width="40" customWidth="1"/>
    <col min="11266" max="11266" width="47" customWidth="1"/>
    <col min="11267" max="11267" width="12.42578125" customWidth="1"/>
    <col min="11268" max="11268" width="10.5703125" customWidth="1"/>
    <col min="11269" max="11269" width="12.42578125" bestFit="1" customWidth="1"/>
    <col min="11270" max="11270" width="7.85546875" bestFit="1" customWidth="1"/>
    <col min="11271" max="11271" width="8.28515625" bestFit="1" customWidth="1"/>
    <col min="11272" max="11272" width="12.42578125" bestFit="1" customWidth="1"/>
    <col min="11273" max="11273" width="7.85546875" bestFit="1" customWidth="1"/>
    <col min="11274" max="11274" width="8.28515625" bestFit="1" customWidth="1"/>
    <col min="11275" max="11275" width="12.42578125" bestFit="1" customWidth="1"/>
    <col min="11276" max="11276" width="7.85546875" bestFit="1" customWidth="1"/>
    <col min="11277" max="11277" width="8.28515625" bestFit="1" customWidth="1"/>
    <col min="11278" max="11278" width="13.42578125" bestFit="1" customWidth="1"/>
    <col min="11279" max="11279" width="9" bestFit="1" customWidth="1"/>
    <col min="11280" max="11280" width="9.85546875" bestFit="1" customWidth="1"/>
    <col min="11281" max="11281" width="8.42578125" bestFit="1" customWidth="1"/>
    <col min="11282" max="11282" width="21.85546875" bestFit="1" customWidth="1"/>
    <col min="11283" max="11283" width="39.28515625" customWidth="1"/>
    <col min="11284" max="11284" width="53.85546875" customWidth="1"/>
    <col min="11285" max="11287" width="40" customWidth="1"/>
    <col min="11522" max="11522" width="47" customWidth="1"/>
    <col min="11523" max="11523" width="12.42578125" customWidth="1"/>
    <col min="11524" max="11524" width="10.5703125" customWidth="1"/>
    <col min="11525" max="11525" width="12.42578125" bestFit="1" customWidth="1"/>
    <col min="11526" max="11526" width="7.85546875" bestFit="1" customWidth="1"/>
    <col min="11527" max="11527" width="8.28515625" bestFit="1" customWidth="1"/>
    <col min="11528" max="11528" width="12.42578125" bestFit="1" customWidth="1"/>
    <col min="11529" max="11529" width="7.85546875" bestFit="1" customWidth="1"/>
    <col min="11530" max="11530" width="8.28515625" bestFit="1" customWidth="1"/>
    <col min="11531" max="11531" width="12.42578125" bestFit="1" customWidth="1"/>
    <col min="11532" max="11532" width="7.85546875" bestFit="1" customWidth="1"/>
    <col min="11533" max="11533" width="8.28515625" bestFit="1" customWidth="1"/>
    <col min="11534" max="11534" width="13.42578125" bestFit="1" customWidth="1"/>
    <col min="11535" max="11535" width="9" bestFit="1" customWidth="1"/>
    <col min="11536" max="11536" width="9.85546875" bestFit="1" customWidth="1"/>
    <col min="11537" max="11537" width="8.42578125" bestFit="1" customWidth="1"/>
    <col min="11538" max="11538" width="21.85546875" bestFit="1" customWidth="1"/>
    <col min="11539" max="11539" width="39.28515625" customWidth="1"/>
    <col min="11540" max="11540" width="53.85546875" customWidth="1"/>
    <col min="11541" max="11543" width="40" customWidth="1"/>
    <col min="11778" max="11778" width="47" customWidth="1"/>
    <col min="11779" max="11779" width="12.42578125" customWidth="1"/>
    <col min="11780" max="11780" width="10.5703125" customWidth="1"/>
    <col min="11781" max="11781" width="12.42578125" bestFit="1" customWidth="1"/>
    <col min="11782" max="11782" width="7.85546875" bestFit="1" customWidth="1"/>
    <col min="11783" max="11783" width="8.28515625" bestFit="1" customWidth="1"/>
    <col min="11784" max="11784" width="12.42578125" bestFit="1" customWidth="1"/>
    <col min="11785" max="11785" width="7.85546875" bestFit="1" customWidth="1"/>
    <col min="11786" max="11786" width="8.28515625" bestFit="1" customWidth="1"/>
    <col min="11787" max="11787" width="12.42578125" bestFit="1" customWidth="1"/>
    <col min="11788" max="11788" width="7.85546875" bestFit="1" customWidth="1"/>
    <col min="11789" max="11789" width="8.28515625" bestFit="1" customWidth="1"/>
    <col min="11790" max="11790" width="13.42578125" bestFit="1" customWidth="1"/>
    <col min="11791" max="11791" width="9" bestFit="1" customWidth="1"/>
    <col min="11792" max="11792" width="9.85546875" bestFit="1" customWidth="1"/>
    <col min="11793" max="11793" width="8.42578125" bestFit="1" customWidth="1"/>
    <col min="11794" max="11794" width="21.85546875" bestFit="1" customWidth="1"/>
    <col min="11795" max="11795" width="39.28515625" customWidth="1"/>
    <col min="11796" max="11796" width="53.85546875" customWidth="1"/>
    <col min="11797" max="11799" width="40" customWidth="1"/>
    <col min="12034" max="12034" width="47" customWidth="1"/>
    <col min="12035" max="12035" width="12.42578125" customWidth="1"/>
    <col min="12036" max="12036" width="10.5703125" customWidth="1"/>
    <col min="12037" max="12037" width="12.42578125" bestFit="1" customWidth="1"/>
    <col min="12038" max="12038" width="7.85546875" bestFit="1" customWidth="1"/>
    <col min="12039" max="12039" width="8.28515625" bestFit="1" customWidth="1"/>
    <col min="12040" max="12040" width="12.42578125" bestFit="1" customWidth="1"/>
    <col min="12041" max="12041" width="7.85546875" bestFit="1" customWidth="1"/>
    <col min="12042" max="12042" width="8.28515625" bestFit="1" customWidth="1"/>
    <col min="12043" max="12043" width="12.42578125" bestFit="1" customWidth="1"/>
    <col min="12044" max="12044" width="7.85546875" bestFit="1" customWidth="1"/>
    <col min="12045" max="12045" width="8.28515625" bestFit="1" customWidth="1"/>
    <col min="12046" max="12046" width="13.42578125" bestFit="1" customWidth="1"/>
    <col min="12047" max="12047" width="9" bestFit="1" customWidth="1"/>
    <col min="12048" max="12048" width="9.85546875" bestFit="1" customWidth="1"/>
    <col min="12049" max="12049" width="8.42578125" bestFit="1" customWidth="1"/>
    <col min="12050" max="12050" width="21.85546875" bestFit="1" customWidth="1"/>
    <col min="12051" max="12051" width="39.28515625" customWidth="1"/>
    <col min="12052" max="12052" width="53.85546875" customWidth="1"/>
    <col min="12053" max="12055" width="40" customWidth="1"/>
    <col min="12290" max="12290" width="47" customWidth="1"/>
    <col min="12291" max="12291" width="12.42578125" customWidth="1"/>
    <col min="12292" max="12292" width="10.5703125" customWidth="1"/>
    <col min="12293" max="12293" width="12.42578125" bestFit="1" customWidth="1"/>
    <col min="12294" max="12294" width="7.85546875" bestFit="1" customWidth="1"/>
    <col min="12295" max="12295" width="8.28515625" bestFit="1" customWidth="1"/>
    <col min="12296" max="12296" width="12.42578125" bestFit="1" customWidth="1"/>
    <col min="12297" max="12297" width="7.85546875" bestFit="1" customWidth="1"/>
    <col min="12298" max="12298" width="8.28515625" bestFit="1" customWidth="1"/>
    <col min="12299" max="12299" width="12.42578125" bestFit="1" customWidth="1"/>
    <col min="12300" max="12300" width="7.85546875" bestFit="1" customWidth="1"/>
    <col min="12301" max="12301" width="8.28515625" bestFit="1" customWidth="1"/>
    <col min="12302" max="12302" width="13.42578125" bestFit="1" customWidth="1"/>
    <col min="12303" max="12303" width="9" bestFit="1" customWidth="1"/>
    <col min="12304" max="12304" width="9.85546875" bestFit="1" customWidth="1"/>
    <col min="12305" max="12305" width="8.42578125" bestFit="1" customWidth="1"/>
    <col min="12306" max="12306" width="21.85546875" bestFit="1" customWidth="1"/>
    <col min="12307" max="12307" width="39.28515625" customWidth="1"/>
    <col min="12308" max="12308" width="53.85546875" customWidth="1"/>
    <col min="12309" max="12311" width="40" customWidth="1"/>
    <col min="12546" max="12546" width="47" customWidth="1"/>
    <col min="12547" max="12547" width="12.42578125" customWidth="1"/>
    <col min="12548" max="12548" width="10.5703125" customWidth="1"/>
    <col min="12549" max="12549" width="12.42578125" bestFit="1" customWidth="1"/>
    <col min="12550" max="12550" width="7.85546875" bestFit="1" customWidth="1"/>
    <col min="12551" max="12551" width="8.28515625" bestFit="1" customWidth="1"/>
    <col min="12552" max="12552" width="12.42578125" bestFit="1" customWidth="1"/>
    <col min="12553" max="12553" width="7.85546875" bestFit="1" customWidth="1"/>
    <col min="12554" max="12554" width="8.28515625" bestFit="1" customWidth="1"/>
    <col min="12555" max="12555" width="12.42578125" bestFit="1" customWidth="1"/>
    <col min="12556" max="12556" width="7.85546875" bestFit="1" customWidth="1"/>
    <col min="12557" max="12557" width="8.28515625" bestFit="1" customWidth="1"/>
    <col min="12558" max="12558" width="13.42578125" bestFit="1" customWidth="1"/>
    <col min="12559" max="12559" width="9" bestFit="1" customWidth="1"/>
    <col min="12560" max="12560" width="9.85546875" bestFit="1" customWidth="1"/>
    <col min="12561" max="12561" width="8.42578125" bestFit="1" customWidth="1"/>
    <col min="12562" max="12562" width="21.85546875" bestFit="1" customWidth="1"/>
    <col min="12563" max="12563" width="39.28515625" customWidth="1"/>
    <col min="12564" max="12564" width="53.85546875" customWidth="1"/>
    <col min="12565" max="12567" width="40" customWidth="1"/>
    <col min="12802" max="12802" width="47" customWidth="1"/>
    <col min="12803" max="12803" width="12.42578125" customWidth="1"/>
    <col min="12804" max="12804" width="10.5703125" customWidth="1"/>
    <col min="12805" max="12805" width="12.42578125" bestFit="1" customWidth="1"/>
    <col min="12806" max="12806" width="7.85546875" bestFit="1" customWidth="1"/>
    <col min="12807" max="12807" width="8.28515625" bestFit="1" customWidth="1"/>
    <col min="12808" max="12808" width="12.42578125" bestFit="1" customWidth="1"/>
    <col min="12809" max="12809" width="7.85546875" bestFit="1" customWidth="1"/>
    <col min="12810" max="12810" width="8.28515625" bestFit="1" customWidth="1"/>
    <col min="12811" max="12811" width="12.42578125" bestFit="1" customWidth="1"/>
    <col min="12812" max="12812" width="7.85546875" bestFit="1" customWidth="1"/>
    <col min="12813" max="12813" width="8.28515625" bestFit="1" customWidth="1"/>
    <col min="12814" max="12814" width="13.42578125" bestFit="1" customWidth="1"/>
    <col min="12815" max="12815" width="9" bestFit="1" customWidth="1"/>
    <col min="12816" max="12816" width="9.85546875" bestFit="1" customWidth="1"/>
    <col min="12817" max="12817" width="8.42578125" bestFit="1" customWidth="1"/>
    <col min="12818" max="12818" width="21.85546875" bestFit="1" customWidth="1"/>
    <col min="12819" max="12819" width="39.28515625" customWidth="1"/>
    <col min="12820" max="12820" width="53.85546875" customWidth="1"/>
    <col min="12821" max="12823" width="40" customWidth="1"/>
    <col min="13058" max="13058" width="47" customWidth="1"/>
    <col min="13059" max="13059" width="12.42578125" customWidth="1"/>
    <col min="13060" max="13060" width="10.5703125" customWidth="1"/>
    <col min="13061" max="13061" width="12.42578125" bestFit="1" customWidth="1"/>
    <col min="13062" max="13062" width="7.85546875" bestFit="1" customWidth="1"/>
    <col min="13063" max="13063" width="8.28515625" bestFit="1" customWidth="1"/>
    <col min="13064" max="13064" width="12.42578125" bestFit="1" customWidth="1"/>
    <col min="13065" max="13065" width="7.85546875" bestFit="1" customWidth="1"/>
    <col min="13066" max="13066" width="8.28515625" bestFit="1" customWidth="1"/>
    <col min="13067" max="13067" width="12.42578125" bestFit="1" customWidth="1"/>
    <col min="13068" max="13068" width="7.85546875" bestFit="1" customWidth="1"/>
    <col min="13069" max="13069" width="8.28515625" bestFit="1" customWidth="1"/>
    <col min="13070" max="13070" width="13.42578125" bestFit="1" customWidth="1"/>
    <col min="13071" max="13071" width="9" bestFit="1" customWidth="1"/>
    <col min="13072" max="13072" width="9.85546875" bestFit="1" customWidth="1"/>
    <col min="13073" max="13073" width="8.42578125" bestFit="1" customWidth="1"/>
    <col min="13074" max="13074" width="21.85546875" bestFit="1" customWidth="1"/>
    <col min="13075" max="13075" width="39.28515625" customWidth="1"/>
    <col min="13076" max="13076" width="53.85546875" customWidth="1"/>
    <col min="13077" max="13079" width="40" customWidth="1"/>
    <col min="13314" max="13314" width="47" customWidth="1"/>
    <col min="13315" max="13315" width="12.42578125" customWidth="1"/>
    <col min="13316" max="13316" width="10.5703125" customWidth="1"/>
    <col min="13317" max="13317" width="12.42578125" bestFit="1" customWidth="1"/>
    <col min="13318" max="13318" width="7.85546875" bestFit="1" customWidth="1"/>
    <col min="13319" max="13319" width="8.28515625" bestFit="1" customWidth="1"/>
    <col min="13320" max="13320" width="12.42578125" bestFit="1" customWidth="1"/>
    <col min="13321" max="13321" width="7.85546875" bestFit="1" customWidth="1"/>
    <col min="13322" max="13322" width="8.28515625" bestFit="1" customWidth="1"/>
    <col min="13323" max="13323" width="12.42578125" bestFit="1" customWidth="1"/>
    <col min="13324" max="13324" width="7.85546875" bestFit="1" customWidth="1"/>
    <col min="13325" max="13325" width="8.28515625" bestFit="1" customWidth="1"/>
    <col min="13326" max="13326" width="13.42578125" bestFit="1" customWidth="1"/>
    <col min="13327" max="13327" width="9" bestFit="1" customWidth="1"/>
    <col min="13328" max="13328" width="9.85546875" bestFit="1" customWidth="1"/>
    <col min="13329" max="13329" width="8.42578125" bestFit="1" customWidth="1"/>
    <col min="13330" max="13330" width="21.85546875" bestFit="1" customWidth="1"/>
    <col min="13331" max="13331" width="39.28515625" customWidth="1"/>
    <col min="13332" max="13332" width="53.85546875" customWidth="1"/>
    <col min="13333" max="13335" width="40" customWidth="1"/>
    <col min="13570" max="13570" width="47" customWidth="1"/>
    <col min="13571" max="13571" width="12.42578125" customWidth="1"/>
    <col min="13572" max="13572" width="10.5703125" customWidth="1"/>
    <col min="13573" max="13573" width="12.42578125" bestFit="1" customWidth="1"/>
    <col min="13574" max="13574" width="7.85546875" bestFit="1" customWidth="1"/>
    <col min="13575" max="13575" width="8.28515625" bestFit="1" customWidth="1"/>
    <col min="13576" max="13576" width="12.42578125" bestFit="1" customWidth="1"/>
    <col min="13577" max="13577" width="7.85546875" bestFit="1" customWidth="1"/>
    <col min="13578" max="13578" width="8.28515625" bestFit="1" customWidth="1"/>
    <col min="13579" max="13579" width="12.42578125" bestFit="1" customWidth="1"/>
    <col min="13580" max="13580" width="7.85546875" bestFit="1" customWidth="1"/>
    <col min="13581" max="13581" width="8.28515625" bestFit="1" customWidth="1"/>
    <col min="13582" max="13582" width="13.42578125" bestFit="1" customWidth="1"/>
    <col min="13583" max="13583" width="9" bestFit="1" customWidth="1"/>
    <col min="13584" max="13584" width="9.85546875" bestFit="1" customWidth="1"/>
    <col min="13585" max="13585" width="8.42578125" bestFit="1" customWidth="1"/>
    <col min="13586" max="13586" width="21.85546875" bestFit="1" customWidth="1"/>
    <col min="13587" max="13587" width="39.28515625" customWidth="1"/>
    <col min="13588" max="13588" width="53.85546875" customWidth="1"/>
    <col min="13589" max="13591" width="40" customWidth="1"/>
    <col min="13826" max="13826" width="47" customWidth="1"/>
    <col min="13827" max="13827" width="12.42578125" customWidth="1"/>
    <col min="13828" max="13828" width="10.5703125" customWidth="1"/>
    <col min="13829" max="13829" width="12.42578125" bestFit="1" customWidth="1"/>
    <col min="13830" max="13830" width="7.85546875" bestFit="1" customWidth="1"/>
    <col min="13831" max="13831" width="8.28515625" bestFit="1" customWidth="1"/>
    <col min="13832" max="13832" width="12.42578125" bestFit="1" customWidth="1"/>
    <col min="13833" max="13833" width="7.85546875" bestFit="1" customWidth="1"/>
    <col min="13834" max="13834" width="8.28515625" bestFit="1" customWidth="1"/>
    <col min="13835" max="13835" width="12.42578125" bestFit="1" customWidth="1"/>
    <col min="13836" max="13836" width="7.85546875" bestFit="1" customWidth="1"/>
    <col min="13837" max="13837" width="8.28515625" bestFit="1" customWidth="1"/>
    <col min="13838" max="13838" width="13.42578125" bestFit="1" customWidth="1"/>
    <col min="13839" max="13839" width="9" bestFit="1" customWidth="1"/>
    <col min="13840" max="13840" width="9.85546875" bestFit="1" customWidth="1"/>
    <col min="13841" max="13841" width="8.42578125" bestFit="1" customWidth="1"/>
    <col min="13842" max="13842" width="21.85546875" bestFit="1" customWidth="1"/>
    <col min="13843" max="13843" width="39.28515625" customWidth="1"/>
    <col min="13844" max="13844" width="53.85546875" customWidth="1"/>
    <col min="13845" max="13847" width="40" customWidth="1"/>
    <col min="14082" max="14082" width="47" customWidth="1"/>
    <col min="14083" max="14083" width="12.42578125" customWidth="1"/>
    <col min="14084" max="14084" width="10.5703125" customWidth="1"/>
    <col min="14085" max="14085" width="12.42578125" bestFit="1" customWidth="1"/>
    <col min="14086" max="14086" width="7.85546875" bestFit="1" customWidth="1"/>
    <col min="14087" max="14087" width="8.28515625" bestFit="1" customWidth="1"/>
    <col min="14088" max="14088" width="12.42578125" bestFit="1" customWidth="1"/>
    <col min="14089" max="14089" width="7.85546875" bestFit="1" customWidth="1"/>
    <col min="14090" max="14090" width="8.28515625" bestFit="1" customWidth="1"/>
    <col min="14091" max="14091" width="12.42578125" bestFit="1" customWidth="1"/>
    <col min="14092" max="14092" width="7.85546875" bestFit="1" customWidth="1"/>
    <col min="14093" max="14093" width="8.28515625" bestFit="1" customWidth="1"/>
    <col min="14094" max="14094" width="13.42578125" bestFit="1" customWidth="1"/>
    <col min="14095" max="14095" width="9" bestFit="1" customWidth="1"/>
    <col min="14096" max="14096" width="9.85546875" bestFit="1" customWidth="1"/>
    <col min="14097" max="14097" width="8.42578125" bestFit="1" customWidth="1"/>
    <col min="14098" max="14098" width="21.85546875" bestFit="1" customWidth="1"/>
    <col min="14099" max="14099" width="39.28515625" customWidth="1"/>
    <col min="14100" max="14100" width="53.85546875" customWidth="1"/>
    <col min="14101" max="14103" width="40" customWidth="1"/>
    <col min="14338" max="14338" width="47" customWidth="1"/>
    <col min="14339" max="14339" width="12.42578125" customWidth="1"/>
    <col min="14340" max="14340" width="10.5703125" customWidth="1"/>
    <col min="14341" max="14341" width="12.42578125" bestFit="1" customWidth="1"/>
    <col min="14342" max="14342" width="7.85546875" bestFit="1" customWidth="1"/>
    <col min="14343" max="14343" width="8.28515625" bestFit="1" customWidth="1"/>
    <col min="14344" max="14344" width="12.42578125" bestFit="1" customWidth="1"/>
    <col min="14345" max="14345" width="7.85546875" bestFit="1" customWidth="1"/>
    <col min="14346" max="14346" width="8.28515625" bestFit="1" customWidth="1"/>
    <col min="14347" max="14347" width="12.42578125" bestFit="1" customWidth="1"/>
    <col min="14348" max="14348" width="7.85546875" bestFit="1" customWidth="1"/>
    <col min="14349" max="14349" width="8.28515625" bestFit="1" customWidth="1"/>
    <col min="14350" max="14350" width="13.42578125" bestFit="1" customWidth="1"/>
    <col min="14351" max="14351" width="9" bestFit="1" customWidth="1"/>
    <col min="14352" max="14352" width="9.85546875" bestFit="1" customWidth="1"/>
    <col min="14353" max="14353" width="8.42578125" bestFit="1" customWidth="1"/>
    <col min="14354" max="14354" width="21.85546875" bestFit="1" customWidth="1"/>
    <col min="14355" max="14355" width="39.28515625" customWidth="1"/>
    <col min="14356" max="14356" width="53.85546875" customWidth="1"/>
    <col min="14357" max="14359" width="40" customWidth="1"/>
    <col min="14594" max="14594" width="47" customWidth="1"/>
    <col min="14595" max="14595" width="12.42578125" customWidth="1"/>
    <col min="14596" max="14596" width="10.5703125" customWidth="1"/>
    <col min="14597" max="14597" width="12.42578125" bestFit="1" customWidth="1"/>
    <col min="14598" max="14598" width="7.85546875" bestFit="1" customWidth="1"/>
    <col min="14599" max="14599" width="8.28515625" bestFit="1" customWidth="1"/>
    <col min="14600" max="14600" width="12.42578125" bestFit="1" customWidth="1"/>
    <col min="14601" max="14601" width="7.85546875" bestFit="1" customWidth="1"/>
    <col min="14602" max="14602" width="8.28515625" bestFit="1" customWidth="1"/>
    <col min="14603" max="14603" width="12.42578125" bestFit="1" customWidth="1"/>
    <col min="14604" max="14604" width="7.85546875" bestFit="1" customWidth="1"/>
    <col min="14605" max="14605" width="8.28515625" bestFit="1" customWidth="1"/>
    <col min="14606" max="14606" width="13.42578125" bestFit="1" customWidth="1"/>
    <col min="14607" max="14607" width="9" bestFit="1" customWidth="1"/>
    <col min="14608" max="14608" width="9.85546875" bestFit="1" customWidth="1"/>
    <col min="14609" max="14609" width="8.42578125" bestFit="1" customWidth="1"/>
    <col min="14610" max="14610" width="21.85546875" bestFit="1" customWidth="1"/>
    <col min="14611" max="14611" width="39.28515625" customWidth="1"/>
    <col min="14612" max="14612" width="53.85546875" customWidth="1"/>
    <col min="14613" max="14615" width="40" customWidth="1"/>
    <col min="14850" max="14850" width="47" customWidth="1"/>
    <col min="14851" max="14851" width="12.42578125" customWidth="1"/>
    <col min="14852" max="14852" width="10.5703125" customWidth="1"/>
    <col min="14853" max="14853" width="12.42578125" bestFit="1" customWidth="1"/>
    <col min="14854" max="14854" width="7.85546875" bestFit="1" customWidth="1"/>
    <col min="14855" max="14855" width="8.28515625" bestFit="1" customWidth="1"/>
    <col min="14856" max="14856" width="12.42578125" bestFit="1" customWidth="1"/>
    <col min="14857" max="14857" width="7.85546875" bestFit="1" customWidth="1"/>
    <col min="14858" max="14858" width="8.28515625" bestFit="1" customWidth="1"/>
    <col min="14859" max="14859" width="12.42578125" bestFit="1" customWidth="1"/>
    <col min="14860" max="14860" width="7.85546875" bestFit="1" customWidth="1"/>
    <col min="14861" max="14861" width="8.28515625" bestFit="1" customWidth="1"/>
    <col min="14862" max="14862" width="13.42578125" bestFit="1" customWidth="1"/>
    <col min="14863" max="14863" width="9" bestFit="1" customWidth="1"/>
    <col min="14864" max="14864" width="9.85546875" bestFit="1" customWidth="1"/>
    <col min="14865" max="14865" width="8.42578125" bestFit="1" customWidth="1"/>
    <col min="14866" max="14866" width="21.85546875" bestFit="1" customWidth="1"/>
    <col min="14867" max="14867" width="39.28515625" customWidth="1"/>
    <col min="14868" max="14868" width="53.85546875" customWidth="1"/>
    <col min="14869" max="14871" width="40" customWidth="1"/>
    <col min="15106" max="15106" width="47" customWidth="1"/>
    <col min="15107" max="15107" width="12.42578125" customWidth="1"/>
    <col min="15108" max="15108" width="10.5703125" customWidth="1"/>
    <col min="15109" max="15109" width="12.42578125" bestFit="1" customWidth="1"/>
    <col min="15110" max="15110" width="7.85546875" bestFit="1" customWidth="1"/>
    <col min="15111" max="15111" width="8.28515625" bestFit="1" customWidth="1"/>
    <col min="15112" max="15112" width="12.42578125" bestFit="1" customWidth="1"/>
    <col min="15113" max="15113" width="7.85546875" bestFit="1" customWidth="1"/>
    <col min="15114" max="15114" width="8.28515625" bestFit="1" customWidth="1"/>
    <col min="15115" max="15115" width="12.42578125" bestFit="1" customWidth="1"/>
    <col min="15116" max="15116" width="7.85546875" bestFit="1" customWidth="1"/>
    <col min="15117" max="15117" width="8.28515625" bestFit="1" customWidth="1"/>
    <col min="15118" max="15118" width="13.42578125" bestFit="1" customWidth="1"/>
    <col min="15119" max="15119" width="9" bestFit="1" customWidth="1"/>
    <col min="15120" max="15120" width="9.85546875" bestFit="1" customWidth="1"/>
    <col min="15121" max="15121" width="8.42578125" bestFit="1" customWidth="1"/>
    <col min="15122" max="15122" width="21.85546875" bestFit="1" customWidth="1"/>
    <col min="15123" max="15123" width="39.28515625" customWidth="1"/>
    <col min="15124" max="15124" width="53.85546875" customWidth="1"/>
    <col min="15125" max="15127" width="40" customWidth="1"/>
    <col min="15362" max="15362" width="47" customWidth="1"/>
    <col min="15363" max="15363" width="12.42578125" customWidth="1"/>
    <col min="15364" max="15364" width="10.5703125" customWidth="1"/>
    <col min="15365" max="15365" width="12.42578125" bestFit="1" customWidth="1"/>
    <col min="15366" max="15366" width="7.85546875" bestFit="1" customWidth="1"/>
    <col min="15367" max="15367" width="8.28515625" bestFit="1" customWidth="1"/>
    <col min="15368" max="15368" width="12.42578125" bestFit="1" customWidth="1"/>
    <col min="15369" max="15369" width="7.85546875" bestFit="1" customWidth="1"/>
    <col min="15370" max="15370" width="8.28515625" bestFit="1" customWidth="1"/>
    <col min="15371" max="15371" width="12.42578125" bestFit="1" customWidth="1"/>
    <col min="15372" max="15372" width="7.85546875" bestFit="1" customWidth="1"/>
    <col min="15373" max="15373" width="8.28515625" bestFit="1" customWidth="1"/>
    <col min="15374" max="15374" width="13.42578125" bestFit="1" customWidth="1"/>
    <col min="15375" max="15375" width="9" bestFit="1" customWidth="1"/>
    <col min="15376" max="15376" width="9.85546875" bestFit="1" customWidth="1"/>
    <col min="15377" max="15377" width="8.42578125" bestFit="1" customWidth="1"/>
    <col min="15378" max="15378" width="21.85546875" bestFit="1" customWidth="1"/>
    <col min="15379" max="15379" width="39.28515625" customWidth="1"/>
    <col min="15380" max="15380" width="53.85546875" customWidth="1"/>
    <col min="15381" max="15383" width="40" customWidth="1"/>
    <col min="15618" max="15618" width="47" customWidth="1"/>
    <col min="15619" max="15619" width="12.42578125" customWidth="1"/>
    <col min="15620" max="15620" width="10.5703125" customWidth="1"/>
    <col min="15621" max="15621" width="12.42578125" bestFit="1" customWidth="1"/>
    <col min="15622" max="15622" width="7.85546875" bestFit="1" customWidth="1"/>
    <col min="15623" max="15623" width="8.28515625" bestFit="1" customWidth="1"/>
    <col min="15624" max="15624" width="12.42578125" bestFit="1" customWidth="1"/>
    <col min="15625" max="15625" width="7.85546875" bestFit="1" customWidth="1"/>
    <col min="15626" max="15626" width="8.28515625" bestFit="1" customWidth="1"/>
    <col min="15627" max="15627" width="12.42578125" bestFit="1" customWidth="1"/>
    <col min="15628" max="15628" width="7.85546875" bestFit="1" customWidth="1"/>
    <col min="15629" max="15629" width="8.28515625" bestFit="1" customWidth="1"/>
    <col min="15630" max="15630" width="13.42578125" bestFit="1" customWidth="1"/>
    <col min="15631" max="15631" width="9" bestFit="1" customWidth="1"/>
    <col min="15632" max="15632" width="9.85546875" bestFit="1" customWidth="1"/>
    <col min="15633" max="15633" width="8.42578125" bestFit="1" customWidth="1"/>
    <col min="15634" max="15634" width="21.85546875" bestFit="1" customWidth="1"/>
    <col min="15635" max="15635" width="39.28515625" customWidth="1"/>
    <col min="15636" max="15636" width="53.85546875" customWidth="1"/>
    <col min="15637" max="15639" width="40" customWidth="1"/>
    <col min="15874" max="15874" width="47" customWidth="1"/>
    <col min="15875" max="15875" width="12.42578125" customWidth="1"/>
    <col min="15876" max="15876" width="10.5703125" customWidth="1"/>
    <col min="15877" max="15877" width="12.42578125" bestFit="1" customWidth="1"/>
    <col min="15878" max="15878" width="7.85546875" bestFit="1" customWidth="1"/>
    <col min="15879" max="15879" width="8.28515625" bestFit="1" customWidth="1"/>
    <col min="15880" max="15880" width="12.42578125" bestFit="1" customWidth="1"/>
    <col min="15881" max="15881" width="7.85546875" bestFit="1" customWidth="1"/>
    <col min="15882" max="15882" width="8.28515625" bestFit="1" customWidth="1"/>
    <col min="15883" max="15883" width="12.42578125" bestFit="1" customWidth="1"/>
    <col min="15884" max="15884" width="7.85546875" bestFit="1" customWidth="1"/>
    <col min="15885" max="15885" width="8.28515625" bestFit="1" customWidth="1"/>
    <col min="15886" max="15886" width="13.42578125" bestFit="1" customWidth="1"/>
    <col min="15887" max="15887" width="9" bestFit="1" customWidth="1"/>
    <col min="15888" max="15888" width="9.85546875" bestFit="1" customWidth="1"/>
    <col min="15889" max="15889" width="8.42578125" bestFit="1" customWidth="1"/>
    <col min="15890" max="15890" width="21.85546875" bestFit="1" customWidth="1"/>
    <col min="15891" max="15891" width="39.28515625" customWidth="1"/>
    <col min="15892" max="15892" width="53.85546875" customWidth="1"/>
    <col min="15893" max="15895" width="40" customWidth="1"/>
    <col min="16130" max="16130" width="47" customWidth="1"/>
    <col min="16131" max="16131" width="12.42578125" customWidth="1"/>
    <col min="16132" max="16132" width="10.5703125" customWidth="1"/>
    <col min="16133" max="16133" width="12.42578125" bestFit="1" customWidth="1"/>
    <col min="16134" max="16134" width="7.85546875" bestFit="1" customWidth="1"/>
    <col min="16135" max="16135" width="8.28515625" bestFit="1" customWidth="1"/>
    <col min="16136" max="16136" width="12.42578125" bestFit="1" customWidth="1"/>
    <col min="16137" max="16137" width="7.85546875" bestFit="1" customWidth="1"/>
    <col min="16138" max="16138" width="8.28515625" bestFit="1" customWidth="1"/>
    <col min="16139" max="16139" width="12.42578125" bestFit="1" customWidth="1"/>
    <col min="16140" max="16140" width="7.85546875" bestFit="1" customWidth="1"/>
    <col min="16141" max="16141" width="8.28515625" bestFit="1" customWidth="1"/>
    <col min="16142" max="16142" width="13.42578125" bestFit="1" customWidth="1"/>
    <col min="16143" max="16143" width="9" bestFit="1" customWidth="1"/>
    <col min="16144" max="16144" width="9.85546875" bestFit="1" customWidth="1"/>
    <col min="16145" max="16145" width="8.42578125" bestFit="1" customWidth="1"/>
    <col min="16146" max="16146" width="21.85546875" bestFit="1" customWidth="1"/>
    <col min="16147" max="16147" width="39.28515625" customWidth="1"/>
    <col min="16148" max="16148" width="53.85546875" customWidth="1"/>
    <col min="16149" max="16151" width="40" customWidth="1"/>
  </cols>
  <sheetData>
    <row r="1" spans="1:23" ht="15.75" thickBot="1" x14ac:dyDescent="0.3">
      <c r="B1" s="9" t="s">
        <v>127</v>
      </c>
    </row>
    <row r="2" spans="1:23" ht="15.75" thickBot="1" x14ac:dyDescent="0.3">
      <c r="E2" s="154"/>
      <c r="F2" s="154"/>
      <c r="G2" s="154"/>
      <c r="H2" s="154"/>
      <c r="I2" s="154"/>
      <c r="J2" s="154"/>
      <c r="K2" s="154"/>
      <c r="L2" s="154"/>
      <c r="M2" s="154"/>
      <c r="N2" s="154"/>
      <c r="O2" s="154"/>
      <c r="P2" s="154"/>
      <c r="Q2" s="154"/>
      <c r="R2" s="24"/>
      <c r="S2" s="78"/>
      <c r="T2" s="78"/>
      <c r="U2" s="78"/>
      <c r="V2" s="78"/>
      <c r="W2" s="78"/>
    </row>
    <row r="3" spans="1:23" ht="44.25" customHeight="1" x14ac:dyDescent="0.25">
      <c r="A3" s="24" t="s">
        <v>107</v>
      </c>
      <c r="B3" s="23" t="s">
        <v>106</v>
      </c>
      <c r="C3" s="77" t="s">
        <v>105</v>
      </c>
      <c r="D3" s="76" t="s">
        <v>104</v>
      </c>
      <c r="E3" s="155" t="s">
        <v>103</v>
      </c>
      <c r="F3" s="156"/>
      <c r="G3" s="157"/>
      <c r="H3" s="158" t="s">
        <v>102</v>
      </c>
      <c r="I3" s="159"/>
      <c r="J3" s="160"/>
      <c r="K3" s="161" t="s">
        <v>101</v>
      </c>
      <c r="L3" s="162"/>
      <c r="M3" s="162"/>
      <c r="N3" s="163" t="s">
        <v>100</v>
      </c>
      <c r="O3" s="159"/>
      <c r="P3" s="164"/>
      <c r="Q3" s="75" t="s">
        <v>29</v>
      </c>
      <c r="R3" s="90" t="s">
        <v>99</v>
      </c>
      <c r="S3" s="73" t="s">
        <v>98</v>
      </c>
      <c r="T3" s="73" t="s">
        <v>113</v>
      </c>
      <c r="U3" s="73" t="s">
        <v>112</v>
      </c>
      <c r="V3" s="73" t="s">
        <v>111</v>
      </c>
      <c r="W3" s="73" t="s">
        <v>110</v>
      </c>
    </row>
    <row r="4" spans="1:23" ht="15.75" thickBot="1" x14ac:dyDescent="0.3">
      <c r="A4" s="24"/>
      <c r="B4" s="23"/>
      <c r="C4" s="72" t="s">
        <v>96</v>
      </c>
      <c r="D4" s="72"/>
      <c r="E4" s="72" t="s">
        <v>95</v>
      </c>
      <c r="F4" s="24" t="s">
        <v>94</v>
      </c>
      <c r="G4" s="24" t="s">
        <v>93</v>
      </c>
      <c r="H4" s="72" t="s">
        <v>95</v>
      </c>
      <c r="I4" s="24" t="s">
        <v>94</v>
      </c>
      <c r="J4" s="24" t="s">
        <v>93</v>
      </c>
      <c r="K4" s="72" t="s">
        <v>95</v>
      </c>
      <c r="L4" s="24" t="s">
        <v>94</v>
      </c>
      <c r="M4" s="24" t="s">
        <v>93</v>
      </c>
      <c r="N4" s="72" t="s">
        <v>95</v>
      </c>
      <c r="O4" s="24" t="s">
        <v>94</v>
      </c>
      <c r="P4" s="24" t="s">
        <v>93</v>
      </c>
      <c r="Q4" s="71"/>
      <c r="R4" s="90" t="s">
        <v>92</v>
      </c>
      <c r="S4" s="69"/>
      <c r="T4" s="69"/>
      <c r="U4" s="69"/>
      <c r="V4" s="69"/>
      <c r="W4" s="69"/>
    </row>
    <row r="5" spans="1:23" ht="105" x14ac:dyDescent="0.25">
      <c r="A5" s="101">
        <v>1</v>
      </c>
      <c r="B5" s="100" t="s">
        <v>91</v>
      </c>
      <c r="C5" s="99"/>
      <c r="D5" s="99"/>
      <c r="E5" s="124">
        <f t="shared" ref="E5:P5" si="0">SUM(E6:E12)</f>
        <v>0.23630952380952386</v>
      </c>
      <c r="F5" s="124">
        <f t="shared" si="0"/>
        <v>0.23630952380952386</v>
      </c>
      <c r="G5" s="124">
        <f t="shared" si="0"/>
        <v>0.23630952380952386</v>
      </c>
      <c r="H5" s="124">
        <f t="shared" si="0"/>
        <v>0.14285714285714285</v>
      </c>
      <c r="I5" s="124">
        <f t="shared" si="0"/>
        <v>0.14285714285714285</v>
      </c>
      <c r="J5" s="124">
        <f t="shared" si="0"/>
        <v>0.14285714285714285</v>
      </c>
      <c r="K5" s="124">
        <f t="shared" si="0"/>
        <v>0.38392857142857145</v>
      </c>
      <c r="L5" s="124">
        <f t="shared" si="0"/>
        <v>0.38392857142857145</v>
      </c>
      <c r="M5" s="124">
        <f t="shared" si="0"/>
        <v>0.38392857142857145</v>
      </c>
      <c r="N5" s="124">
        <f t="shared" si="0"/>
        <v>0.35714285714285715</v>
      </c>
      <c r="O5" s="124">
        <f t="shared" si="0"/>
        <v>0.35714285714285715</v>
      </c>
      <c r="P5" s="124">
        <f t="shared" si="0"/>
        <v>0.35714285714285715</v>
      </c>
      <c r="Q5" s="95">
        <f>G5+J5+M5+P5</f>
        <v>1.1202380952380953</v>
      </c>
      <c r="R5" s="94">
        <f>Q5*55000</f>
        <v>61613.095238095237</v>
      </c>
      <c r="S5" s="123"/>
      <c r="T5" s="15" t="s">
        <v>109</v>
      </c>
      <c r="U5" s="65" t="s">
        <v>88</v>
      </c>
      <c r="V5" s="65" t="s">
        <v>88</v>
      </c>
      <c r="W5" s="67" t="s">
        <v>88</v>
      </c>
    </row>
    <row r="6" spans="1:23" ht="111" customHeight="1" x14ac:dyDescent="0.25">
      <c r="A6" s="101"/>
      <c r="B6" s="122" t="s">
        <v>87</v>
      </c>
      <c r="C6" s="102">
        <v>550</v>
      </c>
      <c r="D6" s="119"/>
      <c r="E6" s="116">
        <f>C6*10/420/220</f>
        <v>5.9523809523809521E-2</v>
      </c>
      <c r="F6" s="115">
        <f>C6*10/420/220</f>
        <v>5.9523809523809521E-2</v>
      </c>
      <c r="G6" s="96">
        <f>AVERAGE(E6:F6)</f>
        <v>5.9523809523809521E-2</v>
      </c>
      <c r="H6" s="116">
        <f>C6*30*0.8/420/220</f>
        <v>0.14285714285714285</v>
      </c>
      <c r="I6" s="115">
        <f>C6*30*0.8/420/220</f>
        <v>0.14285714285714285</v>
      </c>
      <c r="J6" s="115">
        <f>C6*30*0.8/420/220</f>
        <v>0.14285714285714285</v>
      </c>
      <c r="K6" s="116">
        <v>0.25</v>
      </c>
      <c r="L6" s="116">
        <v>0.25</v>
      </c>
      <c r="M6" s="96">
        <f>AVERAGE(K6:L6)</f>
        <v>0.25</v>
      </c>
      <c r="N6" s="116">
        <f>C6*2*30/420/220</f>
        <v>0.35714285714285715</v>
      </c>
      <c r="O6" s="116">
        <f>C6*2*30/420/220</f>
        <v>0.35714285714285715</v>
      </c>
      <c r="P6" s="96">
        <f>AVERAGE(N6:O6)</f>
        <v>0.35714285714285715</v>
      </c>
      <c r="Q6" s="95"/>
      <c r="R6" s="94"/>
      <c r="S6" s="51" t="s">
        <v>126</v>
      </c>
      <c r="T6" s="15" t="s">
        <v>125</v>
      </c>
      <c r="U6" s="14" t="s">
        <v>84</v>
      </c>
      <c r="V6" s="65" t="s">
        <v>83</v>
      </c>
      <c r="W6" s="67" t="s">
        <v>82</v>
      </c>
    </row>
    <row r="7" spans="1:23" ht="105" x14ac:dyDescent="0.25">
      <c r="A7" s="101"/>
      <c r="B7" s="122" t="s">
        <v>81</v>
      </c>
      <c r="C7" s="102">
        <v>3400</v>
      </c>
      <c r="D7" s="119"/>
      <c r="E7" s="118">
        <v>0</v>
      </c>
      <c r="F7" s="115">
        <v>0</v>
      </c>
      <c r="G7" s="96">
        <v>0</v>
      </c>
      <c r="H7" s="116">
        <v>0</v>
      </c>
      <c r="I7" s="115">
        <v>0</v>
      </c>
      <c r="J7" s="115">
        <v>0</v>
      </c>
      <c r="K7" s="116">
        <v>0</v>
      </c>
      <c r="L7" s="117">
        <v>0</v>
      </c>
      <c r="M7" s="117">
        <v>0</v>
      </c>
      <c r="N7" s="116">
        <v>0</v>
      </c>
      <c r="O7" s="115">
        <v>0</v>
      </c>
      <c r="P7" s="115">
        <v>0</v>
      </c>
      <c r="Q7" s="95"/>
      <c r="R7" s="94"/>
      <c r="S7" s="51" t="s">
        <v>124</v>
      </c>
      <c r="T7" s="15" t="s">
        <v>30</v>
      </c>
      <c r="U7" s="14" t="s">
        <v>30</v>
      </c>
      <c r="V7" s="14" t="s">
        <v>80</v>
      </c>
      <c r="W7" s="67" t="s">
        <v>79</v>
      </c>
    </row>
    <row r="8" spans="1:23" ht="30" x14ac:dyDescent="0.25">
      <c r="A8" s="101"/>
      <c r="B8" s="122" t="s">
        <v>78</v>
      </c>
      <c r="C8" s="102">
        <v>3400</v>
      </c>
      <c r="D8" s="119"/>
      <c r="E8" s="118">
        <v>0</v>
      </c>
      <c r="F8" s="115">
        <v>0</v>
      </c>
      <c r="G8" s="96">
        <v>0</v>
      </c>
      <c r="H8" s="116">
        <v>0</v>
      </c>
      <c r="I8" s="115">
        <v>0</v>
      </c>
      <c r="J8" s="115">
        <v>0</v>
      </c>
      <c r="K8" s="116">
        <v>0</v>
      </c>
      <c r="L8" s="117">
        <v>0</v>
      </c>
      <c r="M8" s="117">
        <v>0</v>
      </c>
      <c r="N8" s="116">
        <v>0</v>
      </c>
      <c r="O8" s="115">
        <v>0</v>
      </c>
      <c r="P8" s="115">
        <v>0</v>
      </c>
      <c r="Q8" s="95"/>
      <c r="R8" s="94"/>
      <c r="S8" s="51" t="s">
        <v>123</v>
      </c>
      <c r="T8" s="15" t="s">
        <v>30</v>
      </c>
      <c r="U8" s="14" t="s">
        <v>30</v>
      </c>
      <c r="V8" s="65" t="s">
        <v>30</v>
      </c>
      <c r="W8" s="13" t="s">
        <v>30</v>
      </c>
    </row>
    <row r="9" spans="1:23" ht="93.75" customHeight="1" x14ac:dyDescent="0.25">
      <c r="A9" s="101"/>
      <c r="B9" s="122" t="s">
        <v>76</v>
      </c>
      <c r="C9" s="102">
        <v>3400</v>
      </c>
      <c r="D9" s="119"/>
      <c r="E9" s="118">
        <v>0</v>
      </c>
      <c r="F9" s="115">
        <v>0</v>
      </c>
      <c r="G9" s="96">
        <v>0</v>
      </c>
      <c r="H9" s="116">
        <v>0</v>
      </c>
      <c r="I9" s="115">
        <v>0</v>
      </c>
      <c r="J9" s="115">
        <v>0</v>
      </c>
      <c r="K9" s="116">
        <v>0</v>
      </c>
      <c r="L9" s="117">
        <v>0</v>
      </c>
      <c r="M9" s="117">
        <v>0</v>
      </c>
      <c r="N9" s="116">
        <v>0</v>
      </c>
      <c r="O9" s="115">
        <v>0</v>
      </c>
      <c r="P9" s="115">
        <v>0</v>
      </c>
      <c r="Q9" s="95"/>
      <c r="R9" s="94"/>
      <c r="S9" s="51" t="s">
        <v>122</v>
      </c>
      <c r="T9" s="15" t="s">
        <v>75</v>
      </c>
      <c r="U9" s="66" t="s">
        <v>30</v>
      </c>
      <c r="V9" s="65" t="s">
        <v>30</v>
      </c>
      <c r="W9" s="13" t="s">
        <v>30</v>
      </c>
    </row>
    <row r="10" spans="1:23" x14ac:dyDescent="0.25">
      <c r="A10" s="101"/>
      <c r="B10" s="122" t="s">
        <v>74</v>
      </c>
      <c r="C10" s="102">
        <v>550</v>
      </c>
      <c r="D10" s="119"/>
      <c r="E10" s="118">
        <v>0</v>
      </c>
      <c r="F10" s="115">
        <v>0</v>
      </c>
      <c r="G10" s="96">
        <v>0</v>
      </c>
      <c r="H10" s="116">
        <v>0</v>
      </c>
      <c r="I10" s="115">
        <v>0</v>
      </c>
      <c r="J10" s="115">
        <v>0</v>
      </c>
      <c r="K10" s="116">
        <v>0</v>
      </c>
      <c r="L10" s="117">
        <v>0</v>
      </c>
      <c r="M10" s="117">
        <v>0</v>
      </c>
      <c r="N10" s="116">
        <v>0</v>
      </c>
      <c r="O10" s="115">
        <v>0</v>
      </c>
      <c r="P10" s="115">
        <v>0</v>
      </c>
      <c r="Q10" s="95"/>
      <c r="R10" s="94"/>
      <c r="S10" s="51" t="s">
        <v>122</v>
      </c>
      <c r="T10" s="15" t="s">
        <v>30</v>
      </c>
      <c r="U10" s="14" t="s">
        <v>30</v>
      </c>
      <c r="V10" s="14" t="s">
        <v>30</v>
      </c>
      <c r="W10" s="13" t="s">
        <v>30</v>
      </c>
    </row>
    <row r="11" spans="1:23" ht="30" x14ac:dyDescent="0.25">
      <c r="A11" s="101"/>
      <c r="B11" s="121" t="s">
        <v>71</v>
      </c>
      <c r="C11" s="99">
        <v>21000</v>
      </c>
      <c r="D11" s="119"/>
      <c r="E11" s="118">
        <v>0</v>
      </c>
      <c r="F11" s="115">
        <v>0</v>
      </c>
      <c r="G11" s="96">
        <v>0</v>
      </c>
      <c r="H11" s="116">
        <v>0</v>
      </c>
      <c r="I11" s="116">
        <v>0</v>
      </c>
      <c r="J11" s="96">
        <f>AVERAGE(H11:I11)</f>
        <v>0</v>
      </c>
      <c r="K11" s="116">
        <v>0</v>
      </c>
      <c r="L11" s="117">
        <v>0</v>
      </c>
      <c r="M11" s="117">
        <v>0</v>
      </c>
      <c r="N11" s="116">
        <v>0</v>
      </c>
      <c r="O11" s="115">
        <v>0</v>
      </c>
      <c r="P11" s="115">
        <v>0</v>
      </c>
      <c r="Q11" s="95"/>
      <c r="R11" s="94"/>
      <c r="S11" s="51" t="s">
        <v>70</v>
      </c>
      <c r="T11" s="15" t="s">
        <v>69</v>
      </c>
      <c r="U11" s="14" t="s">
        <v>121</v>
      </c>
      <c r="V11" s="14" t="s">
        <v>69</v>
      </c>
      <c r="W11" s="13" t="s">
        <v>30</v>
      </c>
    </row>
    <row r="12" spans="1:23" ht="150" x14ac:dyDescent="0.25">
      <c r="A12" s="101"/>
      <c r="B12" s="121" t="s">
        <v>68</v>
      </c>
      <c r="C12" s="120">
        <f>+'[1]MS Reb tables'!C7</f>
        <v>3300.0000000000005</v>
      </c>
      <c r="D12" s="119"/>
      <c r="E12" s="118">
        <f>C12*0.33*15/420/220</f>
        <v>0.17678571428571432</v>
      </c>
      <c r="F12" s="118">
        <f>C12*0.33*15/420/220</f>
        <v>0.17678571428571432</v>
      </c>
      <c r="G12" s="96">
        <f>AVERAGE(E12:F12)</f>
        <v>0.17678571428571432</v>
      </c>
      <c r="H12" s="116">
        <v>0</v>
      </c>
      <c r="I12" s="117">
        <v>0</v>
      </c>
      <c r="J12" s="96">
        <v>0</v>
      </c>
      <c r="K12" s="117">
        <f>C12*15*0.25/420/220</f>
        <v>0.13392857142857145</v>
      </c>
      <c r="L12" s="117">
        <f>C12*15*0.25/420/220</f>
        <v>0.13392857142857145</v>
      </c>
      <c r="M12" s="96">
        <f>AVERAGE(K12:L12)</f>
        <v>0.13392857142857145</v>
      </c>
      <c r="N12" s="116">
        <v>0</v>
      </c>
      <c r="O12" s="115">
        <v>0</v>
      </c>
      <c r="P12" s="115">
        <v>0</v>
      </c>
      <c r="Q12" s="95"/>
      <c r="R12" s="94"/>
      <c r="S12" s="16"/>
      <c r="T12" s="15" t="s">
        <v>67</v>
      </c>
      <c r="U12" s="14" t="s">
        <v>30</v>
      </c>
      <c r="V12" s="14" t="s">
        <v>66</v>
      </c>
      <c r="W12" s="13" t="s">
        <v>30</v>
      </c>
    </row>
    <row r="13" spans="1:23" ht="75" x14ac:dyDescent="0.25">
      <c r="A13" s="104">
        <v>2</v>
      </c>
      <c r="B13" s="114" t="s">
        <v>65</v>
      </c>
      <c r="C13" s="102">
        <v>400</v>
      </c>
      <c r="D13" s="113"/>
      <c r="E13" s="112">
        <f t="shared" ref="E13:M13" si="1">SUM(E14:E16)</f>
        <v>0.19155844155844154</v>
      </c>
      <c r="F13" s="110">
        <f t="shared" si="1"/>
        <v>0.25865800865800864</v>
      </c>
      <c r="G13" s="110">
        <f t="shared" si="1"/>
        <v>0.22510822510822512</v>
      </c>
      <c r="H13" s="111">
        <f t="shared" si="1"/>
        <v>0.39326298701298701</v>
      </c>
      <c r="I13" s="110">
        <f t="shared" si="1"/>
        <v>0.39326298701298701</v>
      </c>
      <c r="J13" s="110">
        <f t="shared" si="1"/>
        <v>0.39326298701298701</v>
      </c>
      <c r="K13" s="110">
        <f t="shared" si="1"/>
        <v>0.59131493506493515</v>
      </c>
      <c r="L13" s="110">
        <f t="shared" si="1"/>
        <v>0.59131493506493515</v>
      </c>
      <c r="M13" s="110">
        <f t="shared" si="1"/>
        <v>0.59131493506493515</v>
      </c>
      <c r="N13" s="111">
        <v>0</v>
      </c>
      <c r="O13" s="110">
        <f>C13*2*15/420/220</f>
        <v>0.12987012987012989</v>
      </c>
      <c r="P13" s="110">
        <f>AVERAGE(N13:O13)</f>
        <v>6.4935064935064943E-2</v>
      </c>
      <c r="Q13" s="95">
        <f>G13+J13+M13+P13</f>
        <v>1.2746212121212122</v>
      </c>
      <c r="R13" s="94">
        <f>Q13*55000</f>
        <v>70104.166666666672</v>
      </c>
      <c r="S13" s="39" t="s">
        <v>120</v>
      </c>
      <c r="T13" s="15" t="s">
        <v>63</v>
      </c>
      <c r="U13" s="44"/>
      <c r="V13" s="44"/>
      <c r="W13" s="43"/>
    </row>
    <row r="14" spans="1:23" ht="105" x14ac:dyDescent="0.25">
      <c r="A14" s="104"/>
      <c r="B14" s="109" t="s">
        <v>62</v>
      </c>
      <c r="C14" s="102">
        <v>300</v>
      </c>
      <c r="D14" s="108">
        <f>[2]Volumes!F6</f>
        <v>6.8000000000000007</v>
      </c>
      <c r="E14" s="107">
        <f>C14*15/420/220</f>
        <v>4.8701298701298697E-2</v>
      </c>
      <c r="F14" s="96">
        <f>C14*30/420/220</f>
        <v>9.7402597402597393E-2</v>
      </c>
      <c r="G14" s="96">
        <f t="shared" ref="G14:G20" si="2">AVERAGE(E14:F14)</f>
        <v>7.3051948051948049E-2</v>
      </c>
      <c r="H14" s="97">
        <v>0</v>
      </c>
      <c r="I14" s="96">
        <v>0</v>
      </c>
      <c r="J14" s="96">
        <v>0</v>
      </c>
      <c r="K14" s="97">
        <f>C14*(D14-1)*15/420/220</f>
        <v>0.28246753246753253</v>
      </c>
      <c r="L14" s="97">
        <f>C14*(D14-1)*15/420/220</f>
        <v>0.28246753246753253</v>
      </c>
      <c r="M14" s="96">
        <f>AVERAGE(K14:L14)</f>
        <v>0.28246753246753253</v>
      </c>
      <c r="N14" s="97"/>
      <c r="O14" s="96"/>
      <c r="P14" s="96"/>
      <c r="Q14" s="105"/>
      <c r="R14" s="94"/>
      <c r="S14" s="39"/>
      <c r="T14" s="15" t="s">
        <v>61</v>
      </c>
      <c r="U14" s="14" t="s">
        <v>30</v>
      </c>
      <c r="V14" s="38" t="s">
        <v>60</v>
      </c>
      <c r="W14" s="30" t="s">
        <v>30</v>
      </c>
    </row>
    <row r="15" spans="1:23" ht="150" x14ac:dyDescent="0.25">
      <c r="A15" s="104"/>
      <c r="B15" s="109" t="s">
        <v>59</v>
      </c>
      <c r="C15" s="102">
        <v>60</v>
      </c>
      <c r="D15" s="108">
        <f>[2]Volumes!F11</f>
        <v>7.125</v>
      </c>
      <c r="E15" s="107">
        <f>C15*120/420/220</f>
        <v>7.792207792207792E-2</v>
      </c>
      <c r="F15" s="96">
        <f>C15*15/420/220+E15</f>
        <v>8.7662337662337664E-2</v>
      </c>
      <c r="G15" s="96">
        <f t="shared" si="2"/>
        <v>8.2792207792207792E-2</v>
      </c>
      <c r="H15" s="106">
        <f>$C$15*(D15*0.75)*60/420/220</f>
        <v>0.20819805194805197</v>
      </c>
      <c r="I15" s="96">
        <f>$C$15*(D15*0.75)*60/420/220</f>
        <v>0.20819805194805197</v>
      </c>
      <c r="J15" s="96">
        <f>AVERAGE(H15:I15)</f>
        <v>0.20819805194805197</v>
      </c>
      <c r="K15" s="97">
        <f>C15*(D15-1)*60*0.75/420/220</f>
        <v>0.17897727272727273</v>
      </c>
      <c r="L15" s="97">
        <f>C15*(D15-1)*60*0.75/420/220</f>
        <v>0.17897727272727273</v>
      </c>
      <c r="M15" s="96">
        <f>AVERAGE(K15:L15)</f>
        <v>0.17897727272727273</v>
      </c>
      <c r="N15" s="106"/>
      <c r="O15" s="96"/>
      <c r="P15" s="96"/>
      <c r="Q15" s="105"/>
      <c r="R15" s="94"/>
      <c r="S15" s="39" t="s">
        <v>119</v>
      </c>
      <c r="T15" s="15" t="s">
        <v>58</v>
      </c>
      <c r="U15" s="38" t="s">
        <v>57</v>
      </c>
      <c r="V15" s="38" t="s">
        <v>56</v>
      </c>
      <c r="W15" s="30" t="s">
        <v>30</v>
      </c>
    </row>
    <row r="16" spans="1:23" ht="135" x14ac:dyDescent="0.25">
      <c r="A16" s="104"/>
      <c r="B16" s="109" t="s">
        <v>55</v>
      </c>
      <c r="C16" s="102">
        <v>40</v>
      </c>
      <c r="D16" s="108">
        <f>[2]Volumes!F16</f>
        <v>6.3333333333333339</v>
      </c>
      <c r="E16" s="107">
        <f>C16*(120+30)/420/220</f>
        <v>6.4935064935064943E-2</v>
      </c>
      <c r="F16" s="96">
        <f>(C16*20)/420/220+E16</f>
        <v>7.3593073593073599E-2</v>
      </c>
      <c r="G16" s="96">
        <f t="shared" si="2"/>
        <v>6.9264069264069278E-2</v>
      </c>
      <c r="H16" s="106">
        <f>$C$16*90*(D16*0.75)/420/220</f>
        <v>0.18506493506493507</v>
      </c>
      <c r="I16" s="106">
        <f>$C$16*90*(D16*0.75)/420/220</f>
        <v>0.18506493506493507</v>
      </c>
      <c r="J16" s="96">
        <f>AVERAGE(H16:I16)</f>
        <v>0.18506493506493507</v>
      </c>
      <c r="K16" s="97">
        <f>C16*(D16-1)*75*0.75/420/220</f>
        <v>0.12987012987012991</v>
      </c>
      <c r="L16" s="97">
        <f>C16*(D16-1)*75*0.75/420/220</f>
        <v>0.12987012987012991</v>
      </c>
      <c r="M16" s="96">
        <f>AVERAGE(K16:L16)</f>
        <v>0.12987012987012991</v>
      </c>
      <c r="N16" s="106"/>
      <c r="O16" s="106"/>
      <c r="P16" s="96"/>
      <c r="Q16" s="105"/>
      <c r="R16" s="94"/>
      <c r="S16" s="39" t="s">
        <v>118</v>
      </c>
      <c r="T16" s="15" t="s">
        <v>53</v>
      </c>
      <c r="U16" s="38" t="s">
        <v>52</v>
      </c>
      <c r="V16" s="38" t="s">
        <v>51</v>
      </c>
      <c r="W16" s="30" t="s">
        <v>30</v>
      </c>
    </row>
    <row r="17" spans="1:23" ht="166.5" customHeight="1" x14ac:dyDescent="0.25">
      <c r="A17" s="104">
        <v>3</v>
      </c>
      <c r="B17" s="103" t="s">
        <v>50</v>
      </c>
      <c r="C17" s="102">
        <v>750</v>
      </c>
      <c r="D17" s="102"/>
      <c r="E17" s="97">
        <f>$C$17*10/420/220</f>
        <v>8.1168831168831168E-2</v>
      </c>
      <c r="F17" s="96">
        <f>$C$17*45/420/220</f>
        <v>0.36525974025974028</v>
      </c>
      <c r="G17" s="96">
        <f t="shared" si="2"/>
        <v>0.22321428571428573</v>
      </c>
      <c r="H17" s="97">
        <f>$C$17*60/420/220</f>
        <v>0.48701298701298701</v>
      </c>
      <c r="I17" s="96">
        <f>$C$17*90/420/220</f>
        <v>0.73051948051948057</v>
      </c>
      <c r="J17" s="96">
        <f>$C$17*60/420/220</f>
        <v>0.48701298701298701</v>
      </c>
      <c r="K17" s="97">
        <v>0</v>
      </c>
      <c r="L17" s="97">
        <v>0</v>
      </c>
      <c r="M17" s="96">
        <f>AVERAGE(K17:L17)</f>
        <v>0</v>
      </c>
      <c r="N17" s="97"/>
      <c r="O17" s="96"/>
      <c r="P17" s="96"/>
      <c r="Q17" s="95">
        <f t="shared" ref="Q17:Q22" si="3">G17+J17+M17</f>
        <v>0.71022727272727271</v>
      </c>
      <c r="R17" s="94">
        <f t="shared" ref="R17:R23" si="4">Q17*55000</f>
        <v>39062.5</v>
      </c>
      <c r="S17" s="39" t="s">
        <v>117</v>
      </c>
      <c r="T17" s="15" t="s">
        <v>48</v>
      </c>
      <c r="U17" s="14" t="s">
        <v>47</v>
      </c>
      <c r="V17" s="31" t="s">
        <v>42</v>
      </c>
      <c r="W17" s="30" t="s">
        <v>30</v>
      </c>
    </row>
    <row r="18" spans="1:23" ht="159" customHeight="1" x14ac:dyDescent="0.25">
      <c r="A18" s="101">
        <v>4</v>
      </c>
      <c r="B18" s="100" t="s">
        <v>46</v>
      </c>
      <c r="C18" s="99">
        <v>790</v>
      </c>
      <c r="D18" s="98"/>
      <c r="E18" s="97">
        <f>C18*10/420/220</f>
        <v>8.5497835497835503E-2</v>
      </c>
      <c r="F18" s="96">
        <f>C18*30/420/220</f>
        <v>0.2564935064935065</v>
      </c>
      <c r="G18" s="96">
        <f t="shared" si="2"/>
        <v>0.17099567099567101</v>
      </c>
      <c r="H18" s="97">
        <f>C18*60/420/220</f>
        <v>0.51298701298701299</v>
      </c>
      <c r="I18" s="96">
        <f>C18*90/420/220</f>
        <v>0.76948051948051943</v>
      </c>
      <c r="J18" s="96">
        <f>$C$17*60/420/220</f>
        <v>0.48701298701298701</v>
      </c>
      <c r="K18" s="97">
        <v>0</v>
      </c>
      <c r="L18" s="97">
        <v>0</v>
      </c>
      <c r="M18" s="96">
        <f>AVERAGE(K18:L18)</f>
        <v>0</v>
      </c>
      <c r="N18" s="97"/>
      <c r="O18" s="96"/>
      <c r="P18" s="96"/>
      <c r="Q18" s="95">
        <f t="shared" si="3"/>
        <v>0.65800865800865804</v>
      </c>
      <c r="R18" s="94">
        <f t="shared" si="4"/>
        <v>36190.476190476191</v>
      </c>
      <c r="S18" s="16" t="s">
        <v>45</v>
      </c>
      <c r="T18" s="15" t="s">
        <v>44</v>
      </c>
      <c r="U18" s="14" t="s">
        <v>43</v>
      </c>
      <c r="V18" s="31" t="s">
        <v>42</v>
      </c>
      <c r="W18" s="30" t="s">
        <v>30</v>
      </c>
    </row>
    <row r="19" spans="1:23" ht="45" x14ac:dyDescent="0.25">
      <c r="A19" s="101">
        <v>5</v>
      </c>
      <c r="B19" s="100" t="s">
        <v>41</v>
      </c>
      <c r="C19" s="99">
        <v>1080</v>
      </c>
      <c r="D19" s="98"/>
      <c r="E19" s="97">
        <v>0</v>
      </c>
      <c r="F19" s="96">
        <f>C19*10/420/220</f>
        <v>0.11688311688311689</v>
      </c>
      <c r="G19" s="96">
        <f t="shared" si="2"/>
        <v>5.8441558441558447E-2</v>
      </c>
      <c r="H19" s="97">
        <v>0</v>
      </c>
      <c r="I19" s="96">
        <v>0</v>
      </c>
      <c r="J19" s="96">
        <v>0</v>
      </c>
      <c r="K19" s="97">
        <v>0</v>
      </c>
      <c r="L19" s="97">
        <v>0</v>
      </c>
      <c r="M19" s="96">
        <v>0</v>
      </c>
      <c r="N19" s="97"/>
      <c r="O19" s="96"/>
      <c r="P19" s="96"/>
      <c r="Q19" s="95">
        <f t="shared" si="3"/>
        <v>5.8441558441558447E-2</v>
      </c>
      <c r="R19" s="94">
        <f t="shared" si="4"/>
        <v>3214.2857142857147</v>
      </c>
      <c r="S19" s="16" t="s">
        <v>40</v>
      </c>
      <c r="T19" s="15" t="s">
        <v>36</v>
      </c>
      <c r="U19" s="14" t="s">
        <v>30</v>
      </c>
      <c r="V19" s="14" t="s">
        <v>39</v>
      </c>
      <c r="W19" s="13" t="s">
        <v>30</v>
      </c>
    </row>
    <row r="20" spans="1:23" ht="105" x14ac:dyDescent="0.25">
      <c r="A20" s="101"/>
      <c r="B20" s="100" t="s">
        <v>38</v>
      </c>
      <c r="C20" s="99">
        <v>180</v>
      </c>
      <c r="D20" s="98"/>
      <c r="E20" s="97">
        <v>0</v>
      </c>
      <c r="F20" s="96">
        <f>C20*10/420/220</f>
        <v>1.948051948051948E-2</v>
      </c>
      <c r="G20" s="96">
        <f t="shared" si="2"/>
        <v>9.74025974025974E-3</v>
      </c>
      <c r="H20" s="97">
        <v>0</v>
      </c>
      <c r="I20" s="96">
        <v>0</v>
      </c>
      <c r="J20" s="96">
        <v>0</v>
      </c>
      <c r="K20" s="97">
        <f>C20*50/420/220</f>
        <v>9.7402597402597393E-2</v>
      </c>
      <c r="L20" s="97">
        <f>C20*70/420/220</f>
        <v>0.13636363636363635</v>
      </c>
      <c r="M20" s="96">
        <f>AVERAGE(K20:L20)</f>
        <v>0.11688311688311687</v>
      </c>
      <c r="N20" s="97"/>
      <c r="O20" s="96"/>
      <c r="P20" s="96"/>
      <c r="Q20" s="95">
        <f t="shared" si="3"/>
        <v>0.12662337662337661</v>
      </c>
      <c r="R20" s="94">
        <f t="shared" si="4"/>
        <v>6964.2857142857138</v>
      </c>
      <c r="S20" s="16" t="s">
        <v>37</v>
      </c>
      <c r="T20" s="15" t="s">
        <v>36</v>
      </c>
      <c r="U20" s="14" t="s">
        <v>30</v>
      </c>
      <c r="V20" s="14" t="s">
        <v>35</v>
      </c>
      <c r="W20" s="13" t="s">
        <v>30</v>
      </c>
    </row>
    <row r="21" spans="1:23" ht="112.5" customHeight="1" x14ac:dyDescent="0.25">
      <c r="A21" s="101">
        <v>6</v>
      </c>
      <c r="B21" s="100" t="s">
        <v>34</v>
      </c>
      <c r="C21" s="99">
        <f>+[1]MS_Support_tables!F21</f>
        <v>4347.3999999999996</v>
      </c>
      <c r="D21" s="98"/>
      <c r="E21" s="97"/>
      <c r="F21" s="96"/>
      <c r="G21" s="96"/>
      <c r="H21" s="97"/>
      <c r="I21" s="96"/>
      <c r="J21" s="96"/>
      <c r="K21" s="97">
        <f>C21*30*2*0.8/420/220</f>
        <v>2.2583896103896102</v>
      </c>
      <c r="L21" s="97">
        <f>C21*30*2*0.8/420/220</f>
        <v>2.2583896103896102</v>
      </c>
      <c r="M21" s="96">
        <f>AVERAGE(K21:L21)</f>
        <v>2.2583896103896102</v>
      </c>
      <c r="N21" s="97"/>
      <c r="O21" s="96"/>
      <c r="P21" s="96"/>
      <c r="Q21" s="95">
        <f t="shared" si="3"/>
        <v>2.2583896103896102</v>
      </c>
      <c r="R21" s="94">
        <f t="shared" si="4"/>
        <v>124211.42857142857</v>
      </c>
      <c r="S21" s="16" t="s">
        <v>116</v>
      </c>
      <c r="T21" s="15" t="s">
        <v>30</v>
      </c>
      <c r="U21" s="14" t="s">
        <v>30</v>
      </c>
      <c r="V21" s="14" t="s">
        <v>115</v>
      </c>
      <c r="W21" s="13" t="s">
        <v>30</v>
      </c>
    </row>
    <row r="22" spans="1:23" ht="195" x14ac:dyDescent="0.25">
      <c r="A22" s="101">
        <v>7</v>
      </c>
      <c r="B22" s="100" t="s">
        <v>33</v>
      </c>
      <c r="C22" s="99">
        <v>5089</v>
      </c>
      <c r="D22" s="98"/>
      <c r="E22" s="97"/>
      <c r="F22" s="96"/>
      <c r="G22" s="96"/>
      <c r="H22" s="97"/>
      <c r="I22" s="96"/>
      <c r="J22" s="96"/>
      <c r="K22" s="97">
        <f>C22*15/420/220</f>
        <v>0.82613636363636367</v>
      </c>
      <c r="L22" s="97">
        <f>C22*25/420/220</f>
        <v>1.3768939393939394</v>
      </c>
      <c r="M22" s="96">
        <f>AVERAGE(K22:L22)</f>
        <v>1.1015151515151516</v>
      </c>
      <c r="N22" s="97"/>
      <c r="O22" s="96"/>
      <c r="P22" s="96"/>
      <c r="Q22" s="95">
        <f t="shared" si="3"/>
        <v>1.1015151515151516</v>
      </c>
      <c r="R22" s="94">
        <f t="shared" si="4"/>
        <v>60583.333333333336</v>
      </c>
      <c r="S22" s="16" t="s">
        <v>32</v>
      </c>
      <c r="T22" s="15" t="s">
        <v>30</v>
      </c>
      <c r="U22" s="14" t="s">
        <v>30</v>
      </c>
      <c r="V22" s="14" t="s">
        <v>31</v>
      </c>
      <c r="W22" s="13" t="s">
        <v>30</v>
      </c>
    </row>
    <row r="23" spans="1:23" x14ac:dyDescent="0.25">
      <c r="A23" t="s">
        <v>21</v>
      </c>
      <c r="C23" s="12"/>
      <c r="D23" s="12"/>
      <c r="E23" s="12"/>
      <c r="F23" s="12"/>
      <c r="G23" s="12"/>
      <c r="H23" s="12"/>
      <c r="I23" s="12"/>
      <c r="J23" s="12"/>
      <c r="K23" s="12"/>
      <c r="L23" s="12"/>
      <c r="M23" s="12"/>
      <c r="N23" s="12"/>
      <c r="O23" s="12"/>
      <c r="P23" s="12"/>
      <c r="Q23" s="18">
        <f>Q5+Q13+Q17+Q18+Q19+Q20+Q21+Q22</f>
        <v>7.3080649350649338</v>
      </c>
      <c r="R23" s="26">
        <f t="shared" si="4"/>
        <v>401943.57142857136</v>
      </c>
    </row>
    <row r="24" spans="1:23" x14ac:dyDescent="0.25">
      <c r="C24" s="12"/>
      <c r="D24" s="12"/>
      <c r="E24" s="12"/>
      <c r="F24" s="12"/>
      <c r="G24" s="12"/>
      <c r="H24" s="12"/>
      <c r="I24" s="12"/>
      <c r="J24" s="12"/>
      <c r="K24" s="12"/>
      <c r="L24" s="12"/>
      <c r="M24" s="12"/>
      <c r="N24" s="12"/>
      <c r="O24" s="12"/>
      <c r="P24" s="12"/>
      <c r="Q24" s="81"/>
      <c r="R24" s="80"/>
    </row>
    <row r="25" spans="1:23" x14ac:dyDescent="0.25">
      <c r="C25" s="12"/>
      <c r="D25" s="12"/>
      <c r="E25" s="12"/>
      <c r="F25" s="12"/>
      <c r="G25" s="12"/>
      <c r="H25" s="12"/>
      <c r="I25" s="12"/>
      <c r="J25" s="12"/>
      <c r="K25" s="12"/>
      <c r="L25" s="12"/>
      <c r="M25" s="12"/>
      <c r="N25" s="12"/>
      <c r="O25" s="12"/>
      <c r="P25" s="12"/>
      <c r="Q25" s="81"/>
      <c r="R25" s="80"/>
    </row>
    <row r="26" spans="1:23" x14ac:dyDescent="0.25">
      <c r="C26" s="12"/>
      <c r="D26" s="12"/>
      <c r="E26" s="12"/>
      <c r="F26" s="12"/>
      <c r="G26" s="12"/>
      <c r="H26" s="12"/>
      <c r="I26" s="12"/>
      <c r="J26" s="12"/>
      <c r="K26" s="12"/>
      <c r="L26" s="12"/>
      <c r="M26" s="12"/>
      <c r="N26" s="12"/>
      <c r="O26" s="12"/>
      <c r="P26" s="12"/>
      <c r="Q26" s="81"/>
      <c r="R26" s="80"/>
    </row>
    <row r="27" spans="1:23" x14ac:dyDescent="0.25">
      <c r="C27" s="12"/>
      <c r="D27" s="12"/>
      <c r="E27" s="12"/>
      <c r="F27" s="12"/>
      <c r="G27" s="12"/>
      <c r="H27" s="12"/>
      <c r="I27" s="12"/>
      <c r="J27" s="12"/>
      <c r="K27" s="12"/>
      <c r="L27" s="12"/>
      <c r="M27" s="12"/>
      <c r="N27" s="12"/>
      <c r="O27" s="12"/>
      <c r="P27" s="12"/>
      <c r="Q27" s="81"/>
      <c r="R27" s="80"/>
    </row>
    <row r="28" spans="1:23" ht="15.75" thickBot="1" x14ac:dyDescent="0.3">
      <c r="B28" s="9" t="s">
        <v>114</v>
      </c>
    </row>
    <row r="29" spans="1:23" ht="15.75" thickBot="1" x14ac:dyDescent="0.3">
      <c r="E29" s="154"/>
      <c r="F29" s="154"/>
      <c r="G29" s="154"/>
      <c r="H29" s="154"/>
      <c r="I29" s="154"/>
      <c r="J29" s="154"/>
      <c r="K29" s="154"/>
      <c r="L29" s="154"/>
      <c r="M29" s="154"/>
      <c r="N29" s="154"/>
      <c r="O29" s="154"/>
      <c r="P29" s="154"/>
      <c r="Q29" s="154"/>
      <c r="R29" s="24"/>
      <c r="S29" s="93"/>
      <c r="T29" s="92"/>
      <c r="U29" s="78"/>
      <c r="V29" s="78"/>
      <c r="W29" s="78"/>
    </row>
    <row r="30" spans="1:23" ht="45" x14ac:dyDescent="0.25">
      <c r="A30" s="24" t="s">
        <v>107</v>
      </c>
      <c r="B30" s="23" t="s">
        <v>106</v>
      </c>
      <c r="C30" s="77" t="s">
        <v>105</v>
      </c>
      <c r="D30" s="76" t="s">
        <v>104</v>
      </c>
      <c r="E30" s="155" t="s">
        <v>103</v>
      </c>
      <c r="F30" s="156"/>
      <c r="G30" s="157"/>
      <c r="H30" s="158" t="s">
        <v>102</v>
      </c>
      <c r="I30" s="159"/>
      <c r="J30" s="160"/>
      <c r="K30" s="161" t="s">
        <v>101</v>
      </c>
      <c r="L30" s="162"/>
      <c r="M30" s="162"/>
      <c r="N30" s="163" t="s">
        <v>100</v>
      </c>
      <c r="O30" s="159"/>
      <c r="P30" s="164"/>
      <c r="Q30" s="75" t="s">
        <v>29</v>
      </c>
      <c r="R30" s="90" t="s">
        <v>99</v>
      </c>
      <c r="S30" s="73" t="s">
        <v>98</v>
      </c>
      <c r="T30" s="91" t="s">
        <v>113</v>
      </c>
      <c r="U30" s="73" t="s">
        <v>112</v>
      </c>
      <c r="V30" s="73" t="s">
        <v>111</v>
      </c>
      <c r="W30" s="73" t="s">
        <v>110</v>
      </c>
    </row>
    <row r="31" spans="1:23" x14ac:dyDescent="0.25">
      <c r="A31" s="24"/>
      <c r="B31" s="23"/>
      <c r="C31" s="72" t="s">
        <v>96</v>
      </c>
      <c r="D31" s="72"/>
      <c r="E31" s="72" t="s">
        <v>95</v>
      </c>
      <c r="F31" s="24" t="s">
        <v>94</v>
      </c>
      <c r="G31" s="24" t="s">
        <v>93</v>
      </c>
      <c r="H31" s="72" t="s">
        <v>95</v>
      </c>
      <c r="I31" s="24" t="s">
        <v>94</v>
      </c>
      <c r="J31" s="24" t="s">
        <v>93</v>
      </c>
      <c r="K31" s="72" t="s">
        <v>95</v>
      </c>
      <c r="L31" s="24" t="s">
        <v>94</v>
      </c>
      <c r="M31" s="24" t="s">
        <v>93</v>
      </c>
      <c r="N31" s="72" t="s">
        <v>95</v>
      </c>
      <c r="O31" s="24" t="s">
        <v>94</v>
      </c>
      <c r="P31" s="24" t="s">
        <v>93</v>
      </c>
      <c r="Q31" s="71"/>
      <c r="R31" s="90" t="s">
        <v>92</v>
      </c>
      <c r="S31" s="89"/>
      <c r="T31" s="88"/>
      <c r="U31" s="87"/>
      <c r="V31" s="87"/>
      <c r="W31" s="87"/>
    </row>
    <row r="32" spans="1:23" ht="105" x14ac:dyDescent="0.25">
      <c r="A32" s="24">
        <v>1</v>
      </c>
      <c r="B32" s="23" t="s">
        <v>91</v>
      </c>
      <c r="C32" s="22"/>
      <c r="D32" s="22"/>
      <c r="E32" s="68">
        <f t="shared" ref="E32:P32" si="5">SUM(E33:E39)</f>
        <v>0.1702922077922078</v>
      </c>
      <c r="F32" s="68">
        <f t="shared" si="5"/>
        <v>0.17540584415584418</v>
      </c>
      <c r="G32" s="68">
        <f t="shared" si="5"/>
        <v>0.17284902597402599</v>
      </c>
      <c r="H32" s="68">
        <f t="shared" si="5"/>
        <v>0.52989718614718617</v>
      </c>
      <c r="I32" s="68">
        <f t="shared" si="5"/>
        <v>0.52989718614718617</v>
      </c>
      <c r="J32" s="68">
        <f t="shared" si="5"/>
        <v>0.52989718614718617</v>
      </c>
      <c r="K32" s="68">
        <f t="shared" si="5"/>
        <v>2.9391233766233764</v>
      </c>
      <c r="L32" s="68">
        <f t="shared" si="5"/>
        <v>2.9391233766233764</v>
      </c>
      <c r="M32" s="68">
        <f t="shared" si="5"/>
        <v>2.9391233766233764</v>
      </c>
      <c r="N32" s="68">
        <f t="shared" si="5"/>
        <v>0.19480519480519479</v>
      </c>
      <c r="O32" s="68">
        <f t="shared" si="5"/>
        <v>0.22037337662337661</v>
      </c>
      <c r="P32" s="68">
        <f t="shared" si="5"/>
        <v>0.2075892857142857</v>
      </c>
      <c r="Q32" s="18">
        <f>G32+J32+M32+P32</f>
        <v>3.849458874458874</v>
      </c>
      <c r="R32" s="26">
        <f>Q32*30000</f>
        <v>115483.76623376622</v>
      </c>
      <c r="S32" s="51" t="s">
        <v>90</v>
      </c>
      <c r="T32" s="15" t="s">
        <v>109</v>
      </c>
      <c r="U32" s="65" t="s">
        <v>88</v>
      </c>
      <c r="V32" s="65" t="s">
        <v>88</v>
      </c>
      <c r="W32" s="67" t="s">
        <v>88</v>
      </c>
    </row>
    <row r="33" spans="1:23" ht="114" customHeight="1" x14ac:dyDescent="0.25">
      <c r="A33" s="24"/>
      <c r="B33" s="64" t="s">
        <v>87</v>
      </c>
      <c r="C33" s="35">
        <v>300</v>
      </c>
      <c r="D33" s="56"/>
      <c r="E33" s="53">
        <f>C33*10/420/220</f>
        <v>3.2467532467532471E-2</v>
      </c>
      <c r="F33" s="52">
        <f>C33*10/420/220</f>
        <v>3.2467532467532471E-2</v>
      </c>
      <c r="G33" s="19">
        <f>AVERAGE(E33:F33)</f>
        <v>3.2467532467532471E-2</v>
      </c>
      <c r="H33" s="53">
        <f>C33*30*0.8/420/220</f>
        <v>7.792207792207792E-2</v>
      </c>
      <c r="I33" s="52">
        <f>C33*30*0.8/420/220</f>
        <v>7.792207792207792E-2</v>
      </c>
      <c r="J33" s="52">
        <f>C33*30*0.8/420/220</f>
        <v>7.792207792207792E-2</v>
      </c>
      <c r="K33" s="53">
        <v>0.25</v>
      </c>
      <c r="L33" s="54">
        <v>0.25</v>
      </c>
      <c r="M33" s="54">
        <v>0.25</v>
      </c>
      <c r="N33" s="53">
        <f>C33*2*30/420/220</f>
        <v>0.19480519480519479</v>
      </c>
      <c r="O33" s="53">
        <f>C33*2*30/420/220</f>
        <v>0.19480519480519479</v>
      </c>
      <c r="P33" s="19">
        <f>AVERAGE(N33:O33)</f>
        <v>0.19480519480519479</v>
      </c>
      <c r="Q33" s="18"/>
      <c r="R33" s="26"/>
      <c r="S33" s="51" t="s">
        <v>86</v>
      </c>
      <c r="T33" s="15" t="s">
        <v>85</v>
      </c>
      <c r="U33" s="14" t="s">
        <v>84</v>
      </c>
      <c r="V33" s="65" t="s">
        <v>83</v>
      </c>
      <c r="W33" s="67" t="s">
        <v>82</v>
      </c>
    </row>
    <row r="34" spans="1:23" ht="105" x14ac:dyDescent="0.25">
      <c r="A34" s="24"/>
      <c r="B34" s="64" t="s">
        <v>81</v>
      </c>
      <c r="C34" s="35">
        <v>945</v>
      </c>
      <c r="D34" s="56"/>
      <c r="E34" s="55">
        <v>0</v>
      </c>
      <c r="F34" s="52">
        <v>0</v>
      </c>
      <c r="G34" s="19">
        <v>0</v>
      </c>
      <c r="H34" s="53">
        <v>0</v>
      </c>
      <c r="I34" s="52">
        <v>0</v>
      </c>
      <c r="J34" s="52">
        <v>0</v>
      </c>
      <c r="K34" s="53">
        <f>C34*5*60*0.75/420/220</f>
        <v>2.3011363636363638</v>
      </c>
      <c r="L34" s="53">
        <f>C34*5*60*0.75/420/220</f>
        <v>2.3011363636363638</v>
      </c>
      <c r="M34" s="19">
        <f>AVERAGE(K34:L34)</f>
        <v>2.3011363636363638</v>
      </c>
      <c r="N34" s="53">
        <v>0</v>
      </c>
      <c r="O34" s="52">
        <f>C34*10*0.25/420/220</f>
        <v>2.556818181818182E-2</v>
      </c>
      <c r="P34" s="19">
        <f>AVERAGE(N34:O34)</f>
        <v>1.278409090909091E-2</v>
      </c>
      <c r="Q34" s="18"/>
      <c r="R34" s="26"/>
      <c r="S34" s="51" t="s">
        <v>73</v>
      </c>
      <c r="T34" s="15" t="s">
        <v>30</v>
      </c>
      <c r="U34" s="14" t="s">
        <v>30</v>
      </c>
      <c r="V34" s="14" t="s">
        <v>80</v>
      </c>
      <c r="W34" s="67" t="s">
        <v>79</v>
      </c>
    </row>
    <row r="35" spans="1:23" ht="45" x14ac:dyDescent="0.25">
      <c r="A35" s="24"/>
      <c r="B35" s="64" t="s">
        <v>78</v>
      </c>
      <c r="C35" s="35">
        <v>945</v>
      </c>
      <c r="D35" s="56"/>
      <c r="E35" s="55">
        <v>0</v>
      </c>
      <c r="F35" s="52">
        <v>0</v>
      </c>
      <c r="G35" s="19">
        <v>0</v>
      </c>
      <c r="H35" s="53">
        <v>0</v>
      </c>
      <c r="I35" s="52">
        <v>0</v>
      </c>
      <c r="J35" s="52">
        <v>0</v>
      </c>
      <c r="K35" s="53">
        <f>C35*30/420/220</f>
        <v>0.30681818181818182</v>
      </c>
      <c r="L35" s="53">
        <f>C35*30/420/220</f>
        <v>0.30681818181818182</v>
      </c>
      <c r="M35" s="19">
        <f>AVERAGE(K35:L35)</f>
        <v>0.30681818181818182</v>
      </c>
      <c r="N35" s="53">
        <v>0</v>
      </c>
      <c r="O35" s="52">
        <v>0</v>
      </c>
      <c r="P35" s="52">
        <v>0</v>
      </c>
      <c r="Q35" s="18"/>
      <c r="R35" s="26"/>
      <c r="S35" s="51" t="s">
        <v>73</v>
      </c>
      <c r="T35" s="15" t="s">
        <v>30</v>
      </c>
      <c r="U35" s="14" t="s">
        <v>30</v>
      </c>
      <c r="V35" s="65" t="s">
        <v>77</v>
      </c>
      <c r="W35" s="13" t="s">
        <v>30</v>
      </c>
    </row>
    <row r="36" spans="1:23" ht="90" x14ac:dyDescent="0.25">
      <c r="A36" s="24"/>
      <c r="B36" s="64" t="s">
        <v>76</v>
      </c>
      <c r="C36" s="35">
        <v>945</v>
      </c>
      <c r="D36" s="56"/>
      <c r="E36" s="55">
        <f>C36*0.05*60/420/220</f>
        <v>3.0681818181818182E-2</v>
      </c>
      <c r="F36" s="55">
        <f>C36*0.05*70/420/220</f>
        <v>3.5795454545454547E-2</v>
      </c>
      <c r="G36" s="19">
        <f>AVERAGE(E36:F36)</f>
        <v>3.3238636363636366E-2</v>
      </c>
      <c r="H36" s="53">
        <v>0</v>
      </c>
      <c r="I36" s="52">
        <v>0</v>
      </c>
      <c r="J36" s="52">
        <v>0</v>
      </c>
      <c r="K36" s="53">
        <v>0</v>
      </c>
      <c r="L36" s="54">
        <v>0</v>
      </c>
      <c r="M36" s="54">
        <v>0</v>
      </c>
      <c r="N36" s="53">
        <v>0</v>
      </c>
      <c r="O36" s="52">
        <v>0</v>
      </c>
      <c r="P36" s="52">
        <v>0</v>
      </c>
      <c r="Q36" s="18"/>
      <c r="R36" s="26"/>
      <c r="S36" s="51" t="s">
        <v>73</v>
      </c>
      <c r="T36" s="15" t="s">
        <v>75</v>
      </c>
      <c r="U36" s="66" t="s">
        <v>30</v>
      </c>
      <c r="V36" s="65" t="s">
        <v>30</v>
      </c>
      <c r="W36" s="13" t="s">
        <v>30</v>
      </c>
    </row>
    <row r="37" spans="1:23" ht="105" customHeight="1" x14ac:dyDescent="0.25">
      <c r="A37" s="24"/>
      <c r="B37" s="64" t="s">
        <v>74</v>
      </c>
      <c r="C37" s="35">
        <v>1245</v>
      </c>
      <c r="D37" s="56"/>
      <c r="E37" s="55">
        <v>0</v>
      </c>
      <c r="F37" s="52">
        <v>0</v>
      </c>
      <c r="G37" s="19">
        <v>0</v>
      </c>
      <c r="H37" s="53">
        <f>C37*30*0.75/420/220</f>
        <v>0.30316558441558439</v>
      </c>
      <c r="I37" s="53">
        <f>C37*30*0.75/420/220</f>
        <v>0.30316558441558439</v>
      </c>
      <c r="J37" s="19">
        <f>AVERAGE(H37:I37)</f>
        <v>0.30316558441558439</v>
      </c>
      <c r="K37" s="53">
        <v>0</v>
      </c>
      <c r="L37" s="54">
        <v>0</v>
      </c>
      <c r="M37" s="54">
        <v>0</v>
      </c>
      <c r="N37" s="53">
        <v>0</v>
      </c>
      <c r="O37" s="52">
        <v>0</v>
      </c>
      <c r="P37" s="52">
        <v>0</v>
      </c>
      <c r="Q37" s="18"/>
      <c r="R37" s="26"/>
      <c r="S37" s="51" t="s">
        <v>73</v>
      </c>
      <c r="T37" s="15" t="s">
        <v>30</v>
      </c>
      <c r="U37" s="14" t="s">
        <v>72</v>
      </c>
      <c r="V37" s="14" t="s">
        <v>30</v>
      </c>
      <c r="W37" s="13" t="s">
        <v>30</v>
      </c>
    </row>
    <row r="38" spans="1:23" ht="30" x14ac:dyDescent="0.25">
      <c r="A38" s="24"/>
      <c r="B38" s="57" t="s">
        <v>71</v>
      </c>
      <c r="C38" s="22">
        <v>5500</v>
      </c>
      <c r="D38" s="56"/>
      <c r="E38" s="55">
        <v>0</v>
      </c>
      <c r="F38" s="52">
        <v>0</v>
      </c>
      <c r="G38" s="19">
        <v>0</v>
      </c>
      <c r="H38" s="53">
        <f>C38*5*0.5/420/220</f>
        <v>0.14880952380952381</v>
      </c>
      <c r="I38" s="53">
        <f>C38*5*0.5/420/220</f>
        <v>0.14880952380952381</v>
      </c>
      <c r="J38" s="19">
        <f>AVERAGE(H38:I38)</f>
        <v>0.14880952380952381</v>
      </c>
      <c r="K38" s="53">
        <v>0</v>
      </c>
      <c r="L38" s="54">
        <v>0</v>
      </c>
      <c r="M38" s="54">
        <v>0</v>
      </c>
      <c r="N38" s="53">
        <v>0</v>
      </c>
      <c r="O38" s="52">
        <v>0</v>
      </c>
      <c r="P38" s="52">
        <v>0</v>
      </c>
      <c r="Q38" s="18"/>
      <c r="R38" s="26"/>
      <c r="S38" s="51" t="s">
        <v>70</v>
      </c>
      <c r="T38" s="15" t="s">
        <v>69</v>
      </c>
      <c r="U38" s="14" t="s">
        <v>69</v>
      </c>
      <c r="V38" s="14" t="s">
        <v>69</v>
      </c>
      <c r="W38" s="13" t="s">
        <v>30</v>
      </c>
    </row>
    <row r="39" spans="1:23" ht="169.5" customHeight="1" x14ac:dyDescent="0.25">
      <c r="A39" s="24"/>
      <c r="B39" s="57" t="s">
        <v>68</v>
      </c>
      <c r="C39" s="86">
        <f>+'[1]MS Reb tables'!C16</f>
        <v>2000</v>
      </c>
      <c r="D39" s="56"/>
      <c r="E39" s="55">
        <f>C39*0.33*15/420/220</f>
        <v>0.10714285714285715</v>
      </c>
      <c r="F39" s="55">
        <f>C39*0.33*15/420/220</f>
        <v>0.10714285714285715</v>
      </c>
      <c r="G39" s="19">
        <f>AVERAGE(E39:F39)</f>
        <v>0.10714285714285715</v>
      </c>
      <c r="H39" s="53">
        <v>0</v>
      </c>
      <c r="I39" s="54">
        <v>0</v>
      </c>
      <c r="J39" s="19">
        <v>0</v>
      </c>
      <c r="K39" s="54">
        <f>C39*15*0.25/420/220</f>
        <v>8.1168831168831168E-2</v>
      </c>
      <c r="L39" s="54">
        <f>C39*15*0.25/420/220</f>
        <v>8.1168831168831168E-2</v>
      </c>
      <c r="M39" s="19">
        <f>AVERAGE(K39:L39)</f>
        <v>8.1168831168831168E-2</v>
      </c>
      <c r="N39" s="53">
        <v>0</v>
      </c>
      <c r="O39" s="52">
        <v>0</v>
      </c>
      <c r="P39" s="52">
        <v>0</v>
      </c>
      <c r="Q39" s="18"/>
      <c r="R39" s="26"/>
      <c r="S39" s="51"/>
      <c r="T39" s="15" t="s">
        <v>67</v>
      </c>
      <c r="U39" s="14" t="s">
        <v>30</v>
      </c>
      <c r="V39" s="14" t="s">
        <v>66</v>
      </c>
      <c r="W39" s="13" t="s">
        <v>30</v>
      </c>
    </row>
    <row r="40" spans="1:23" ht="75" x14ac:dyDescent="0.25">
      <c r="A40" s="37">
        <v>2</v>
      </c>
      <c r="B40" s="36" t="s">
        <v>65</v>
      </c>
      <c r="C40" s="35">
        <f>2.2*160</f>
        <v>352</v>
      </c>
      <c r="D40" s="85"/>
      <c r="E40" s="49">
        <f t="shared" ref="E40:M40" si="6">SUM(E41:E43)</f>
        <v>7.6623376623376621E-2</v>
      </c>
      <c r="F40" s="46">
        <f t="shared" si="6"/>
        <v>0.10346320346320347</v>
      </c>
      <c r="G40" s="46">
        <f t="shared" si="6"/>
        <v>9.0043290043290036E-2</v>
      </c>
      <c r="H40" s="84">
        <f t="shared" si="6"/>
        <v>0.39155844155844149</v>
      </c>
      <c r="I40" s="46">
        <f t="shared" si="6"/>
        <v>0.39155844155844149</v>
      </c>
      <c r="J40" s="46">
        <f t="shared" si="6"/>
        <v>0.39155844155844149</v>
      </c>
      <c r="K40" s="46">
        <f t="shared" si="6"/>
        <v>0.2359090909090909</v>
      </c>
      <c r="L40" s="46">
        <f t="shared" si="6"/>
        <v>0.2359090909090909</v>
      </c>
      <c r="M40" s="46">
        <f t="shared" si="6"/>
        <v>0.2359090909090909</v>
      </c>
      <c r="N40" s="84">
        <v>0</v>
      </c>
      <c r="O40" s="46">
        <f>C40*2*15/420/220</f>
        <v>0.11428571428571428</v>
      </c>
      <c r="P40" s="46">
        <f>AVERAGE(N40:O40)</f>
        <v>5.7142857142857141E-2</v>
      </c>
      <c r="Q40" s="18">
        <f>G40+J40+M40+P40</f>
        <v>0.77465367965367959</v>
      </c>
      <c r="R40" s="26">
        <f>Q40*30000</f>
        <v>23239.610389610389</v>
      </c>
      <c r="S40" s="39" t="s">
        <v>64</v>
      </c>
      <c r="T40" s="15" t="s">
        <v>63</v>
      </c>
      <c r="U40" s="44"/>
      <c r="V40" s="44"/>
      <c r="W40" s="43"/>
    </row>
    <row r="41" spans="1:23" ht="105" x14ac:dyDescent="0.25">
      <c r="A41" s="37"/>
      <c r="B41" s="36" t="s">
        <v>62</v>
      </c>
      <c r="C41" s="35">
        <v>120</v>
      </c>
      <c r="D41" s="83">
        <v>6.8</v>
      </c>
      <c r="E41" s="41">
        <f>C41*15/420/220</f>
        <v>1.948051948051948E-2</v>
      </c>
      <c r="F41" s="19">
        <f>C41*30/420/220</f>
        <v>3.896103896103896E-2</v>
      </c>
      <c r="G41" s="19">
        <f t="shared" ref="G41:G47" si="7">AVERAGE(E41:F41)</f>
        <v>2.922077922077922E-2</v>
      </c>
      <c r="H41" s="20">
        <v>0</v>
      </c>
      <c r="I41" s="19">
        <v>0</v>
      </c>
      <c r="J41" s="19">
        <v>0</v>
      </c>
      <c r="K41" s="20">
        <f>C41*(D41-1)*15/420/220</f>
        <v>0.11298701298701298</v>
      </c>
      <c r="L41" s="20">
        <f>C41*(D41-1)*15/420/220</f>
        <v>0.11298701298701298</v>
      </c>
      <c r="M41" s="19">
        <f>AVERAGE(K41:L41)</f>
        <v>0.11298701298701298</v>
      </c>
      <c r="N41" s="20"/>
      <c r="O41" s="19"/>
      <c r="P41" s="19"/>
      <c r="Q41" s="40"/>
      <c r="R41" s="26"/>
      <c r="S41" s="39" t="s">
        <v>54</v>
      </c>
      <c r="T41" s="15" t="s">
        <v>61</v>
      </c>
      <c r="U41" s="14" t="s">
        <v>30</v>
      </c>
      <c r="V41" s="38" t="s">
        <v>60</v>
      </c>
      <c r="W41" s="30" t="s">
        <v>30</v>
      </c>
    </row>
    <row r="42" spans="1:23" ht="150" x14ac:dyDescent="0.25">
      <c r="A42" s="37"/>
      <c r="B42" s="36" t="s">
        <v>59</v>
      </c>
      <c r="C42" s="35">
        <v>24</v>
      </c>
      <c r="D42" s="83">
        <v>7.1</v>
      </c>
      <c r="E42" s="41">
        <f>C42*120/420/220</f>
        <v>3.1168831168831169E-2</v>
      </c>
      <c r="F42" s="19">
        <f>C42*15/420/220+E42</f>
        <v>3.5064935064935063E-2</v>
      </c>
      <c r="G42" s="19">
        <f t="shared" si="7"/>
        <v>3.3116883116883114E-2</v>
      </c>
      <c r="H42" s="82">
        <f>$C$15*(D42*0.75)*60/420/220</f>
        <v>0.20746753246753241</v>
      </c>
      <c r="I42" s="19">
        <f>$C$15*(D42*0.75)*60/420/220</f>
        <v>0.20746753246753241</v>
      </c>
      <c r="J42" s="19">
        <f>AVERAGE(H42:I42)</f>
        <v>0.20746753246753241</v>
      </c>
      <c r="K42" s="20">
        <f>C42*(D42-1)*60*0.75/420/220</f>
        <v>7.1298701298701278E-2</v>
      </c>
      <c r="L42" s="20">
        <f>C42*(D42-1)*60*0.75/420/220</f>
        <v>7.1298701298701278E-2</v>
      </c>
      <c r="M42" s="19">
        <f>AVERAGE(K42:L42)</f>
        <v>7.1298701298701278E-2</v>
      </c>
      <c r="N42" s="82"/>
      <c r="O42" s="19"/>
      <c r="P42" s="19"/>
      <c r="Q42" s="40"/>
      <c r="R42" s="26"/>
      <c r="S42" s="39" t="s">
        <v>54</v>
      </c>
      <c r="T42" s="15" t="s">
        <v>58</v>
      </c>
      <c r="U42" s="38" t="s">
        <v>57</v>
      </c>
      <c r="V42" s="38" t="s">
        <v>56</v>
      </c>
      <c r="W42" s="30" t="s">
        <v>30</v>
      </c>
    </row>
    <row r="43" spans="1:23" ht="125.25" customHeight="1" x14ac:dyDescent="0.25">
      <c r="A43" s="37"/>
      <c r="B43" s="36" t="s">
        <v>55</v>
      </c>
      <c r="C43" s="35">
        <v>16</v>
      </c>
      <c r="D43" s="83">
        <v>6.3</v>
      </c>
      <c r="E43" s="41">
        <f>C43*(120+30)/420/220</f>
        <v>2.5974025974025976E-2</v>
      </c>
      <c r="F43" s="19">
        <f>(C43*20)/420/220+E43</f>
        <v>2.9437229437229439E-2</v>
      </c>
      <c r="G43" s="19">
        <f t="shared" si="7"/>
        <v>2.7705627705627706E-2</v>
      </c>
      <c r="H43" s="82">
        <f>$C$16*90*(D43*0.75)/420/220</f>
        <v>0.18409090909090908</v>
      </c>
      <c r="I43" s="82">
        <f>$C$16*90*(D43*0.75)/420/220</f>
        <v>0.18409090909090908</v>
      </c>
      <c r="J43" s="19">
        <f>AVERAGE(H43:I43)</f>
        <v>0.18409090909090908</v>
      </c>
      <c r="K43" s="20">
        <f>C43*(D43-1)*75*0.75/420/220</f>
        <v>5.1623376623376627E-2</v>
      </c>
      <c r="L43" s="20">
        <f>C43*(D43-1)*75*0.75/420/220</f>
        <v>5.1623376623376627E-2</v>
      </c>
      <c r="M43" s="19">
        <f>AVERAGE(K43:L43)</f>
        <v>5.1623376623376627E-2</v>
      </c>
      <c r="N43" s="82"/>
      <c r="O43" s="82"/>
      <c r="P43" s="19"/>
      <c r="Q43" s="40"/>
      <c r="R43" s="26"/>
      <c r="S43" s="39" t="s">
        <v>54</v>
      </c>
      <c r="T43" s="15" t="s">
        <v>53</v>
      </c>
      <c r="U43" s="38" t="s">
        <v>52</v>
      </c>
      <c r="V43" s="38" t="s">
        <v>51</v>
      </c>
      <c r="W43" s="30" t="s">
        <v>30</v>
      </c>
    </row>
    <row r="44" spans="1:23" ht="143.25" customHeight="1" x14ac:dyDescent="0.25">
      <c r="A44" s="37">
        <v>3</v>
      </c>
      <c r="B44" s="36" t="s">
        <v>50</v>
      </c>
      <c r="C44" s="35">
        <v>60</v>
      </c>
      <c r="D44" s="35"/>
      <c r="E44" s="20">
        <f>$C$17*10/420/220</f>
        <v>8.1168831168831168E-2</v>
      </c>
      <c r="F44" s="19">
        <f>$C$17*45/420/220</f>
        <v>0.36525974025974028</v>
      </c>
      <c r="G44" s="19">
        <f t="shared" si="7"/>
        <v>0.22321428571428573</v>
      </c>
      <c r="H44" s="20">
        <f>$C$17*60/420/220</f>
        <v>0.48701298701298701</v>
      </c>
      <c r="I44" s="19">
        <f>$C$17*90/420/220</f>
        <v>0.73051948051948057</v>
      </c>
      <c r="J44" s="19">
        <f>$C$17*60/420/220</f>
        <v>0.48701298701298701</v>
      </c>
      <c r="K44" s="20">
        <f>C44*10*1.25/420/220</f>
        <v>8.1168831168831179E-3</v>
      </c>
      <c r="L44" s="20">
        <f>C44*10*1.25/420/220</f>
        <v>8.1168831168831179E-3</v>
      </c>
      <c r="M44" s="19">
        <f>AVERAGE(K44:L44)</f>
        <v>8.1168831168831179E-3</v>
      </c>
      <c r="N44" s="20"/>
      <c r="O44" s="19"/>
      <c r="P44" s="19"/>
      <c r="Q44" s="18">
        <f t="shared" ref="Q44:Q49" si="8">G44+J44+M44</f>
        <v>0.71834415584415579</v>
      </c>
      <c r="R44" s="26">
        <f>Q44*30000</f>
        <v>21550.324675324675</v>
      </c>
      <c r="S44" s="33" t="s">
        <v>49</v>
      </c>
      <c r="T44" s="15" t="s">
        <v>48</v>
      </c>
      <c r="U44" s="14" t="s">
        <v>47</v>
      </c>
      <c r="V44" s="31" t="s">
        <v>42</v>
      </c>
      <c r="W44" s="30" t="s">
        <v>30</v>
      </c>
    </row>
    <row r="45" spans="1:23" ht="210" customHeight="1" x14ac:dyDescent="0.25">
      <c r="A45" s="24">
        <v>4</v>
      </c>
      <c r="B45" s="23" t="s">
        <v>46</v>
      </c>
      <c r="C45" s="22">
        <v>300</v>
      </c>
      <c r="D45" s="21"/>
      <c r="E45" s="20">
        <f>C45*10/420/220</f>
        <v>3.2467532467532471E-2</v>
      </c>
      <c r="F45" s="19">
        <f>C45*30/420/220</f>
        <v>9.7402597402597393E-2</v>
      </c>
      <c r="G45" s="19">
        <f t="shared" si="7"/>
        <v>6.4935064935064929E-2</v>
      </c>
      <c r="H45" s="20">
        <f>C45*60/420/220</f>
        <v>0.19480519480519479</v>
      </c>
      <c r="I45" s="19">
        <f>C45*90/420/220</f>
        <v>0.29220779220779225</v>
      </c>
      <c r="J45" s="19">
        <f>$C$17*60/420/220</f>
        <v>0.48701298701298701</v>
      </c>
      <c r="K45" s="20">
        <f>C45*10*1.25/420/220</f>
        <v>4.0584415584415584E-2</v>
      </c>
      <c r="L45" s="20">
        <f>C45*10*1.25/420/220</f>
        <v>4.0584415584415584E-2</v>
      </c>
      <c r="M45" s="19">
        <f>AVERAGE(K45:L45)</f>
        <v>4.0584415584415584E-2</v>
      </c>
      <c r="N45" s="20"/>
      <c r="O45" s="19"/>
      <c r="P45" s="19"/>
      <c r="Q45" s="18">
        <f t="shared" si="8"/>
        <v>0.59253246753246758</v>
      </c>
      <c r="R45" s="26">
        <f>Q45*30000</f>
        <v>17775.974025974028</v>
      </c>
      <c r="S45" s="32" t="s">
        <v>45</v>
      </c>
      <c r="T45" s="15" t="s">
        <v>44</v>
      </c>
      <c r="U45" s="14" t="s">
        <v>43</v>
      </c>
      <c r="V45" s="31" t="s">
        <v>42</v>
      </c>
      <c r="W45" s="30" t="s">
        <v>30</v>
      </c>
    </row>
    <row r="46" spans="1:23" ht="45" x14ac:dyDescent="0.25">
      <c r="A46" s="24">
        <v>5</v>
      </c>
      <c r="B46" s="23" t="s">
        <v>41</v>
      </c>
      <c r="C46" s="22">
        <v>0</v>
      </c>
      <c r="D46" s="21"/>
      <c r="E46" s="20">
        <v>0</v>
      </c>
      <c r="F46" s="19">
        <f>C46*10/420/220</f>
        <v>0</v>
      </c>
      <c r="G46" s="19">
        <f t="shared" si="7"/>
        <v>0</v>
      </c>
      <c r="H46" s="20">
        <v>0</v>
      </c>
      <c r="I46" s="19">
        <v>0</v>
      </c>
      <c r="J46" s="19">
        <v>0</v>
      </c>
      <c r="K46" s="20">
        <v>0</v>
      </c>
      <c r="L46" s="20">
        <v>0</v>
      </c>
      <c r="M46" s="19">
        <v>0</v>
      </c>
      <c r="N46" s="20"/>
      <c r="O46" s="19"/>
      <c r="P46" s="19"/>
      <c r="Q46" s="18">
        <f t="shared" si="8"/>
        <v>0</v>
      </c>
      <c r="R46" s="26"/>
      <c r="S46" s="51"/>
      <c r="T46" s="15" t="s">
        <v>36</v>
      </c>
      <c r="U46" s="14" t="s">
        <v>30</v>
      </c>
      <c r="V46" s="14" t="s">
        <v>39</v>
      </c>
      <c r="W46" s="13" t="s">
        <v>30</v>
      </c>
    </row>
    <row r="47" spans="1:23" x14ac:dyDescent="0.25">
      <c r="A47" s="24"/>
      <c r="B47" s="23" t="s">
        <v>38</v>
      </c>
      <c r="C47" s="22">
        <v>0</v>
      </c>
      <c r="D47" s="21"/>
      <c r="E47" s="20">
        <v>0</v>
      </c>
      <c r="F47" s="19">
        <f>C47*10/420/220</f>
        <v>0</v>
      </c>
      <c r="G47" s="19">
        <f t="shared" si="7"/>
        <v>0</v>
      </c>
      <c r="H47" s="20">
        <v>0</v>
      </c>
      <c r="I47" s="19">
        <v>0</v>
      </c>
      <c r="J47" s="19">
        <v>0</v>
      </c>
      <c r="K47" s="20">
        <f>C47*50/420/220</f>
        <v>0</v>
      </c>
      <c r="L47" s="20">
        <f>C47*70/420/220</f>
        <v>0</v>
      </c>
      <c r="M47" s="19">
        <f>AVERAGE(K47:L47)</f>
        <v>0</v>
      </c>
      <c r="N47" s="20"/>
      <c r="O47" s="19"/>
      <c r="P47" s="19"/>
      <c r="Q47" s="18">
        <f t="shared" si="8"/>
        <v>0</v>
      </c>
      <c r="R47" s="26"/>
      <c r="S47" s="51" t="s">
        <v>21</v>
      </c>
      <c r="T47" s="15" t="s">
        <v>30</v>
      </c>
      <c r="U47" s="14" t="s">
        <v>30</v>
      </c>
      <c r="V47" s="14" t="s">
        <v>30</v>
      </c>
      <c r="W47" s="13" t="s">
        <v>30</v>
      </c>
    </row>
    <row r="48" spans="1:23" x14ac:dyDescent="0.25">
      <c r="A48" s="24">
        <v>6</v>
      </c>
      <c r="B48" s="23" t="s">
        <v>34</v>
      </c>
      <c r="C48" s="22">
        <v>0</v>
      </c>
      <c r="D48" s="21"/>
      <c r="E48" s="20"/>
      <c r="F48" s="19"/>
      <c r="G48" s="19"/>
      <c r="H48" s="20"/>
      <c r="I48" s="19"/>
      <c r="J48" s="19"/>
      <c r="K48" s="20">
        <f>C48*30*0.75/420/220</f>
        <v>0</v>
      </c>
      <c r="L48" s="20">
        <f>C48*30*0.75/420/220</f>
        <v>0</v>
      </c>
      <c r="M48" s="19">
        <f>AVERAGE(K48:L48)</f>
        <v>0</v>
      </c>
      <c r="N48" s="20"/>
      <c r="O48" s="19"/>
      <c r="P48" s="19"/>
      <c r="Q48" s="18">
        <f t="shared" si="8"/>
        <v>0</v>
      </c>
      <c r="R48" s="26"/>
      <c r="S48" s="51"/>
      <c r="T48" s="15" t="s">
        <v>30</v>
      </c>
      <c r="U48" s="14" t="s">
        <v>30</v>
      </c>
      <c r="V48" s="14" t="s">
        <v>30</v>
      </c>
      <c r="W48" s="13" t="s">
        <v>30</v>
      </c>
    </row>
    <row r="49" spans="1:23" ht="212.25" customHeight="1" thickBot="1" x14ac:dyDescent="0.3">
      <c r="A49" s="24">
        <v>7</v>
      </c>
      <c r="B49" s="23" t="s">
        <v>33</v>
      </c>
      <c r="C49" s="22">
        <v>2658</v>
      </c>
      <c r="D49" s="21"/>
      <c r="E49" s="20"/>
      <c r="F49" s="19"/>
      <c r="G49" s="19"/>
      <c r="H49" s="20"/>
      <c r="I49" s="19"/>
      <c r="J49" s="19"/>
      <c r="K49" s="20">
        <f>C49*15/420/220</f>
        <v>0.43149350649350648</v>
      </c>
      <c r="L49" s="20">
        <f>C49*25/420/220</f>
        <v>0.71915584415584421</v>
      </c>
      <c r="M49" s="19">
        <f>AVERAGE(K49:L49)</f>
        <v>0.57532467532467535</v>
      </c>
      <c r="N49" s="20"/>
      <c r="O49" s="19"/>
      <c r="P49" s="19"/>
      <c r="Q49" s="18">
        <f t="shared" si="8"/>
        <v>0.57532467532467535</v>
      </c>
      <c r="R49" s="26">
        <f>Q49*30000</f>
        <v>17259.740259740262</v>
      </c>
      <c r="S49" s="51" t="s">
        <v>32</v>
      </c>
      <c r="T49" s="15" t="s">
        <v>30</v>
      </c>
      <c r="U49" s="14" t="s">
        <v>30</v>
      </c>
      <c r="V49" s="14" t="s">
        <v>31</v>
      </c>
      <c r="W49" s="13" t="s">
        <v>30</v>
      </c>
    </row>
    <row r="50" spans="1:23" ht="15.75" thickBot="1" x14ac:dyDescent="0.3">
      <c r="A50" t="s">
        <v>21</v>
      </c>
      <c r="C50" s="12"/>
      <c r="D50" s="12"/>
      <c r="E50" s="12"/>
      <c r="F50" s="12"/>
      <c r="G50" s="12"/>
      <c r="H50" s="12"/>
      <c r="I50" s="12"/>
      <c r="J50" s="12"/>
      <c r="K50" s="12"/>
      <c r="L50" s="12"/>
      <c r="M50" s="12"/>
      <c r="N50" s="12"/>
      <c r="O50" s="12"/>
      <c r="P50" s="12"/>
      <c r="Q50" s="11">
        <f>SUM(Q32+Q40+Q44+Q45+Q46+Q47+Q48+Q49)</f>
        <v>6.5103138528138516</v>
      </c>
      <c r="R50" s="26">
        <f>Q50*30000</f>
        <v>195309.41558441555</v>
      </c>
    </row>
    <row r="51" spans="1:23" x14ac:dyDescent="0.25">
      <c r="C51" s="12"/>
      <c r="D51" s="12"/>
      <c r="E51" s="12"/>
      <c r="F51" s="12"/>
      <c r="G51" s="12"/>
      <c r="H51" s="12"/>
      <c r="I51" s="12"/>
      <c r="J51" s="12"/>
      <c r="K51" s="12"/>
      <c r="L51" s="12"/>
      <c r="M51" s="12"/>
      <c r="N51" s="12"/>
      <c r="O51" s="12"/>
      <c r="P51" s="12"/>
      <c r="Q51" s="81"/>
      <c r="R51" s="80"/>
    </row>
    <row r="52" spans="1:23" x14ac:dyDescent="0.25">
      <c r="C52" s="12"/>
      <c r="D52" s="12"/>
      <c r="E52" s="12"/>
      <c r="F52" s="12"/>
      <c r="G52" s="12"/>
      <c r="H52" s="12"/>
      <c r="I52" s="12"/>
      <c r="J52" s="12"/>
      <c r="K52" s="12"/>
      <c r="L52" s="12"/>
      <c r="M52" s="12"/>
      <c r="N52" s="12"/>
      <c r="O52" s="12"/>
      <c r="P52" s="12"/>
      <c r="Q52" s="81"/>
      <c r="R52" s="80"/>
    </row>
    <row r="53" spans="1:23" x14ac:dyDescent="0.25">
      <c r="Q53" s="80"/>
      <c r="R53" s="80"/>
    </row>
    <row r="54" spans="1:23" ht="15.75" thickBot="1" x14ac:dyDescent="0.3">
      <c r="B54" s="9" t="s">
        <v>108</v>
      </c>
    </row>
    <row r="55" spans="1:23" ht="15.75" thickBot="1" x14ac:dyDescent="0.3">
      <c r="E55" s="154"/>
      <c r="F55" s="154"/>
      <c r="G55" s="154"/>
      <c r="H55" s="154"/>
      <c r="I55" s="154"/>
      <c r="J55" s="154"/>
      <c r="K55" s="154"/>
      <c r="L55" s="154"/>
      <c r="M55" s="154"/>
      <c r="N55" s="154"/>
      <c r="O55" s="154"/>
      <c r="P55" s="154"/>
      <c r="Q55" s="154"/>
      <c r="R55" s="79"/>
      <c r="S55" s="78"/>
      <c r="T55" s="78"/>
      <c r="U55" s="78"/>
      <c r="V55" s="78"/>
      <c r="W55" s="78"/>
    </row>
    <row r="56" spans="1:23" ht="45" customHeight="1" thickBot="1" x14ac:dyDescent="0.3">
      <c r="A56" s="24" t="s">
        <v>107</v>
      </c>
      <c r="B56" s="23" t="s">
        <v>106</v>
      </c>
      <c r="C56" s="77" t="s">
        <v>105</v>
      </c>
      <c r="D56" s="76" t="s">
        <v>104</v>
      </c>
      <c r="E56" s="155" t="s">
        <v>103</v>
      </c>
      <c r="F56" s="156"/>
      <c r="G56" s="157"/>
      <c r="H56" s="158" t="s">
        <v>102</v>
      </c>
      <c r="I56" s="159"/>
      <c r="J56" s="160"/>
      <c r="K56" s="161" t="s">
        <v>101</v>
      </c>
      <c r="L56" s="162"/>
      <c r="M56" s="162"/>
      <c r="N56" s="163" t="s">
        <v>100</v>
      </c>
      <c r="O56" s="159"/>
      <c r="P56" s="164"/>
      <c r="Q56" s="75" t="s">
        <v>29</v>
      </c>
      <c r="R56" s="74" t="s">
        <v>99</v>
      </c>
      <c r="S56" s="73" t="s">
        <v>98</v>
      </c>
      <c r="T56" s="73" t="s">
        <v>97</v>
      </c>
      <c r="U56" s="73" t="s">
        <v>97</v>
      </c>
      <c r="V56" s="73" t="s">
        <v>97</v>
      </c>
      <c r="W56" s="73" t="s">
        <v>97</v>
      </c>
    </row>
    <row r="57" spans="1:23" ht="15.75" thickBot="1" x14ac:dyDescent="0.3">
      <c r="A57" s="24"/>
      <c r="B57" s="23"/>
      <c r="C57" s="72" t="s">
        <v>96</v>
      </c>
      <c r="D57" s="72"/>
      <c r="E57" s="72" t="s">
        <v>95</v>
      </c>
      <c r="F57" s="24" t="s">
        <v>94</v>
      </c>
      <c r="G57" s="24" t="s">
        <v>93</v>
      </c>
      <c r="H57" s="72" t="s">
        <v>95</v>
      </c>
      <c r="I57" s="24" t="s">
        <v>94</v>
      </c>
      <c r="J57" s="24" t="s">
        <v>93</v>
      </c>
      <c r="K57" s="72" t="s">
        <v>95</v>
      </c>
      <c r="L57" s="24" t="s">
        <v>94</v>
      </c>
      <c r="M57" s="24" t="s">
        <v>93</v>
      </c>
      <c r="N57" s="72" t="s">
        <v>95</v>
      </c>
      <c r="O57" s="24" t="s">
        <v>94</v>
      </c>
      <c r="P57" s="24" t="s">
        <v>93</v>
      </c>
      <c r="Q57" s="71"/>
      <c r="R57" s="70" t="s">
        <v>92</v>
      </c>
      <c r="S57" s="69"/>
      <c r="T57" s="69"/>
      <c r="U57" s="69"/>
      <c r="V57" s="69"/>
      <c r="W57" s="69"/>
    </row>
    <row r="58" spans="1:23" ht="105" x14ac:dyDescent="0.25">
      <c r="A58" s="24">
        <v>1</v>
      </c>
      <c r="B58" s="23" t="s">
        <v>91</v>
      </c>
      <c r="C58" s="22"/>
      <c r="D58" s="22"/>
      <c r="E58" s="68">
        <f t="shared" ref="E58:P58" si="9">SUM(E59:E65)</f>
        <v>0.28760822510822509</v>
      </c>
      <c r="F58" s="68">
        <f t="shared" si="9"/>
        <v>0.30113636363636365</v>
      </c>
      <c r="G58" s="68">
        <f t="shared" si="9"/>
        <v>0.2943722943722944</v>
      </c>
      <c r="H58" s="68">
        <f t="shared" si="9"/>
        <v>0.602137445887446</v>
      </c>
      <c r="I58" s="68">
        <f t="shared" si="9"/>
        <v>0.602137445887446</v>
      </c>
      <c r="J58" s="68">
        <f t="shared" si="9"/>
        <v>0.602137445887446</v>
      </c>
      <c r="K58" s="68">
        <f t="shared" si="9"/>
        <v>4.2475649350649345</v>
      </c>
      <c r="L58" s="68">
        <f t="shared" si="9"/>
        <v>4.2475649350649345</v>
      </c>
      <c r="M58" s="68">
        <f t="shared" si="9"/>
        <v>4.2475649350649345</v>
      </c>
      <c r="N58" s="68">
        <f t="shared" si="9"/>
        <v>0.11363636363636363</v>
      </c>
      <c r="O58" s="68">
        <f t="shared" si="9"/>
        <v>0.18127705627705626</v>
      </c>
      <c r="P58" s="68">
        <f t="shared" si="9"/>
        <v>0.14745670995670995</v>
      </c>
      <c r="Q58" s="18">
        <f>G58+J58+M58+P58</f>
        <v>5.2915313852813854</v>
      </c>
      <c r="R58" s="26">
        <f>Q58*29420</f>
        <v>155676.85335497835</v>
      </c>
      <c r="S58" s="51" t="s">
        <v>90</v>
      </c>
      <c r="T58" s="15" t="s">
        <v>89</v>
      </c>
      <c r="U58" s="65" t="s">
        <v>88</v>
      </c>
      <c r="V58" s="65" t="s">
        <v>88</v>
      </c>
      <c r="W58" s="67" t="s">
        <v>88</v>
      </c>
    </row>
    <row r="59" spans="1:23" ht="105" x14ac:dyDescent="0.25">
      <c r="A59" s="24"/>
      <c r="B59" s="64" t="s">
        <v>87</v>
      </c>
      <c r="C59" s="35">
        <v>175</v>
      </c>
      <c r="D59" s="56"/>
      <c r="E59" s="53">
        <f>C59*10/420/220</f>
        <v>1.893939393939394E-2</v>
      </c>
      <c r="F59" s="52">
        <f>C59*10/420/220</f>
        <v>1.893939393939394E-2</v>
      </c>
      <c r="G59" s="19">
        <f>AVERAGE(E59:F59)</f>
        <v>1.893939393939394E-2</v>
      </c>
      <c r="H59" s="53">
        <f>C59*30*0.8/420/220</f>
        <v>4.5454545454545456E-2</v>
      </c>
      <c r="I59" s="52">
        <f>C59*30*0.8/420/220</f>
        <v>4.5454545454545456E-2</v>
      </c>
      <c r="J59" s="52">
        <f>C59*30*0.8/420/220</f>
        <v>4.5454545454545456E-2</v>
      </c>
      <c r="K59" s="53">
        <v>0.25</v>
      </c>
      <c r="L59" s="54">
        <v>0.25</v>
      </c>
      <c r="M59" s="54">
        <v>0.25</v>
      </c>
      <c r="N59" s="53">
        <f>C59*2*30/420/220</f>
        <v>0.11363636363636363</v>
      </c>
      <c r="O59" s="53">
        <f>C59*2*30/420/220</f>
        <v>0.11363636363636363</v>
      </c>
      <c r="P59" s="19">
        <f>AVERAGE(N59:O59)</f>
        <v>0.11363636363636363</v>
      </c>
      <c r="Q59" s="18"/>
      <c r="R59" s="26"/>
      <c r="S59" s="51" t="s">
        <v>86</v>
      </c>
      <c r="T59" s="15" t="s">
        <v>85</v>
      </c>
      <c r="U59" s="14" t="s">
        <v>84</v>
      </c>
      <c r="V59" s="65" t="s">
        <v>83</v>
      </c>
      <c r="W59" s="67" t="s">
        <v>82</v>
      </c>
    </row>
    <row r="60" spans="1:23" ht="105" x14ac:dyDescent="0.25">
      <c r="A60" s="24"/>
      <c r="B60" s="64" t="s">
        <v>81</v>
      </c>
      <c r="C60" s="35">
        <v>2500</v>
      </c>
      <c r="D60" s="56"/>
      <c r="E60" s="55">
        <v>0</v>
      </c>
      <c r="F60" s="52">
        <v>0</v>
      </c>
      <c r="G60" s="19">
        <v>0</v>
      </c>
      <c r="H60" s="53">
        <v>0</v>
      </c>
      <c r="I60" s="52">
        <v>0</v>
      </c>
      <c r="J60" s="52">
        <v>0</v>
      </c>
      <c r="K60" s="53">
        <f>C60*5*30*0.75/420/220</f>
        <v>3.0438311688311686</v>
      </c>
      <c r="L60" s="53">
        <f>C60*5*30*0.75/420/220</f>
        <v>3.0438311688311686</v>
      </c>
      <c r="M60" s="19">
        <f>AVERAGE(K60:L60)</f>
        <v>3.0438311688311686</v>
      </c>
      <c r="N60" s="53">
        <v>0</v>
      </c>
      <c r="O60" s="52">
        <f>C60*10*0.25/420/220</f>
        <v>6.764069264069264E-2</v>
      </c>
      <c r="P60" s="19">
        <f>AVERAGE(N60:O60)</f>
        <v>3.382034632034632E-2</v>
      </c>
      <c r="Q60" s="18"/>
      <c r="R60" s="26"/>
      <c r="S60" s="51" t="s">
        <v>73</v>
      </c>
      <c r="T60" s="15" t="s">
        <v>30</v>
      </c>
      <c r="U60" s="14" t="s">
        <v>30</v>
      </c>
      <c r="V60" s="14" t="s">
        <v>80</v>
      </c>
      <c r="W60" s="67" t="s">
        <v>79</v>
      </c>
    </row>
    <row r="61" spans="1:23" ht="45" x14ac:dyDescent="0.25">
      <c r="A61" s="24"/>
      <c r="B61" s="64" t="s">
        <v>78</v>
      </c>
      <c r="C61" s="63">
        <v>2500</v>
      </c>
      <c r="D61" s="56"/>
      <c r="E61" s="55">
        <v>0</v>
      </c>
      <c r="F61" s="52">
        <v>0</v>
      </c>
      <c r="G61" s="19">
        <v>0</v>
      </c>
      <c r="H61" s="53">
        <v>0</v>
      </c>
      <c r="I61" s="52">
        <v>0</v>
      </c>
      <c r="J61" s="52">
        <v>0</v>
      </c>
      <c r="K61" s="53">
        <f>C61*30/420/220</f>
        <v>0.81168831168831179</v>
      </c>
      <c r="L61" s="53">
        <f>C61*30/420/220</f>
        <v>0.81168831168831179</v>
      </c>
      <c r="M61" s="19">
        <f>AVERAGE(K61:L61)</f>
        <v>0.81168831168831179</v>
      </c>
      <c r="N61" s="53">
        <v>0</v>
      </c>
      <c r="O61" s="52">
        <v>0</v>
      </c>
      <c r="P61" s="52">
        <v>0</v>
      </c>
      <c r="Q61" s="18"/>
      <c r="R61" s="26"/>
      <c r="S61" s="51" t="s">
        <v>73</v>
      </c>
      <c r="T61" s="15" t="s">
        <v>30</v>
      </c>
      <c r="U61" s="14" t="s">
        <v>30</v>
      </c>
      <c r="V61" s="65" t="s">
        <v>77</v>
      </c>
      <c r="W61" s="13" t="s">
        <v>30</v>
      </c>
    </row>
    <row r="62" spans="1:23" ht="90" x14ac:dyDescent="0.25">
      <c r="A62" s="24"/>
      <c r="B62" s="64" t="s">
        <v>76</v>
      </c>
      <c r="C62" s="35">
        <v>2500</v>
      </c>
      <c r="D62" s="56"/>
      <c r="E62" s="55">
        <f>C62*0.05*60/420/220</f>
        <v>8.1168831168831168E-2</v>
      </c>
      <c r="F62" s="55">
        <f>C62*0.05*70/420/220</f>
        <v>9.4696969696969696E-2</v>
      </c>
      <c r="G62" s="19">
        <f>AVERAGE(E62:F62)</f>
        <v>8.7932900432900432E-2</v>
      </c>
      <c r="H62" s="53">
        <v>0</v>
      </c>
      <c r="I62" s="52">
        <v>0</v>
      </c>
      <c r="J62" s="52">
        <v>0</v>
      </c>
      <c r="K62" s="53">
        <v>0</v>
      </c>
      <c r="L62" s="54">
        <v>0</v>
      </c>
      <c r="M62" s="54">
        <v>0</v>
      </c>
      <c r="N62" s="53">
        <v>0</v>
      </c>
      <c r="O62" s="52">
        <v>0</v>
      </c>
      <c r="P62" s="52">
        <v>0</v>
      </c>
      <c r="Q62" s="18"/>
      <c r="R62" s="26"/>
      <c r="S62" s="51" t="s">
        <v>73</v>
      </c>
      <c r="T62" s="15" t="s">
        <v>75</v>
      </c>
      <c r="U62" s="66" t="s">
        <v>30</v>
      </c>
      <c r="V62" s="65" t="s">
        <v>30</v>
      </c>
      <c r="W62" s="13" t="s">
        <v>30</v>
      </c>
    </row>
    <row r="63" spans="1:23" ht="90" x14ac:dyDescent="0.25">
      <c r="A63" s="24"/>
      <c r="B63" s="64" t="s">
        <v>74</v>
      </c>
      <c r="C63" s="63">
        <v>175</v>
      </c>
      <c r="D63" s="56"/>
      <c r="E63" s="55">
        <v>0</v>
      </c>
      <c r="F63" s="52">
        <v>0</v>
      </c>
      <c r="G63" s="19">
        <v>0</v>
      </c>
      <c r="H63" s="53">
        <f>C63*30*0.75/420/220</f>
        <v>4.261363636363636E-2</v>
      </c>
      <c r="I63" s="53">
        <f>C63*30*0.75/420/220</f>
        <v>4.261363636363636E-2</v>
      </c>
      <c r="J63" s="19">
        <f>AVERAGE(H63:I63)</f>
        <v>4.261363636363636E-2</v>
      </c>
      <c r="K63" s="53">
        <v>0</v>
      </c>
      <c r="L63" s="54">
        <v>0</v>
      </c>
      <c r="M63" s="54">
        <v>0</v>
      </c>
      <c r="N63" s="53">
        <v>0</v>
      </c>
      <c r="O63" s="52">
        <v>0</v>
      </c>
      <c r="P63" s="52">
        <v>0</v>
      </c>
      <c r="Q63" s="18"/>
      <c r="R63" s="26"/>
      <c r="S63" s="51" t="s">
        <v>73</v>
      </c>
      <c r="T63" s="15" t="s">
        <v>30</v>
      </c>
      <c r="U63" s="14" t="s">
        <v>72</v>
      </c>
      <c r="V63" s="14" t="s">
        <v>30</v>
      </c>
      <c r="W63" s="13" t="s">
        <v>30</v>
      </c>
    </row>
    <row r="64" spans="1:23" ht="30" x14ac:dyDescent="0.25">
      <c r="A64" s="24"/>
      <c r="B64" s="57" t="s">
        <v>71</v>
      </c>
      <c r="C64" s="22">
        <v>19000</v>
      </c>
      <c r="D64" s="62"/>
      <c r="E64" s="61">
        <v>0</v>
      </c>
      <c r="F64" s="58">
        <v>0</v>
      </c>
      <c r="G64" s="27">
        <v>0</v>
      </c>
      <c r="H64" s="59">
        <f>C64*5*0.5/420/220</f>
        <v>0.51406926406926412</v>
      </c>
      <c r="I64" s="59">
        <f>C64*5*0.5/420/220</f>
        <v>0.51406926406926412</v>
      </c>
      <c r="J64" s="27">
        <f>AVERAGE(H64:I64)</f>
        <v>0.51406926406926412</v>
      </c>
      <c r="K64" s="59">
        <v>0</v>
      </c>
      <c r="L64" s="60">
        <v>0</v>
      </c>
      <c r="M64" s="60">
        <v>0</v>
      </c>
      <c r="N64" s="59">
        <v>0</v>
      </c>
      <c r="O64" s="58">
        <v>0</v>
      </c>
      <c r="P64" s="52">
        <v>0</v>
      </c>
      <c r="Q64" s="18"/>
      <c r="R64" s="26"/>
      <c r="S64" s="51" t="s">
        <v>70</v>
      </c>
      <c r="T64" s="15" t="s">
        <v>69</v>
      </c>
      <c r="U64" s="14" t="s">
        <v>69</v>
      </c>
      <c r="V64" s="14" t="s">
        <v>69</v>
      </c>
      <c r="W64" s="13" t="s">
        <v>30</v>
      </c>
    </row>
    <row r="65" spans="1:23" ht="150" x14ac:dyDescent="0.25">
      <c r="A65" s="24"/>
      <c r="B65" s="57" t="s">
        <v>68</v>
      </c>
      <c r="C65" s="22">
        <v>3500</v>
      </c>
      <c r="D65" s="56"/>
      <c r="E65" s="55">
        <f>C65*0.33*15/420/220</f>
        <v>0.1875</v>
      </c>
      <c r="F65" s="55">
        <f>C65*0.33*15/420/220</f>
        <v>0.1875</v>
      </c>
      <c r="G65" s="19">
        <f>AVERAGE(E65:F65)</f>
        <v>0.1875</v>
      </c>
      <c r="H65" s="53">
        <v>0</v>
      </c>
      <c r="I65" s="54">
        <v>0</v>
      </c>
      <c r="J65" s="19">
        <v>0</v>
      </c>
      <c r="K65" s="54">
        <f>C65*15*0.25/420/220</f>
        <v>0.14204545454545456</v>
      </c>
      <c r="L65" s="54">
        <f>C65*15*0.25/420/220</f>
        <v>0.14204545454545456</v>
      </c>
      <c r="M65" s="19">
        <f>AVERAGE(K65:L65)</f>
        <v>0.14204545454545456</v>
      </c>
      <c r="N65" s="53">
        <v>0</v>
      </c>
      <c r="O65" s="52">
        <v>0</v>
      </c>
      <c r="P65" s="52">
        <v>0</v>
      </c>
      <c r="Q65" s="18"/>
      <c r="R65" s="26"/>
      <c r="S65" s="51"/>
      <c r="T65" s="15" t="s">
        <v>67</v>
      </c>
      <c r="U65" s="14" t="s">
        <v>30</v>
      </c>
      <c r="V65" s="14" t="s">
        <v>66</v>
      </c>
      <c r="W65" s="13" t="s">
        <v>30</v>
      </c>
    </row>
    <row r="66" spans="1:23" ht="75" x14ac:dyDescent="0.25">
      <c r="A66" s="37">
        <v>2</v>
      </c>
      <c r="B66" s="36" t="s">
        <v>65</v>
      </c>
      <c r="C66" s="35">
        <v>220</v>
      </c>
      <c r="D66" s="50"/>
      <c r="E66" s="49">
        <f t="shared" ref="E66:M66" si="10">SUM(E67:E69)</f>
        <v>0.10535714285714286</v>
      </c>
      <c r="F66" s="47">
        <f t="shared" si="10"/>
        <v>0.14226190476190476</v>
      </c>
      <c r="G66" s="47">
        <f t="shared" si="10"/>
        <v>0.12380952380952381</v>
      </c>
      <c r="H66" s="48">
        <f t="shared" si="10"/>
        <v>0.39155844155844149</v>
      </c>
      <c r="I66" s="47">
        <f t="shared" si="10"/>
        <v>0.39155844155844149</v>
      </c>
      <c r="J66" s="47">
        <f t="shared" si="10"/>
        <v>0.39155844155844149</v>
      </c>
      <c r="K66" s="47">
        <f t="shared" si="10"/>
        <v>0.32437499999999997</v>
      </c>
      <c r="L66" s="47">
        <f t="shared" si="10"/>
        <v>0.32437499999999997</v>
      </c>
      <c r="M66" s="47">
        <f t="shared" si="10"/>
        <v>0.32437499999999997</v>
      </c>
      <c r="N66" s="48">
        <v>0</v>
      </c>
      <c r="O66" s="47">
        <f>C66*2*15/420/220</f>
        <v>7.1428571428571425E-2</v>
      </c>
      <c r="P66" s="46">
        <f>AVERAGE(N66:O66)</f>
        <v>3.5714285714285712E-2</v>
      </c>
      <c r="Q66" s="18">
        <f>G66+J66+M66+P66</f>
        <v>0.87545725108225092</v>
      </c>
      <c r="R66" s="45">
        <f>Q66*29420</f>
        <v>25755.952326839822</v>
      </c>
      <c r="S66" s="39" t="s">
        <v>64</v>
      </c>
      <c r="T66" s="15" t="s">
        <v>63</v>
      </c>
      <c r="U66" s="44"/>
      <c r="V66" s="44"/>
      <c r="W66" s="43"/>
    </row>
    <row r="67" spans="1:23" ht="105" x14ac:dyDescent="0.25">
      <c r="A67" s="37"/>
      <c r="B67" s="36" t="s">
        <v>62</v>
      </c>
      <c r="C67" s="35">
        <v>165</v>
      </c>
      <c r="D67" s="42">
        <v>6.8</v>
      </c>
      <c r="E67" s="41">
        <f>C67*15/420/220</f>
        <v>2.6785714285714288E-2</v>
      </c>
      <c r="F67" s="27">
        <f>C67*30/420/220</f>
        <v>5.3571428571428575E-2</v>
      </c>
      <c r="G67" s="27">
        <f t="shared" ref="G67:G73" si="11">AVERAGE(E67:F67)</f>
        <v>4.0178571428571432E-2</v>
      </c>
      <c r="H67" s="28">
        <v>0</v>
      </c>
      <c r="I67" s="27">
        <v>0</v>
      </c>
      <c r="J67" s="27">
        <v>0</v>
      </c>
      <c r="K67" s="28">
        <f>C67*(D67-1)*15/420/220</f>
        <v>0.15535714285714286</v>
      </c>
      <c r="L67" s="28">
        <f>C67*(D67-1)*15/420/220</f>
        <v>0.15535714285714286</v>
      </c>
      <c r="M67" s="27">
        <f>AVERAGE(K67:L67)</f>
        <v>0.15535714285714286</v>
      </c>
      <c r="N67" s="28"/>
      <c r="O67" s="27"/>
      <c r="P67" s="19"/>
      <c r="Q67" s="40"/>
      <c r="R67" s="26"/>
      <c r="S67" s="39" t="s">
        <v>54</v>
      </c>
      <c r="T67" s="15" t="s">
        <v>61</v>
      </c>
      <c r="U67" s="14" t="s">
        <v>30</v>
      </c>
      <c r="V67" s="38" t="s">
        <v>60</v>
      </c>
      <c r="W67" s="30" t="s">
        <v>30</v>
      </c>
    </row>
    <row r="68" spans="1:23" ht="150" x14ac:dyDescent="0.25">
      <c r="A68" s="37"/>
      <c r="B68" s="36" t="s">
        <v>59</v>
      </c>
      <c r="C68" s="35">
        <v>33</v>
      </c>
      <c r="D68" s="42">
        <v>7.1</v>
      </c>
      <c r="E68" s="41">
        <f>C68*120/420/220</f>
        <v>4.2857142857142858E-2</v>
      </c>
      <c r="F68" s="27">
        <f>C68*15/420/220+E68</f>
        <v>4.8214285714285716E-2</v>
      </c>
      <c r="G68" s="27">
        <f t="shared" si="11"/>
        <v>4.553571428571429E-2</v>
      </c>
      <c r="H68" s="41">
        <f>$C$15*(D68*0.75)*60/420/220</f>
        <v>0.20746753246753241</v>
      </c>
      <c r="I68" s="27">
        <f>$C$15*(D68*0.75)*60/420/220</f>
        <v>0.20746753246753241</v>
      </c>
      <c r="J68" s="27">
        <f>AVERAGE(H68:I68)</f>
        <v>0.20746753246753241</v>
      </c>
      <c r="K68" s="28">
        <f>C68*(D68-1)*60*0.75/420/220</f>
        <v>9.8035714285714268E-2</v>
      </c>
      <c r="L68" s="28">
        <f>C68*(D68-1)*60*0.75/420/220</f>
        <v>9.8035714285714268E-2</v>
      </c>
      <c r="M68" s="27">
        <f>AVERAGE(K68:L68)</f>
        <v>9.8035714285714268E-2</v>
      </c>
      <c r="N68" s="41"/>
      <c r="O68" s="27"/>
      <c r="P68" s="19"/>
      <c r="Q68" s="40"/>
      <c r="R68" s="26"/>
      <c r="S68" s="39" t="s">
        <v>54</v>
      </c>
      <c r="T68" s="15" t="s">
        <v>58</v>
      </c>
      <c r="U68" s="38" t="s">
        <v>57</v>
      </c>
      <c r="V68" s="38" t="s">
        <v>56</v>
      </c>
      <c r="W68" s="30" t="s">
        <v>30</v>
      </c>
    </row>
    <row r="69" spans="1:23" ht="135" x14ac:dyDescent="0.25">
      <c r="A69" s="37"/>
      <c r="B69" s="36" t="s">
        <v>55</v>
      </c>
      <c r="C69" s="35">
        <v>22</v>
      </c>
      <c r="D69" s="42">
        <v>6.3</v>
      </c>
      <c r="E69" s="41">
        <f>C69*(120+30)/420/220</f>
        <v>3.5714285714285712E-2</v>
      </c>
      <c r="F69" s="27">
        <f>(C69*20)/420/220+E69</f>
        <v>4.0476190476190471E-2</v>
      </c>
      <c r="G69" s="27">
        <f t="shared" si="11"/>
        <v>3.8095238095238092E-2</v>
      </c>
      <c r="H69" s="41">
        <f>$C$16*90*(D69*0.75)/420/220</f>
        <v>0.18409090909090908</v>
      </c>
      <c r="I69" s="41">
        <f>$C$16*90*(D69*0.75)/420/220</f>
        <v>0.18409090909090908</v>
      </c>
      <c r="J69" s="27">
        <f>AVERAGE(H69:I69)</f>
        <v>0.18409090909090908</v>
      </c>
      <c r="K69" s="28">
        <f>C69*(D69-1)*75*0.75/420/220</f>
        <v>7.0982142857142855E-2</v>
      </c>
      <c r="L69" s="28">
        <f>C69*(D69-1)*75*0.75/420/220</f>
        <v>7.0982142857142855E-2</v>
      </c>
      <c r="M69" s="27">
        <f>AVERAGE(K69:L69)</f>
        <v>7.0982142857142855E-2</v>
      </c>
      <c r="N69" s="41"/>
      <c r="O69" s="41"/>
      <c r="P69" s="19"/>
      <c r="Q69" s="40"/>
      <c r="R69" s="26"/>
      <c r="S69" s="39" t="s">
        <v>54</v>
      </c>
      <c r="T69" s="15" t="s">
        <v>53</v>
      </c>
      <c r="U69" s="38" t="s">
        <v>52</v>
      </c>
      <c r="V69" s="38" t="s">
        <v>51</v>
      </c>
      <c r="W69" s="30" t="s">
        <v>30</v>
      </c>
    </row>
    <row r="70" spans="1:23" ht="150" x14ac:dyDescent="0.25">
      <c r="A70" s="37">
        <v>3</v>
      </c>
      <c r="B70" s="36" t="s">
        <v>50</v>
      </c>
      <c r="C70" s="35">
        <v>130</v>
      </c>
      <c r="D70" s="34"/>
      <c r="E70" s="28">
        <f>$C$17*10/420/220</f>
        <v>8.1168831168831168E-2</v>
      </c>
      <c r="F70" s="27">
        <f>$C$17*45/420/220</f>
        <v>0.36525974025974028</v>
      </c>
      <c r="G70" s="27">
        <f t="shared" si="11"/>
        <v>0.22321428571428573</v>
      </c>
      <c r="H70" s="28">
        <f>$C$17*60/420/220</f>
        <v>0.48701298701298701</v>
      </c>
      <c r="I70" s="27">
        <f>$C$17*90/420/220</f>
        <v>0.73051948051948057</v>
      </c>
      <c r="J70" s="27">
        <f>$C$17*60/420/220</f>
        <v>0.48701298701298701</v>
      </c>
      <c r="K70" s="28">
        <f>C70*10*1.25/420/220</f>
        <v>1.7586580086580088E-2</v>
      </c>
      <c r="L70" s="28">
        <f>C70*10*1.25/420/220</f>
        <v>1.7586580086580088E-2</v>
      </c>
      <c r="M70" s="27">
        <f>AVERAGE(K70:L70)</f>
        <v>1.7586580086580088E-2</v>
      </c>
      <c r="N70" s="28"/>
      <c r="O70" s="27"/>
      <c r="P70" s="19"/>
      <c r="Q70" s="18">
        <f t="shared" ref="Q70:Q75" si="12">G70+J70+M70</f>
        <v>0.7278138528138528</v>
      </c>
      <c r="R70" s="26">
        <f>Q70*29420</f>
        <v>21412.283549783548</v>
      </c>
      <c r="S70" s="33" t="s">
        <v>49</v>
      </c>
      <c r="T70" s="15" t="s">
        <v>48</v>
      </c>
      <c r="U70" s="14" t="s">
        <v>47</v>
      </c>
      <c r="V70" s="31" t="s">
        <v>42</v>
      </c>
      <c r="W70" s="30" t="s">
        <v>30</v>
      </c>
    </row>
    <row r="71" spans="1:23" ht="135" x14ac:dyDescent="0.25">
      <c r="A71" s="24">
        <v>4</v>
      </c>
      <c r="B71" s="23" t="s">
        <v>46</v>
      </c>
      <c r="C71" s="22">
        <v>186</v>
      </c>
      <c r="D71" s="29"/>
      <c r="E71" s="28">
        <f>C71*10/420/220</f>
        <v>2.012987012987013E-2</v>
      </c>
      <c r="F71" s="27">
        <f>C71*30/420/220</f>
        <v>6.0389610389610396E-2</v>
      </c>
      <c r="G71" s="27">
        <f t="shared" si="11"/>
        <v>4.0259740259740259E-2</v>
      </c>
      <c r="H71" s="28">
        <f>C71*60/420/220</f>
        <v>0.12077922077922079</v>
      </c>
      <c r="I71" s="27">
        <f>C71*90/420/220</f>
        <v>0.18116883116883115</v>
      </c>
      <c r="J71" s="27">
        <f>$C$17*60/420/220</f>
        <v>0.48701298701298701</v>
      </c>
      <c r="K71" s="28">
        <f>C71*10*1.25/420/220</f>
        <v>2.516233766233766E-2</v>
      </c>
      <c r="L71" s="28">
        <f>C71*10*1.25/420/220</f>
        <v>2.516233766233766E-2</v>
      </c>
      <c r="M71" s="27">
        <f>AVERAGE(K71:L71)</f>
        <v>2.516233766233766E-2</v>
      </c>
      <c r="N71" s="28"/>
      <c r="O71" s="27"/>
      <c r="P71" s="19"/>
      <c r="Q71" s="18">
        <f t="shared" si="12"/>
        <v>0.55243506493506489</v>
      </c>
      <c r="R71" s="26">
        <f>Q71*29420</f>
        <v>16252.63961038961</v>
      </c>
      <c r="S71" s="32" t="s">
        <v>45</v>
      </c>
      <c r="T71" s="15" t="s">
        <v>44</v>
      </c>
      <c r="U71" s="14" t="s">
        <v>43</v>
      </c>
      <c r="V71" s="31" t="s">
        <v>42</v>
      </c>
      <c r="W71" s="30" t="s">
        <v>30</v>
      </c>
    </row>
    <row r="72" spans="1:23" ht="45" x14ac:dyDescent="0.25">
      <c r="A72" s="24">
        <v>5</v>
      </c>
      <c r="B72" s="23" t="s">
        <v>41</v>
      </c>
      <c r="C72" s="22">
        <v>60</v>
      </c>
      <c r="D72" s="29"/>
      <c r="E72" s="28">
        <v>0</v>
      </c>
      <c r="F72" s="27">
        <f>C72*10/420/220</f>
        <v>6.4935064935064939E-3</v>
      </c>
      <c r="G72" s="27">
        <f t="shared" si="11"/>
        <v>3.246753246753247E-3</v>
      </c>
      <c r="H72" s="28">
        <v>0</v>
      </c>
      <c r="I72" s="27">
        <v>0</v>
      </c>
      <c r="J72" s="27">
        <v>0</v>
      </c>
      <c r="K72" s="28">
        <v>0</v>
      </c>
      <c r="L72" s="28">
        <v>0</v>
      </c>
      <c r="M72" s="27">
        <v>0</v>
      </c>
      <c r="N72" s="28"/>
      <c r="O72" s="27"/>
      <c r="P72" s="19"/>
      <c r="Q72" s="18">
        <f t="shared" si="12"/>
        <v>3.246753246753247E-3</v>
      </c>
      <c r="R72" s="26">
        <f>Q72*29420</f>
        <v>95.519480519480524</v>
      </c>
      <c r="S72" s="16" t="s">
        <v>40</v>
      </c>
      <c r="T72" s="15" t="s">
        <v>36</v>
      </c>
      <c r="U72" s="14" t="s">
        <v>30</v>
      </c>
      <c r="V72" s="14" t="s">
        <v>39</v>
      </c>
      <c r="W72" s="13" t="s">
        <v>30</v>
      </c>
    </row>
    <row r="73" spans="1:23" ht="105" x14ac:dyDescent="0.25">
      <c r="A73" s="24"/>
      <c r="B73" s="23" t="s">
        <v>38</v>
      </c>
      <c r="C73" s="22">
        <v>0</v>
      </c>
      <c r="D73" s="21"/>
      <c r="E73" s="20">
        <v>0</v>
      </c>
      <c r="F73" s="19">
        <f>C73*10/420/220</f>
        <v>0</v>
      </c>
      <c r="G73" s="19">
        <f t="shared" si="11"/>
        <v>0</v>
      </c>
      <c r="H73" s="20">
        <v>0</v>
      </c>
      <c r="I73" s="19">
        <v>0</v>
      </c>
      <c r="J73" s="19">
        <v>0</v>
      </c>
      <c r="K73" s="20">
        <f>C73*50/420/220</f>
        <v>0</v>
      </c>
      <c r="L73" s="20">
        <f>C73*70/420/220</f>
        <v>0</v>
      </c>
      <c r="M73" s="19">
        <f>AVERAGE(K73:L73)</f>
        <v>0</v>
      </c>
      <c r="N73" s="20"/>
      <c r="O73" s="19"/>
      <c r="P73" s="19"/>
      <c r="Q73" s="18">
        <f t="shared" si="12"/>
        <v>0</v>
      </c>
      <c r="R73" s="26"/>
      <c r="S73" s="16" t="s">
        <v>37</v>
      </c>
      <c r="T73" s="15" t="s">
        <v>36</v>
      </c>
      <c r="U73" s="14" t="s">
        <v>30</v>
      </c>
      <c r="V73" s="14" t="s">
        <v>35</v>
      </c>
      <c r="W73" s="13" t="s">
        <v>30</v>
      </c>
    </row>
    <row r="74" spans="1:23" ht="15.75" thickBot="1" x14ac:dyDescent="0.3">
      <c r="A74" s="24">
        <v>6</v>
      </c>
      <c r="B74" s="23" t="s">
        <v>34</v>
      </c>
      <c r="C74" s="22">
        <v>0</v>
      </c>
      <c r="D74" s="21"/>
      <c r="E74" s="20"/>
      <c r="F74" s="19"/>
      <c r="G74" s="19"/>
      <c r="H74" s="20"/>
      <c r="I74" s="19"/>
      <c r="J74" s="19"/>
      <c r="K74" s="20">
        <f>C74*30*0.75/420/220</f>
        <v>0</v>
      </c>
      <c r="L74" s="20">
        <f>C74*30*0.75/420/220</f>
        <v>0</v>
      </c>
      <c r="M74" s="19">
        <f>AVERAGE(K74:L74)</f>
        <v>0</v>
      </c>
      <c r="N74" s="20"/>
      <c r="O74" s="19"/>
      <c r="P74" s="19"/>
      <c r="Q74" s="18">
        <f t="shared" si="12"/>
        <v>0</v>
      </c>
      <c r="R74" s="25"/>
      <c r="S74" s="16"/>
      <c r="T74" s="15" t="s">
        <v>30</v>
      </c>
      <c r="U74" s="14" t="s">
        <v>30</v>
      </c>
      <c r="V74" s="14" t="s">
        <v>30</v>
      </c>
      <c r="W74" s="13" t="s">
        <v>30</v>
      </c>
    </row>
    <row r="75" spans="1:23" ht="195.75" thickBot="1" x14ac:dyDescent="0.3">
      <c r="A75" s="24">
        <v>7</v>
      </c>
      <c r="B75" s="23" t="s">
        <v>33</v>
      </c>
      <c r="C75" s="22">
        <v>1370</v>
      </c>
      <c r="D75" s="21"/>
      <c r="E75" s="20"/>
      <c r="F75" s="19"/>
      <c r="G75" s="19"/>
      <c r="H75" s="20"/>
      <c r="I75" s="19"/>
      <c r="J75" s="19"/>
      <c r="K75" s="20">
        <f>C75*15/420/220</f>
        <v>0.22240259740259741</v>
      </c>
      <c r="L75" s="20">
        <f>C75*25/420/220</f>
        <v>0.37067099567099571</v>
      </c>
      <c r="M75" s="19">
        <f>AVERAGE(K75:L75)</f>
        <v>0.29653679653679654</v>
      </c>
      <c r="N75" s="20"/>
      <c r="O75" s="19"/>
      <c r="P75" s="19"/>
      <c r="Q75" s="18">
        <f t="shared" si="12"/>
        <v>0.29653679653679654</v>
      </c>
      <c r="R75" s="17">
        <f>Q75*29420</f>
        <v>8724.1125541125548</v>
      </c>
      <c r="S75" s="16" t="s">
        <v>32</v>
      </c>
      <c r="T75" s="15" t="s">
        <v>30</v>
      </c>
      <c r="U75" s="14" t="s">
        <v>30</v>
      </c>
      <c r="V75" s="14" t="s">
        <v>31</v>
      </c>
      <c r="W75" s="13" t="s">
        <v>30</v>
      </c>
    </row>
    <row r="76" spans="1:23" ht="15.75" thickBot="1" x14ac:dyDescent="0.3">
      <c r="A76" t="s">
        <v>21</v>
      </c>
      <c r="C76" s="12"/>
      <c r="D76" s="12"/>
      <c r="E76" s="12"/>
      <c r="F76" s="12"/>
      <c r="G76" s="12"/>
      <c r="H76" s="12"/>
      <c r="I76" s="12"/>
      <c r="J76" s="12"/>
      <c r="K76" s="12"/>
      <c r="L76" s="12"/>
      <c r="M76" s="12"/>
      <c r="N76" s="12"/>
      <c r="O76" s="12"/>
      <c r="P76" s="12"/>
      <c r="Q76" s="11">
        <f>SUM(Q58+Q66+Q70+Q71+Q72+Q73+Q74+Q75)</f>
        <v>7.7470211038961034</v>
      </c>
      <c r="R76" s="10">
        <f>Q76*29420</f>
        <v>227917.36087662337</v>
      </c>
    </row>
    <row r="77" spans="1:23" ht="15.75" thickBot="1" x14ac:dyDescent="0.3"/>
    <row r="78" spans="1:23" ht="15.75" thickBot="1" x14ac:dyDescent="0.3">
      <c r="A78" t="s">
        <v>21</v>
      </c>
      <c r="B78" s="9" t="s">
        <v>29</v>
      </c>
      <c r="Q78" s="8">
        <f>Q76+Q50+Q23</f>
        <v>21.565399891774888</v>
      </c>
      <c r="R78" s="7">
        <f>R76+R50+R23</f>
        <v>825170.34788961033</v>
      </c>
    </row>
    <row r="80" spans="1:23" x14ac:dyDescent="0.25">
      <c r="B80" s="2" t="s">
        <v>28</v>
      </c>
      <c r="Q80" s="6">
        <f>Q23+Q50+Q76</f>
        <v>21.565399891774888</v>
      </c>
      <c r="R80" s="5">
        <f>R23+R50+R76</f>
        <v>825170.34788961033</v>
      </c>
    </row>
    <row r="81" spans="1:18" s="1" customFormat="1" x14ac:dyDescent="0.25">
      <c r="A81"/>
      <c r="B81" t="s">
        <v>27</v>
      </c>
      <c r="C81"/>
      <c r="D81"/>
      <c r="E81"/>
      <c r="F81"/>
      <c r="G81"/>
      <c r="H81"/>
      <c r="I81"/>
      <c r="J81"/>
      <c r="K81"/>
      <c r="L81"/>
      <c r="M81"/>
      <c r="N81"/>
      <c r="O81"/>
      <c r="P81"/>
      <c r="Q81"/>
      <c r="R81">
        <v>8500</v>
      </c>
    </row>
    <row r="82" spans="1:18" s="1" customFormat="1" x14ac:dyDescent="0.25">
      <c r="A82"/>
      <c r="B82" t="s">
        <v>26</v>
      </c>
      <c r="C82"/>
      <c r="D82"/>
      <c r="E82"/>
      <c r="F82"/>
      <c r="G82"/>
      <c r="H82"/>
      <c r="I82"/>
      <c r="J82"/>
      <c r="K82"/>
      <c r="L82"/>
      <c r="M82"/>
      <c r="N82"/>
      <c r="O82"/>
      <c r="P82"/>
      <c r="Q82"/>
      <c r="R82">
        <v>0</v>
      </c>
    </row>
    <row r="83" spans="1:18" s="1" customFormat="1" x14ac:dyDescent="0.25">
      <c r="A83"/>
      <c r="B83" t="s">
        <v>25</v>
      </c>
      <c r="C83"/>
      <c r="D83"/>
      <c r="E83"/>
      <c r="F83"/>
      <c r="G83"/>
      <c r="H83"/>
      <c r="I83"/>
      <c r="J83"/>
      <c r="K83"/>
      <c r="L83"/>
      <c r="M83"/>
      <c r="N83"/>
      <c r="O83"/>
      <c r="P83"/>
      <c r="Q83"/>
      <c r="R83">
        <v>0</v>
      </c>
    </row>
    <row r="84" spans="1:18" s="1" customFormat="1" ht="15.75" thickBot="1" x14ac:dyDescent="0.3">
      <c r="A84"/>
      <c r="B84" t="s">
        <v>24</v>
      </c>
      <c r="C84"/>
      <c r="D84"/>
      <c r="E84"/>
      <c r="F84"/>
      <c r="G84"/>
      <c r="H84"/>
      <c r="I84"/>
      <c r="J84"/>
      <c r="K84"/>
      <c r="L84"/>
      <c r="M84"/>
      <c r="N84"/>
      <c r="O84"/>
      <c r="P84"/>
      <c r="Q84"/>
      <c r="R84"/>
    </row>
    <row r="85" spans="1:18" s="1" customFormat="1" ht="15.75" thickBot="1" x14ac:dyDescent="0.3">
      <c r="A85"/>
      <c r="B85" t="s">
        <v>23</v>
      </c>
      <c r="C85"/>
      <c r="D85"/>
      <c r="E85"/>
      <c r="F85"/>
      <c r="G85"/>
      <c r="H85"/>
      <c r="I85"/>
      <c r="J85"/>
      <c r="K85"/>
      <c r="L85"/>
      <c r="M85"/>
      <c r="N85"/>
      <c r="O85"/>
      <c r="P85"/>
      <c r="Q85"/>
      <c r="R85" s="4">
        <f>SUM(R80:R84)</f>
        <v>833670.34788961033</v>
      </c>
    </row>
    <row r="86" spans="1:18" s="1" customFormat="1" x14ac:dyDescent="0.25">
      <c r="A86"/>
      <c r="B86" t="s">
        <v>22</v>
      </c>
      <c r="C86"/>
      <c r="D86"/>
      <c r="E86"/>
      <c r="F86"/>
      <c r="G86"/>
      <c r="H86"/>
      <c r="I86"/>
      <c r="J86"/>
      <c r="K86"/>
      <c r="L86"/>
      <c r="M86"/>
      <c r="N86"/>
      <c r="O86"/>
      <c r="P86"/>
      <c r="Q86"/>
      <c r="R86" s="3"/>
    </row>
    <row r="87" spans="1:18" s="1" customFormat="1" x14ac:dyDescent="0.25">
      <c r="A87" t="s">
        <v>21</v>
      </c>
      <c r="B87" t="s">
        <v>20</v>
      </c>
      <c r="C87"/>
      <c r="D87"/>
      <c r="E87"/>
      <c r="F87"/>
      <c r="G87"/>
      <c r="H87"/>
      <c r="I87"/>
      <c r="J87"/>
      <c r="K87"/>
      <c r="L87"/>
      <c r="M87"/>
      <c r="N87"/>
      <c r="O87"/>
      <c r="P87"/>
      <c r="Q87"/>
      <c r="R87" s="3"/>
    </row>
    <row r="88" spans="1:18" s="1" customFormat="1" x14ac:dyDescent="0.25">
      <c r="A88"/>
      <c r="B88" t="s">
        <v>19</v>
      </c>
      <c r="C88"/>
      <c r="D88"/>
      <c r="E88"/>
      <c r="F88"/>
      <c r="G88"/>
      <c r="H88"/>
      <c r="I88"/>
      <c r="J88"/>
      <c r="K88"/>
      <c r="L88"/>
      <c r="M88"/>
      <c r="N88"/>
      <c r="O88"/>
      <c r="P88"/>
      <c r="Q88"/>
      <c r="R88"/>
    </row>
    <row r="93" spans="1:18" s="1" customFormat="1" x14ac:dyDescent="0.25">
      <c r="A93"/>
      <c r="B93" s="2" t="s">
        <v>18</v>
      </c>
      <c r="C93"/>
      <c r="D93"/>
      <c r="E93"/>
      <c r="F93"/>
      <c r="G93"/>
      <c r="H93"/>
      <c r="I93"/>
      <c r="J93"/>
      <c r="K93"/>
      <c r="L93"/>
      <c r="M93"/>
      <c r="N93"/>
      <c r="O93"/>
      <c r="P93"/>
      <c r="Q93"/>
      <c r="R93"/>
    </row>
    <row r="94" spans="1:18" s="1" customFormat="1" x14ac:dyDescent="0.25">
      <c r="A94"/>
      <c r="B94" t="s">
        <v>17</v>
      </c>
      <c r="C94"/>
      <c r="D94"/>
      <c r="E94"/>
      <c r="F94"/>
      <c r="G94"/>
      <c r="H94"/>
      <c r="I94"/>
      <c r="J94"/>
      <c r="K94"/>
      <c r="L94"/>
      <c r="M94"/>
      <c r="N94"/>
      <c r="O94"/>
      <c r="P94"/>
      <c r="Q94"/>
      <c r="R94"/>
    </row>
    <row r="95" spans="1:18" s="1" customFormat="1" x14ac:dyDescent="0.25">
      <c r="A95"/>
      <c r="B95" t="s">
        <v>16</v>
      </c>
      <c r="C95"/>
      <c r="D95"/>
      <c r="E95"/>
      <c r="F95"/>
      <c r="G95"/>
      <c r="H95"/>
      <c r="I95"/>
      <c r="J95"/>
      <c r="K95"/>
      <c r="L95"/>
      <c r="M95"/>
      <c r="N95"/>
      <c r="O95"/>
      <c r="P95"/>
      <c r="Q95"/>
      <c r="R95"/>
    </row>
    <row r="96" spans="1:18" s="1" customFormat="1" x14ac:dyDescent="0.25">
      <c r="A96"/>
      <c r="B96" t="s">
        <v>15</v>
      </c>
      <c r="C96"/>
      <c r="D96"/>
      <c r="E96"/>
      <c r="F96"/>
      <c r="G96"/>
      <c r="H96"/>
      <c r="I96"/>
      <c r="J96"/>
      <c r="K96"/>
      <c r="L96"/>
      <c r="M96"/>
      <c r="N96"/>
      <c r="O96"/>
      <c r="P96"/>
      <c r="Q96"/>
      <c r="R96"/>
    </row>
    <row r="97" spans="2:4" x14ac:dyDescent="0.25">
      <c r="B97" t="s">
        <v>14</v>
      </c>
    </row>
    <row r="98" spans="2:4" x14ac:dyDescent="0.25">
      <c r="B98" t="s">
        <v>13</v>
      </c>
    </row>
    <row r="99" spans="2:4" x14ac:dyDescent="0.25">
      <c r="B99" t="s">
        <v>12</v>
      </c>
    </row>
    <row r="100" spans="2:4" x14ac:dyDescent="0.25">
      <c r="B100" t="s">
        <v>11</v>
      </c>
    </row>
    <row r="101" spans="2:4" x14ac:dyDescent="0.25">
      <c r="B101" t="s">
        <v>10</v>
      </c>
    </row>
    <row r="102" spans="2:4" x14ac:dyDescent="0.25">
      <c r="B102" t="s">
        <v>9</v>
      </c>
    </row>
    <row r="103" spans="2:4" x14ac:dyDescent="0.25">
      <c r="B103" t="s">
        <v>8</v>
      </c>
    </row>
    <row r="104" spans="2:4" x14ac:dyDescent="0.25">
      <c r="B104" t="s">
        <v>7</v>
      </c>
    </row>
    <row r="106" spans="2:4" x14ac:dyDescent="0.25">
      <c r="B106" t="s">
        <v>6</v>
      </c>
    </row>
    <row r="107" spans="2:4" x14ac:dyDescent="0.25">
      <c r="B107" t="s">
        <v>5</v>
      </c>
      <c r="D107" t="s">
        <v>4</v>
      </c>
    </row>
    <row r="108" spans="2:4" x14ac:dyDescent="0.25">
      <c r="B108" t="s">
        <v>3</v>
      </c>
      <c r="D108" t="s">
        <v>2</v>
      </c>
    </row>
    <row r="109" spans="2:4" x14ac:dyDescent="0.25">
      <c r="B109" t="s">
        <v>1</v>
      </c>
      <c r="D109" t="s">
        <v>0</v>
      </c>
    </row>
  </sheetData>
  <mergeCells count="15">
    <mergeCell ref="E2:Q2"/>
    <mergeCell ref="E3:G3"/>
    <mergeCell ref="H3:J3"/>
    <mergeCell ref="K3:M3"/>
    <mergeCell ref="N3:P3"/>
    <mergeCell ref="E29:Q29"/>
    <mergeCell ref="E30:G30"/>
    <mergeCell ref="H30:J30"/>
    <mergeCell ref="K30:M30"/>
    <mergeCell ref="N30:P30"/>
    <mergeCell ref="E55:Q55"/>
    <mergeCell ref="E56:G56"/>
    <mergeCell ref="H56:J56"/>
    <mergeCell ref="K56:M56"/>
    <mergeCell ref="N56:P56"/>
  </mergeCells>
  <pageMargins left="0.25" right="0.25" top="0.75" bottom="0.75" header="0.3" footer="0.3"/>
  <pageSetup paperSize="9" scale="32"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09"/>
  <sheetViews>
    <sheetView topLeftCell="A51" zoomScale="60" zoomScaleNormal="60" workbookViewId="0">
      <selection activeCell="Q61" sqref="Q61"/>
    </sheetView>
  </sheetViews>
  <sheetFormatPr defaultRowHeight="15" x14ac:dyDescent="0.25"/>
  <cols>
    <col min="2" max="2" width="47" customWidth="1"/>
    <col min="3" max="3" width="12.42578125" customWidth="1"/>
    <col min="4" max="4" width="10.5703125" customWidth="1"/>
    <col min="5" max="5" width="12.42578125" bestFit="1" customWidth="1"/>
    <col min="6" max="6" width="7.85546875" bestFit="1" customWidth="1"/>
    <col min="7" max="7" width="8.28515625" bestFit="1" customWidth="1"/>
    <col min="8" max="8" width="12.42578125" bestFit="1" customWidth="1"/>
    <col min="9" max="9" width="7.85546875" bestFit="1" customWidth="1"/>
    <col min="10" max="10" width="8.28515625" bestFit="1" customWidth="1"/>
    <col min="11" max="11" width="12.42578125" bestFit="1" customWidth="1"/>
    <col min="12" max="12" width="7.85546875" bestFit="1" customWidth="1"/>
    <col min="13" max="13" width="8.28515625" bestFit="1" customWidth="1"/>
    <col min="14" max="14" width="13.42578125" bestFit="1" customWidth="1"/>
    <col min="15" max="15" width="9" bestFit="1" customWidth="1"/>
    <col min="16" max="16" width="9.85546875" bestFit="1" customWidth="1"/>
    <col min="17" max="17" width="8.42578125" bestFit="1" customWidth="1"/>
    <col min="18" max="18" width="21.85546875" bestFit="1" customWidth="1"/>
    <col min="19" max="19" width="39.28515625" style="1" customWidth="1"/>
    <col min="20" max="20" width="53.85546875" style="1" customWidth="1"/>
    <col min="21" max="23" width="40" style="1" customWidth="1"/>
    <col min="258" max="258" width="47" customWidth="1"/>
    <col min="259" max="259" width="12.42578125" customWidth="1"/>
    <col min="260" max="260" width="10.5703125" customWidth="1"/>
    <col min="261" max="261" width="12.42578125" bestFit="1" customWidth="1"/>
    <col min="262" max="262" width="7.85546875" bestFit="1" customWidth="1"/>
    <col min="263" max="263" width="8.28515625" bestFit="1" customWidth="1"/>
    <col min="264" max="264" width="12.42578125" bestFit="1" customWidth="1"/>
    <col min="265" max="265" width="7.85546875" bestFit="1" customWidth="1"/>
    <col min="266" max="266" width="8.28515625" bestFit="1" customWidth="1"/>
    <col min="267" max="267" width="12.42578125" bestFit="1" customWidth="1"/>
    <col min="268" max="268" width="7.85546875" bestFit="1" customWidth="1"/>
    <col min="269" max="269" width="8.28515625" bestFit="1" customWidth="1"/>
    <col min="270" max="270" width="13.42578125" bestFit="1" customWidth="1"/>
    <col min="271" max="271" width="9" bestFit="1" customWidth="1"/>
    <col min="272" max="272" width="9.85546875" bestFit="1" customWidth="1"/>
    <col min="273" max="273" width="8.42578125" bestFit="1" customWidth="1"/>
    <col min="274" max="274" width="21.85546875" bestFit="1" customWidth="1"/>
    <col min="275" max="275" width="39.28515625" customWidth="1"/>
    <col min="276" max="276" width="53.85546875" customWidth="1"/>
    <col min="277" max="279" width="40" customWidth="1"/>
    <col min="514" max="514" width="47" customWidth="1"/>
    <col min="515" max="515" width="12.42578125" customWidth="1"/>
    <col min="516" max="516" width="10.5703125" customWidth="1"/>
    <col min="517" max="517" width="12.42578125" bestFit="1" customWidth="1"/>
    <col min="518" max="518" width="7.85546875" bestFit="1" customWidth="1"/>
    <col min="519" max="519" width="8.28515625" bestFit="1" customWidth="1"/>
    <col min="520" max="520" width="12.42578125" bestFit="1" customWidth="1"/>
    <col min="521" max="521" width="7.85546875" bestFit="1" customWidth="1"/>
    <col min="522" max="522" width="8.28515625" bestFit="1" customWidth="1"/>
    <col min="523" max="523" width="12.42578125" bestFit="1" customWidth="1"/>
    <col min="524" max="524" width="7.85546875" bestFit="1" customWidth="1"/>
    <col min="525" max="525" width="8.28515625" bestFit="1" customWidth="1"/>
    <col min="526" max="526" width="13.42578125" bestFit="1" customWidth="1"/>
    <col min="527" max="527" width="9" bestFit="1" customWidth="1"/>
    <col min="528" max="528" width="9.85546875" bestFit="1" customWidth="1"/>
    <col min="529" max="529" width="8.42578125" bestFit="1" customWidth="1"/>
    <col min="530" max="530" width="21.85546875" bestFit="1" customWidth="1"/>
    <col min="531" max="531" width="39.28515625" customWidth="1"/>
    <col min="532" max="532" width="53.85546875" customWidth="1"/>
    <col min="533" max="535" width="40" customWidth="1"/>
    <col min="770" max="770" width="47" customWidth="1"/>
    <col min="771" max="771" width="12.42578125" customWidth="1"/>
    <col min="772" max="772" width="10.5703125" customWidth="1"/>
    <col min="773" max="773" width="12.42578125" bestFit="1" customWidth="1"/>
    <col min="774" max="774" width="7.85546875" bestFit="1" customWidth="1"/>
    <col min="775" max="775" width="8.28515625" bestFit="1" customWidth="1"/>
    <col min="776" max="776" width="12.42578125" bestFit="1" customWidth="1"/>
    <col min="777" max="777" width="7.85546875" bestFit="1" customWidth="1"/>
    <col min="778" max="778" width="8.28515625" bestFit="1" customWidth="1"/>
    <col min="779" max="779" width="12.42578125" bestFit="1" customWidth="1"/>
    <col min="780" max="780" width="7.85546875" bestFit="1" customWidth="1"/>
    <col min="781" max="781" width="8.28515625" bestFit="1" customWidth="1"/>
    <col min="782" max="782" width="13.42578125" bestFit="1" customWidth="1"/>
    <col min="783" max="783" width="9" bestFit="1" customWidth="1"/>
    <col min="784" max="784" width="9.85546875" bestFit="1" customWidth="1"/>
    <col min="785" max="785" width="8.42578125" bestFit="1" customWidth="1"/>
    <col min="786" max="786" width="21.85546875" bestFit="1" customWidth="1"/>
    <col min="787" max="787" width="39.28515625" customWidth="1"/>
    <col min="788" max="788" width="53.85546875" customWidth="1"/>
    <col min="789" max="791" width="40" customWidth="1"/>
    <col min="1026" max="1026" width="47" customWidth="1"/>
    <col min="1027" max="1027" width="12.42578125" customWidth="1"/>
    <col min="1028" max="1028" width="10.5703125" customWidth="1"/>
    <col min="1029" max="1029" width="12.42578125" bestFit="1" customWidth="1"/>
    <col min="1030" max="1030" width="7.85546875" bestFit="1" customWidth="1"/>
    <col min="1031" max="1031" width="8.28515625" bestFit="1" customWidth="1"/>
    <col min="1032" max="1032" width="12.42578125" bestFit="1" customWidth="1"/>
    <col min="1033" max="1033" width="7.85546875" bestFit="1" customWidth="1"/>
    <col min="1034" max="1034" width="8.28515625" bestFit="1" customWidth="1"/>
    <col min="1035" max="1035" width="12.42578125" bestFit="1" customWidth="1"/>
    <col min="1036" max="1036" width="7.85546875" bestFit="1" customWidth="1"/>
    <col min="1037" max="1037" width="8.28515625" bestFit="1" customWidth="1"/>
    <col min="1038" max="1038" width="13.42578125" bestFit="1" customWidth="1"/>
    <col min="1039" max="1039" width="9" bestFit="1" customWidth="1"/>
    <col min="1040" max="1040" width="9.85546875" bestFit="1" customWidth="1"/>
    <col min="1041" max="1041" width="8.42578125" bestFit="1" customWidth="1"/>
    <col min="1042" max="1042" width="21.85546875" bestFit="1" customWidth="1"/>
    <col min="1043" max="1043" width="39.28515625" customWidth="1"/>
    <col min="1044" max="1044" width="53.85546875" customWidth="1"/>
    <col min="1045" max="1047" width="40" customWidth="1"/>
    <col min="1282" max="1282" width="47" customWidth="1"/>
    <col min="1283" max="1283" width="12.42578125" customWidth="1"/>
    <col min="1284" max="1284" width="10.5703125" customWidth="1"/>
    <col min="1285" max="1285" width="12.42578125" bestFit="1" customWidth="1"/>
    <col min="1286" max="1286" width="7.85546875" bestFit="1" customWidth="1"/>
    <col min="1287" max="1287" width="8.28515625" bestFit="1" customWidth="1"/>
    <col min="1288" max="1288" width="12.42578125" bestFit="1" customWidth="1"/>
    <col min="1289" max="1289" width="7.85546875" bestFit="1" customWidth="1"/>
    <col min="1290" max="1290" width="8.28515625" bestFit="1" customWidth="1"/>
    <col min="1291" max="1291" width="12.42578125" bestFit="1" customWidth="1"/>
    <col min="1292" max="1292" width="7.85546875" bestFit="1" customWidth="1"/>
    <col min="1293" max="1293" width="8.28515625" bestFit="1" customWidth="1"/>
    <col min="1294" max="1294" width="13.42578125" bestFit="1" customWidth="1"/>
    <col min="1295" max="1295" width="9" bestFit="1" customWidth="1"/>
    <col min="1296" max="1296" width="9.85546875" bestFit="1" customWidth="1"/>
    <col min="1297" max="1297" width="8.42578125" bestFit="1" customWidth="1"/>
    <col min="1298" max="1298" width="21.85546875" bestFit="1" customWidth="1"/>
    <col min="1299" max="1299" width="39.28515625" customWidth="1"/>
    <col min="1300" max="1300" width="53.85546875" customWidth="1"/>
    <col min="1301" max="1303" width="40" customWidth="1"/>
    <col min="1538" max="1538" width="47" customWidth="1"/>
    <col min="1539" max="1539" width="12.42578125" customWidth="1"/>
    <col min="1540" max="1540" width="10.5703125" customWidth="1"/>
    <col min="1541" max="1541" width="12.42578125" bestFit="1" customWidth="1"/>
    <col min="1542" max="1542" width="7.85546875" bestFit="1" customWidth="1"/>
    <col min="1543" max="1543" width="8.28515625" bestFit="1" customWidth="1"/>
    <col min="1544" max="1544" width="12.42578125" bestFit="1" customWidth="1"/>
    <col min="1545" max="1545" width="7.85546875" bestFit="1" customWidth="1"/>
    <col min="1546" max="1546" width="8.28515625" bestFit="1" customWidth="1"/>
    <col min="1547" max="1547" width="12.42578125" bestFit="1" customWidth="1"/>
    <col min="1548" max="1548" width="7.85546875" bestFit="1" customWidth="1"/>
    <col min="1549" max="1549" width="8.28515625" bestFit="1" customWidth="1"/>
    <col min="1550" max="1550" width="13.42578125" bestFit="1" customWidth="1"/>
    <col min="1551" max="1551" width="9" bestFit="1" customWidth="1"/>
    <col min="1552" max="1552" width="9.85546875" bestFit="1" customWidth="1"/>
    <col min="1553" max="1553" width="8.42578125" bestFit="1" customWidth="1"/>
    <col min="1554" max="1554" width="21.85546875" bestFit="1" customWidth="1"/>
    <col min="1555" max="1555" width="39.28515625" customWidth="1"/>
    <col min="1556" max="1556" width="53.85546875" customWidth="1"/>
    <col min="1557" max="1559" width="40" customWidth="1"/>
    <col min="1794" max="1794" width="47" customWidth="1"/>
    <col min="1795" max="1795" width="12.42578125" customWidth="1"/>
    <col min="1796" max="1796" width="10.5703125" customWidth="1"/>
    <col min="1797" max="1797" width="12.42578125" bestFit="1" customWidth="1"/>
    <col min="1798" max="1798" width="7.85546875" bestFit="1" customWidth="1"/>
    <col min="1799" max="1799" width="8.28515625" bestFit="1" customWidth="1"/>
    <col min="1800" max="1800" width="12.42578125" bestFit="1" customWidth="1"/>
    <col min="1801" max="1801" width="7.85546875" bestFit="1" customWidth="1"/>
    <col min="1802" max="1802" width="8.28515625" bestFit="1" customWidth="1"/>
    <col min="1803" max="1803" width="12.42578125" bestFit="1" customWidth="1"/>
    <col min="1804" max="1804" width="7.85546875" bestFit="1" customWidth="1"/>
    <col min="1805" max="1805" width="8.28515625" bestFit="1" customWidth="1"/>
    <col min="1806" max="1806" width="13.42578125" bestFit="1" customWidth="1"/>
    <col min="1807" max="1807" width="9" bestFit="1" customWidth="1"/>
    <col min="1808" max="1808" width="9.85546875" bestFit="1" customWidth="1"/>
    <col min="1809" max="1809" width="8.42578125" bestFit="1" customWidth="1"/>
    <col min="1810" max="1810" width="21.85546875" bestFit="1" customWidth="1"/>
    <col min="1811" max="1811" width="39.28515625" customWidth="1"/>
    <col min="1812" max="1812" width="53.85546875" customWidth="1"/>
    <col min="1813" max="1815" width="40" customWidth="1"/>
    <col min="2050" max="2050" width="47" customWidth="1"/>
    <col min="2051" max="2051" width="12.42578125" customWidth="1"/>
    <col min="2052" max="2052" width="10.5703125" customWidth="1"/>
    <col min="2053" max="2053" width="12.42578125" bestFit="1" customWidth="1"/>
    <col min="2054" max="2054" width="7.85546875" bestFit="1" customWidth="1"/>
    <col min="2055" max="2055" width="8.28515625" bestFit="1" customWidth="1"/>
    <col min="2056" max="2056" width="12.42578125" bestFit="1" customWidth="1"/>
    <col min="2057" max="2057" width="7.85546875" bestFit="1" customWidth="1"/>
    <col min="2058" max="2058" width="8.28515625" bestFit="1" customWidth="1"/>
    <col min="2059" max="2059" width="12.42578125" bestFit="1" customWidth="1"/>
    <col min="2060" max="2060" width="7.85546875" bestFit="1" customWidth="1"/>
    <col min="2061" max="2061" width="8.28515625" bestFit="1" customWidth="1"/>
    <col min="2062" max="2062" width="13.42578125" bestFit="1" customWidth="1"/>
    <col min="2063" max="2063" width="9" bestFit="1" customWidth="1"/>
    <col min="2064" max="2064" width="9.85546875" bestFit="1" customWidth="1"/>
    <col min="2065" max="2065" width="8.42578125" bestFit="1" customWidth="1"/>
    <col min="2066" max="2066" width="21.85546875" bestFit="1" customWidth="1"/>
    <col min="2067" max="2067" width="39.28515625" customWidth="1"/>
    <col min="2068" max="2068" width="53.85546875" customWidth="1"/>
    <col min="2069" max="2071" width="40" customWidth="1"/>
    <col min="2306" max="2306" width="47" customWidth="1"/>
    <col min="2307" max="2307" width="12.42578125" customWidth="1"/>
    <col min="2308" max="2308" width="10.5703125" customWidth="1"/>
    <col min="2309" max="2309" width="12.42578125" bestFit="1" customWidth="1"/>
    <col min="2310" max="2310" width="7.85546875" bestFit="1" customWidth="1"/>
    <col min="2311" max="2311" width="8.28515625" bestFit="1" customWidth="1"/>
    <col min="2312" max="2312" width="12.42578125" bestFit="1" customWidth="1"/>
    <col min="2313" max="2313" width="7.85546875" bestFit="1" customWidth="1"/>
    <col min="2314" max="2314" width="8.28515625" bestFit="1" customWidth="1"/>
    <col min="2315" max="2315" width="12.42578125" bestFit="1" customWidth="1"/>
    <col min="2316" max="2316" width="7.85546875" bestFit="1" customWidth="1"/>
    <col min="2317" max="2317" width="8.28515625" bestFit="1" customWidth="1"/>
    <col min="2318" max="2318" width="13.42578125" bestFit="1" customWidth="1"/>
    <col min="2319" max="2319" width="9" bestFit="1" customWidth="1"/>
    <col min="2320" max="2320" width="9.85546875" bestFit="1" customWidth="1"/>
    <col min="2321" max="2321" width="8.42578125" bestFit="1" customWidth="1"/>
    <col min="2322" max="2322" width="21.85546875" bestFit="1" customWidth="1"/>
    <col min="2323" max="2323" width="39.28515625" customWidth="1"/>
    <col min="2324" max="2324" width="53.85546875" customWidth="1"/>
    <col min="2325" max="2327" width="40" customWidth="1"/>
    <col min="2562" max="2562" width="47" customWidth="1"/>
    <col min="2563" max="2563" width="12.42578125" customWidth="1"/>
    <col min="2564" max="2564" width="10.5703125" customWidth="1"/>
    <col min="2565" max="2565" width="12.42578125" bestFit="1" customWidth="1"/>
    <col min="2566" max="2566" width="7.85546875" bestFit="1" customWidth="1"/>
    <col min="2567" max="2567" width="8.28515625" bestFit="1" customWidth="1"/>
    <col min="2568" max="2568" width="12.42578125" bestFit="1" customWidth="1"/>
    <col min="2569" max="2569" width="7.85546875" bestFit="1" customWidth="1"/>
    <col min="2570" max="2570" width="8.28515625" bestFit="1" customWidth="1"/>
    <col min="2571" max="2571" width="12.42578125" bestFit="1" customWidth="1"/>
    <col min="2572" max="2572" width="7.85546875" bestFit="1" customWidth="1"/>
    <col min="2573" max="2573" width="8.28515625" bestFit="1" customWidth="1"/>
    <col min="2574" max="2574" width="13.42578125" bestFit="1" customWidth="1"/>
    <col min="2575" max="2575" width="9" bestFit="1" customWidth="1"/>
    <col min="2576" max="2576" width="9.85546875" bestFit="1" customWidth="1"/>
    <col min="2577" max="2577" width="8.42578125" bestFit="1" customWidth="1"/>
    <col min="2578" max="2578" width="21.85546875" bestFit="1" customWidth="1"/>
    <col min="2579" max="2579" width="39.28515625" customWidth="1"/>
    <col min="2580" max="2580" width="53.85546875" customWidth="1"/>
    <col min="2581" max="2583" width="40" customWidth="1"/>
    <col min="2818" max="2818" width="47" customWidth="1"/>
    <col min="2819" max="2819" width="12.42578125" customWidth="1"/>
    <col min="2820" max="2820" width="10.5703125" customWidth="1"/>
    <col min="2821" max="2821" width="12.42578125" bestFit="1" customWidth="1"/>
    <col min="2822" max="2822" width="7.85546875" bestFit="1" customWidth="1"/>
    <col min="2823" max="2823" width="8.28515625" bestFit="1" customWidth="1"/>
    <col min="2824" max="2824" width="12.42578125" bestFit="1" customWidth="1"/>
    <col min="2825" max="2825" width="7.85546875" bestFit="1" customWidth="1"/>
    <col min="2826" max="2826" width="8.28515625" bestFit="1" customWidth="1"/>
    <col min="2827" max="2827" width="12.42578125" bestFit="1" customWidth="1"/>
    <col min="2828" max="2828" width="7.85546875" bestFit="1" customWidth="1"/>
    <col min="2829" max="2829" width="8.28515625" bestFit="1" customWidth="1"/>
    <col min="2830" max="2830" width="13.42578125" bestFit="1" customWidth="1"/>
    <col min="2831" max="2831" width="9" bestFit="1" customWidth="1"/>
    <col min="2832" max="2832" width="9.85546875" bestFit="1" customWidth="1"/>
    <col min="2833" max="2833" width="8.42578125" bestFit="1" customWidth="1"/>
    <col min="2834" max="2834" width="21.85546875" bestFit="1" customWidth="1"/>
    <col min="2835" max="2835" width="39.28515625" customWidth="1"/>
    <col min="2836" max="2836" width="53.85546875" customWidth="1"/>
    <col min="2837" max="2839" width="40" customWidth="1"/>
    <col min="3074" max="3074" width="47" customWidth="1"/>
    <col min="3075" max="3075" width="12.42578125" customWidth="1"/>
    <col min="3076" max="3076" width="10.5703125" customWidth="1"/>
    <col min="3077" max="3077" width="12.42578125" bestFit="1" customWidth="1"/>
    <col min="3078" max="3078" width="7.85546875" bestFit="1" customWidth="1"/>
    <col min="3079" max="3079" width="8.28515625" bestFit="1" customWidth="1"/>
    <col min="3080" max="3080" width="12.42578125" bestFit="1" customWidth="1"/>
    <col min="3081" max="3081" width="7.85546875" bestFit="1" customWidth="1"/>
    <col min="3082" max="3082" width="8.28515625" bestFit="1" customWidth="1"/>
    <col min="3083" max="3083" width="12.42578125" bestFit="1" customWidth="1"/>
    <col min="3084" max="3084" width="7.85546875" bestFit="1" customWidth="1"/>
    <col min="3085" max="3085" width="8.28515625" bestFit="1" customWidth="1"/>
    <col min="3086" max="3086" width="13.42578125" bestFit="1" customWidth="1"/>
    <col min="3087" max="3087" width="9" bestFit="1" customWidth="1"/>
    <col min="3088" max="3088" width="9.85546875" bestFit="1" customWidth="1"/>
    <col min="3089" max="3089" width="8.42578125" bestFit="1" customWidth="1"/>
    <col min="3090" max="3090" width="21.85546875" bestFit="1" customWidth="1"/>
    <col min="3091" max="3091" width="39.28515625" customWidth="1"/>
    <col min="3092" max="3092" width="53.85546875" customWidth="1"/>
    <col min="3093" max="3095" width="40" customWidth="1"/>
    <col min="3330" max="3330" width="47" customWidth="1"/>
    <col min="3331" max="3331" width="12.42578125" customWidth="1"/>
    <col min="3332" max="3332" width="10.5703125" customWidth="1"/>
    <col min="3333" max="3333" width="12.42578125" bestFit="1" customWidth="1"/>
    <col min="3334" max="3334" width="7.85546875" bestFit="1" customWidth="1"/>
    <col min="3335" max="3335" width="8.28515625" bestFit="1" customWidth="1"/>
    <col min="3336" max="3336" width="12.42578125" bestFit="1" customWidth="1"/>
    <col min="3337" max="3337" width="7.85546875" bestFit="1" customWidth="1"/>
    <col min="3338" max="3338" width="8.28515625" bestFit="1" customWidth="1"/>
    <col min="3339" max="3339" width="12.42578125" bestFit="1" customWidth="1"/>
    <col min="3340" max="3340" width="7.85546875" bestFit="1" customWidth="1"/>
    <col min="3341" max="3341" width="8.28515625" bestFit="1" customWidth="1"/>
    <col min="3342" max="3342" width="13.42578125" bestFit="1" customWidth="1"/>
    <col min="3343" max="3343" width="9" bestFit="1" customWidth="1"/>
    <col min="3344" max="3344" width="9.85546875" bestFit="1" customWidth="1"/>
    <col min="3345" max="3345" width="8.42578125" bestFit="1" customWidth="1"/>
    <col min="3346" max="3346" width="21.85546875" bestFit="1" customWidth="1"/>
    <col min="3347" max="3347" width="39.28515625" customWidth="1"/>
    <col min="3348" max="3348" width="53.85546875" customWidth="1"/>
    <col min="3349" max="3351" width="40" customWidth="1"/>
    <col min="3586" max="3586" width="47" customWidth="1"/>
    <col min="3587" max="3587" width="12.42578125" customWidth="1"/>
    <col min="3588" max="3588" width="10.5703125" customWidth="1"/>
    <col min="3589" max="3589" width="12.42578125" bestFit="1" customWidth="1"/>
    <col min="3590" max="3590" width="7.85546875" bestFit="1" customWidth="1"/>
    <col min="3591" max="3591" width="8.28515625" bestFit="1" customWidth="1"/>
    <col min="3592" max="3592" width="12.42578125" bestFit="1" customWidth="1"/>
    <col min="3593" max="3593" width="7.85546875" bestFit="1" customWidth="1"/>
    <col min="3594" max="3594" width="8.28515625" bestFit="1" customWidth="1"/>
    <col min="3595" max="3595" width="12.42578125" bestFit="1" customWidth="1"/>
    <col min="3596" max="3596" width="7.85546875" bestFit="1" customWidth="1"/>
    <col min="3597" max="3597" width="8.28515625" bestFit="1" customWidth="1"/>
    <col min="3598" max="3598" width="13.42578125" bestFit="1" customWidth="1"/>
    <col min="3599" max="3599" width="9" bestFit="1" customWidth="1"/>
    <col min="3600" max="3600" width="9.85546875" bestFit="1" customWidth="1"/>
    <col min="3601" max="3601" width="8.42578125" bestFit="1" customWidth="1"/>
    <col min="3602" max="3602" width="21.85546875" bestFit="1" customWidth="1"/>
    <col min="3603" max="3603" width="39.28515625" customWidth="1"/>
    <col min="3604" max="3604" width="53.85546875" customWidth="1"/>
    <col min="3605" max="3607" width="40" customWidth="1"/>
    <col min="3842" max="3842" width="47" customWidth="1"/>
    <col min="3843" max="3843" width="12.42578125" customWidth="1"/>
    <col min="3844" max="3844" width="10.5703125" customWidth="1"/>
    <col min="3845" max="3845" width="12.42578125" bestFit="1" customWidth="1"/>
    <col min="3846" max="3846" width="7.85546875" bestFit="1" customWidth="1"/>
    <col min="3847" max="3847" width="8.28515625" bestFit="1" customWidth="1"/>
    <col min="3848" max="3848" width="12.42578125" bestFit="1" customWidth="1"/>
    <col min="3849" max="3849" width="7.85546875" bestFit="1" customWidth="1"/>
    <col min="3850" max="3850" width="8.28515625" bestFit="1" customWidth="1"/>
    <col min="3851" max="3851" width="12.42578125" bestFit="1" customWidth="1"/>
    <col min="3852" max="3852" width="7.85546875" bestFit="1" customWidth="1"/>
    <col min="3853" max="3853" width="8.28515625" bestFit="1" customWidth="1"/>
    <col min="3854" max="3854" width="13.42578125" bestFit="1" customWidth="1"/>
    <col min="3855" max="3855" width="9" bestFit="1" customWidth="1"/>
    <col min="3856" max="3856" width="9.85546875" bestFit="1" customWidth="1"/>
    <col min="3857" max="3857" width="8.42578125" bestFit="1" customWidth="1"/>
    <col min="3858" max="3858" width="21.85546875" bestFit="1" customWidth="1"/>
    <col min="3859" max="3859" width="39.28515625" customWidth="1"/>
    <col min="3860" max="3860" width="53.85546875" customWidth="1"/>
    <col min="3861" max="3863" width="40" customWidth="1"/>
    <col min="4098" max="4098" width="47" customWidth="1"/>
    <col min="4099" max="4099" width="12.42578125" customWidth="1"/>
    <col min="4100" max="4100" width="10.5703125" customWidth="1"/>
    <col min="4101" max="4101" width="12.42578125" bestFit="1" customWidth="1"/>
    <col min="4102" max="4102" width="7.85546875" bestFit="1" customWidth="1"/>
    <col min="4103" max="4103" width="8.28515625" bestFit="1" customWidth="1"/>
    <col min="4104" max="4104" width="12.42578125" bestFit="1" customWidth="1"/>
    <col min="4105" max="4105" width="7.85546875" bestFit="1" customWidth="1"/>
    <col min="4106" max="4106" width="8.28515625" bestFit="1" customWidth="1"/>
    <col min="4107" max="4107" width="12.42578125" bestFit="1" customWidth="1"/>
    <col min="4108" max="4108" width="7.85546875" bestFit="1" customWidth="1"/>
    <col min="4109" max="4109" width="8.28515625" bestFit="1" customWidth="1"/>
    <col min="4110" max="4110" width="13.42578125" bestFit="1" customWidth="1"/>
    <col min="4111" max="4111" width="9" bestFit="1" customWidth="1"/>
    <col min="4112" max="4112" width="9.85546875" bestFit="1" customWidth="1"/>
    <col min="4113" max="4113" width="8.42578125" bestFit="1" customWidth="1"/>
    <col min="4114" max="4114" width="21.85546875" bestFit="1" customWidth="1"/>
    <col min="4115" max="4115" width="39.28515625" customWidth="1"/>
    <col min="4116" max="4116" width="53.85546875" customWidth="1"/>
    <col min="4117" max="4119" width="40" customWidth="1"/>
    <col min="4354" max="4354" width="47" customWidth="1"/>
    <col min="4355" max="4355" width="12.42578125" customWidth="1"/>
    <col min="4356" max="4356" width="10.5703125" customWidth="1"/>
    <col min="4357" max="4357" width="12.42578125" bestFit="1" customWidth="1"/>
    <col min="4358" max="4358" width="7.85546875" bestFit="1" customWidth="1"/>
    <col min="4359" max="4359" width="8.28515625" bestFit="1" customWidth="1"/>
    <col min="4360" max="4360" width="12.42578125" bestFit="1" customWidth="1"/>
    <col min="4361" max="4361" width="7.85546875" bestFit="1" customWidth="1"/>
    <col min="4362" max="4362" width="8.28515625" bestFit="1" customWidth="1"/>
    <col min="4363" max="4363" width="12.42578125" bestFit="1" customWidth="1"/>
    <col min="4364" max="4364" width="7.85546875" bestFit="1" customWidth="1"/>
    <col min="4365" max="4365" width="8.28515625" bestFit="1" customWidth="1"/>
    <col min="4366" max="4366" width="13.42578125" bestFit="1" customWidth="1"/>
    <col min="4367" max="4367" width="9" bestFit="1" customWidth="1"/>
    <col min="4368" max="4368" width="9.85546875" bestFit="1" customWidth="1"/>
    <col min="4369" max="4369" width="8.42578125" bestFit="1" customWidth="1"/>
    <col min="4370" max="4370" width="21.85546875" bestFit="1" customWidth="1"/>
    <col min="4371" max="4371" width="39.28515625" customWidth="1"/>
    <col min="4372" max="4372" width="53.85546875" customWidth="1"/>
    <col min="4373" max="4375" width="40" customWidth="1"/>
    <col min="4610" max="4610" width="47" customWidth="1"/>
    <col min="4611" max="4611" width="12.42578125" customWidth="1"/>
    <col min="4612" max="4612" width="10.5703125" customWidth="1"/>
    <col min="4613" max="4613" width="12.42578125" bestFit="1" customWidth="1"/>
    <col min="4614" max="4614" width="7.85546875" bestFit="1" customWidth="1"/>
    <col min="4615" max="4615" width="8.28515625" bestFit="1" customWidth="1"/>
    <col min="4616" max="4616" width="12.42578125" bestFit="1" customWidth="1"/>
    <col min="4617" max="4617" width="7.85546875" bestFit="1" customWidth="1"/>
    <col min="4618" max="4618" width="8.28515625" bestFit="1" customWidth="1"/>
    <col min="4619" max="4619" width="12.42578125" bestFit="1" customWidth="1"/>
    <col min="4620" max="4620" width="7.85546875" bestFit="1" customWidth="1"/>
    <col min="4621" max="4621" width="8.28515625" bestFit="1" customWidth="1"/>
    <col min="4622" max="4622" width="13.42578125" bestFit="1" customWidth="1"/>
    <col min="4623" max="4623" width="9" bestFit="1" customWidth="1"/>
    <col min="4624" max="4624" width="9.85546875" bestFit="1" customWidth="1"/>
    <col min="4625" max="4625" width="8.42578125" bestFit="1" customWidth="1"/>
    <col min="4626" max="4626" width="21.85546875" bestFit="1" customWidth="1"/>
    <col min="4627" max="4627" width="39.28515625" customWidth="1"/>
    <col min="4628" max="4628" width="53.85546875" customWidth="1"/>
    <col min="4629" max="4631" width="40" customWidth="1"/>
    <col min="4866" max="4866" width="47" customWidth="1"/>
    <col min="4867" max="4867" width="12.42578125" customWidth="1"/>
    <col min="4868" max="4868" width="10.5703125" customWidth="1"/>
    <col min="4869" max="4869" width="12.42578125" bestFit="1" customWidth="1"/>
    <col min="4870" max="4870" width="7.85546875" bestFit="1" customWidth="1"/>
    <col min="4871" max="4871" width="8.28515625" bestFit="1" customWidth="1"/>
    <col min="4872" max="4872" width="12.42578125" bestFit="1" customWidth="1"/>
    <col min="4873" max="4873" width="7.85546875" bestFit="1" customWidth="1"/>
    <col min="4874" max="4874" width="8.28515625" bestFit="1" customWidth="1"/>
    <col min="4875" max="4875" width="12.42578125" bestFit="1" customWidth="1"/>
    <col min="4876" max="4876" width="7.85546875" bestFit="1" customWidth="1"/>
    <col min="4877" max="4877" width="8.28515625" bestFit="1" customWidth="1"/>
    <col min="4878" max="4878" width="13.42578125" bestFit="1" customWidth="1"/>
    <col min="4879" max="4879" width="9" bestFit="1" customWidth="1"/>
    <col min="4880" max="4880" width="9.85546875" bestFit="1" customWidth="1"/>
    <col min="4881" max="4881" width="8.42578125" bestFit="1" customWidth="1"/>
    <col min="4882" max="4882" width="21.85546875" bestFit="1" customWidth="1"/>
    <col min="4883" max="4883" width="39.28515625" customWidth="1"/>
    <col min="4884" max="4884" width="53.85546875" customWidth="1"/>
    <col min="4885" max="4887" width="40" customWidth="1"/>
    <col min="5122" max="5122" width="47" customWidth="1"/>
    <col min="5123" max="5123" width="12.42578125" customWidth="1"/>
    <col min="5124" max="5124" width="10.5703125" customWidth="1"/>
    <col min="5125" max="5125" width="12.42578125" bestFit="1" customWidth="1"/>
    <col min="5126" max="5126" width="7.85546875" bestFit="1" customWidth="1"/>
    <col min="5127" max="5127" width="8.28515625" bestFit="1" customWidth="1"/>
    <col min="5128" max="5128" width="12.42578125" bestFit="1" customWidth="1"/>
    <col min="5129" max="5129" width="7.85546875" bestFit="1" customWidth="1"/>
    <col min="5130" max="5130" width="8.28515625" bestFit="1" customWidth="1"/>
    <col min="5131" max="5131" width="12.42578125" bestFit="1" customWidth="1"/>
    <col min="5132" max="5132" width="7.85546875" bestFit="1" customWidth="1"/>
    <col min="5133" max="5133" width="8.28515625" bestFit="1" customWidth="1"/>
    <col min="5134" max="5134" width="13.42578125" bestFit="1" customWidth="1"/>
    <col min="5135" max="5135" width="9" bestFit="1" customWidth="1"/>
    <col min="5136" max="5136" width="9.85546875" bestFit="1" customWidth="1"/>
    <col min="5137" max="5137" width="8.42578125" bestFit="1" customWidth="1"/>
    <col min="5138" max="5138" width="21.85546875" bestFit="1" customWidth="1"/>
    <col min="5139" max="5139" width="39.28515625" customWidth="1"/>
    <col min="5140" max="5140" width="53.85546875" customWidth="1"/>
    <col min="5141" max="5143" width="40" customWidth="1"/>
    <col min="5378" max="5378" width="47" customWidth="1"/>
    <col min="5379" max="5379" width="12.42578125" customWidth="1"/>
    <col min="5380" max="5380" width="10.5703125" customWidth="1"/>
    <col min="5381" max="5381" width="12.42578125" bestFit="1" customWidth="1"/>
    <col min="5382" max="5382" width="7.85546875" bestFit="1" customWidth="1"/>
    <col min="5383" max="5383" width="8.28515625" bestFit="1" customWidth="1"/>
    <col min="5384" max="5384" width="12.42578125" bestFit="1" customWidth="1"/>
    <col min="5385" max="5385" width="7.85546875" bestFit="1" customWidth="1"/>
    <col min="5386" max="5386" width="8.28515625" bestFit="1" customWidth="1"/>
    <col min="5387" max="5387" width="12.42578125" bestFit="1" customWidth="1"/>
    <col min="5388" max="5388" width="7.85546875" bestFit="1" customWidth="1"/>
    <col min="5389" max="5389" width="8.28515625" bestFit="1" customWidth="1"/>
    <col min="5390" max="5390" width="13.42578125" bestFit="1" customWidth="1"/>
    <col min="5391" max="5391" width="9" bestFit="1" customWidth="1"/>
    <col min="5392" max="5392" width="9.85546875" bestFit="1" customWidth="1"/>
    <col min="5393" max="5393" width="8.42578125" bestFit="1" customWidth="1"/>
    <col min="5394" max="5394" width="21.85546875" bestFit="1" customWidth="1"/>
    <col min="5395" max="5395" width="39.28515625" customWidth="1"/>
    <col min="5396" max="5396" width="53.85546875" customWidth="1"/>
    <col min="5397" max="5399" width="40" customWidth="1"/>
    <col min="5634" max="5634" width="47" customWidth="1"/>
    <col min="5635" max="5635" width="12.42578125" customWidth="1"/>
    <col min="5636" max="5636" width="10.5703125" customWidth="1"/>
    <col min="5637" max="5637" width="12.42578125" bestFit="1" customWidth="1"/>
    <col min="5638" max="5638" width="7.85546875" bestFit="1" customWidth="1"/>
    <col min="5639" max="5639" width="8.28515625" bestFit="1" customWidth="1"/>
    <col min="5640" max="5640" width="12.42578125" bestFit="1" customWidth="1"/>
    <col min="5641" max="5641" width="7.85546875" bestFit="1" customWidth="1"/>
    <col min="5642" max="5642" width="8.28515625" bestFit="1" customWidth="1"/>
    <col min="5643" max="5643" width="12.42578125" bestFit="1" customWidth="1"/>
    <col min="5644" max="5644" width="7.85546875" bestFit="1" customWidth="1"/>
    <col min="5645" max="5645" width="8.28515625" bestFit="1" customWidth="1"/>
    <col min="5646" max="5646" width="13.42578125" bestFit="1" customWidth="1"/>
    <col min="5647" max="5647" width="9" bestFit="1" customWidth="1"/>
    <col min="5648" max="5648" width="9.85546875" bestFit="1" customWidth="1"/>
    <col min="5649" max="5649" width="8.42578125" bestFit="1" customWidth="1"/>
    <col min="5650" max="5650" width="21.85546875" bestFit="1" customWidth="1"/>
    <col min="5651" max="5651" width="39.28515625" customWidth="1"/>
    <col min="5652" max="5652" width="53.85546875" customWidth="1"/>
    <col min="5653" max="5655" width="40" customWidth="1"/>
    <col min="5890" max="5890" width="47" customWidth="1"/>
    <col min="5891" max="5891" width="12.42578125" customWidth="1"/>
    <col min="5892" max="5892" width="10.5703125" customWidth="1"/>
    <col min="5893" max="5893" width="12.42578125" bestFit="1" customWidth="1"/>
    <col min="5894" max="5894" width="7.85546875" bestFit="1" customWidth="1"/>
    <col min="5895" max="5895" width="8.28515625" bestFit="1" customWidth="1"/>
    <col min="5896" max="5896" width="12.42578125" bestFit="1" customWidth="1"/>
    <col min="5897" max="5897" width="7.85546875" bestFit="1" customWidth="1"/>
    <col min="5898" max="5898" width="8.28515625" bestFit="1" customWidth="1"/>
    <col min="5899" max="5899" width="12.42578125" bestFit="1" customWidth="1"/>
    <col min="5900" max="5900" width="7.85546875" bestFit="1" customWidth="1"/>
    <col min="5901" max="5901" width="8.28515625" bestFit="1" customWidth="1"/>
    <col min="5902" max="5902" width="13.42578125" bestFit="1" customWidth="1"/>
    <col min="5903" max="5903" width="9" bestFit="1" customWidth="1"/>
    <col min="5904" max="5904" width="9.85546875" bestFit="1" customWidth="1"/>
    <col min="5905" max="5905" width="8.42578125" bestFit="1" customWidth="1"/>
    <col min="5906" max="5906" width="21.85546875" bestFit="1" customWidth="1"/>
    <col min="5907" max="5907" width="39.28515625" customWidth="1"/>
    <col min="5908" max="5908" width="53.85546875" customWidth="1"/>
    <col min="5909" max="5911" width="40" customWidth="1"/>
    <col min="6146" max="6146" width="47" customWidth="1"/>
    <col min="6147" max="6147" width="12.42578125" customWidth="1"/>
    <col min="6148" max="6148" width="10.5703125" customWidth="1"/>
    <col min="6149" max="6149" width="12.42578125" bestFit="1" customWidth="1"/>
    <col min="6150" max="6150" width="7.85546875" bestFit="1" customWidth="1"/>
    <col min="6151" max="6151" width="8.28515625" bestFit="1" customWidth="1"/>
    <col min="6152" max="6152" width="12.42578125" bestFit="1" customWidth="1"/>
    <col min="6153" max="6153" width="7.85546875" bestFit="1" customWidth="1"/>
    <col min="6154" max="6154" width="8.28515625" bestFit="1" customWidth="1"/>
    <col min="6155" max="6155" width="12.42578125" bestFit="1" customWidth="1"/>
    <col min="6156" max="6156" width="7.85546875" bestFit="1" customWidth="1"/>
    <col min="6157" max="6157" width="8.28515625" bestFit="1" customWidth="1"/>
    <col min="6158" max="6158" width="13.42578125" bestFit="1" customWidth="1"/>
    <col min="6159" max="6159" width="9" bestFit="1" customWidth="1"/>
    <col min="6160" max="6160" width="9.85546875" bestFit="1" customWidth="1"/>
    <col min="6161" max="6161" width="8.42578125" bestFit="1" customWidth="1"/>
    <col min="6162" max="6162" width="21.85546875" bestFit="1" customWidth="1"/>
    <col min="6163" max="6163" width="39.28515625" customWidth="1"/>
    <col min="6164" max="6164" width="53.85546875" customWidth="1"/>
    <col min="6165" max="6167" width="40" customWidth="1"/>
    <col min="6402" max="6402" width="47" customWidth="1"/>
    <col min="6403" max="6403" width="12.42578125" customWidth="1"/>
    <col min="6404" max="6404" width="10.5703125" customWidth="1"/>
    <col min="6405" max="6405" width="12.42578125" bestFit="1" customWidth="1"/>
    <col min="6406" max="6406" width="7.85546875" bestFit="1" customWidth="1"/>
    <col min="6407" max="6407" width="8.28515625" bestFit="1" customWidth="1"/>
    <col min="6408" max="6408" width="12.42578125" bestFit="1" customWidth="1"/>
    <col min="6409" max="6409" width="7.85546875" bestFit="1" customWidth="1"/>
    <col min="6410" max="6410" width="8.28515625" bestFit="1" customWidth="1"/>
    <col min="6411" max="6411" width="12.42578125" bestFit="1" customWidth="1"/>
    <col min="6412" max="6412" width="7.85546875" bestFit="1" customWidth="1"/>
    <col min="6413" max="6413" width="8.28515625" bestFit="1" customWidth="1"/>
    <col min="6414" max="6414" width="13.42578125" bestFit="1" customWidth="1"/>
    <col min="6415" max="6415" width="9" bestFit="1" customWidth="1"/>
    <col min="6416" max="6416" width="9.85546875" bestFit="1" customWidth="1"/>
    <col min="6417" max="6417" width="8.42578125" bestFit="1" customWidth="1"/>
    <col min="6418" max="6418" width="21.85546875" bestFit="1" customWidth="1"/>
    <col min="6419" max="6419" width="39.28515625" customWidth="1"/>
    <col min="6420" max="6420" width="53.85546875" customWidth="1"/>
    <col min="6421" max="6423" width="40" customWidth="1"/>
    <col min="6658" max="6658" width="47" customWidth="1"/>
    <col min="6659" max="6659" width="12.42578125" customWidth="1"/>
    <col min="6660" max="6660" width="10.5703125" customWidth="1"/>
    <col min="6661" max="6661" width="12.42578125" bestFit="1" customWidth="1"/>
    <col min="6662" max="6662" width="7.85546875" bestFit="1" customWidth="1"/>
    <col min="6663" max="6663" width="8.28515625" bestFit="1" customWidth="1"/>
    <col min="6664" max="6664" width="12.42578125" bestFit="1" customWidth="1"/>
    <col min="6665" max="6665" width="7.85546875" bestFit="1" customWidth="1"/>
    <col min="6666" max="6666" width="8.28515625" bestFit="1" customWidth="1"/>
    <col min="6667" max="6667" width="12.42578125" bestFit="1" customWidth="1"/>
    <col min="6668" max="6668" width="7.85546875" bestFit="1" customWidth="1"/>
    <col min="6669" max="6669" width="8.28515625" bestFit="1" customWidth="1"/>
    <col min="6670" max="6670" width="13.42578125" bestFit="1" customWidth="1"/>
    <col min="6671" max="6671" width="9" bestFit="1" customWidth="1"/>
    <col min="6672" max="6672" width="9.85546875" bestFit="1" customWidth="1"/>
    <col min="6673" max="6673" width="8.42578125" bestFit="1" customWidth="1"/>
    <col min="6674" max="6674" width="21.85546875" bestFit="1" customWidth="1"/>
    <col min="6675" max="6675" width="39.28515625" customWidth="1"/>
    <col min="6676" max="6676" width="53.85546875" customWidth="1"/>
    <col min="6677" max="6679" width="40" customWidth="1"/>
    <col min="6914" max="6914" width="47" customWidth="1"/>
    <col min="6915" max="6915" width="12.42578125" customWidth="1"/>
    <col min="6916" max="6916" width="10.5703125" customWidth="1"/>
    <col min="6917" max="6917" width="12.42578125" bestFit="1" customWidth="1"/>
    <col min="6918" max="6918" width="7.85546875" bestFit="1" customWidth="1"/>
    <col min="6919" max="6919" width="8.28515625" bestFit="1" customWidth="1"/>
    <col min="6920" max="6920" width="12.42578125" bestFit="1" customWidth="1"/>
    <col min="6921" max="6921" width="7.85546875" bestFit="1" customWidth="1"/>
    <col min="6922" max="6922" width="8.28515625" bestFit="1" customWidth="1"/>
    <col min="6923" max="6923" width="12.42578125" bestFit="1" customWidth="1"/>
    <col min="6924" max="6924" width="7.85546875" bestFit="1" customWidth="1"/>
    <col min="6925" max="6925" width="8.28515625" bestFit="1" customWidth="1"/>
    <col min="6926" max="6926" width="13.42578125" bestFit="1" customWidth="1"/>
    <col min="6927" max="6927" width="9" bestFit="1" customWidth="1"/>
    <col min="6928" max="6928" width="9.85546875" bestFit="1" customWidth="1"/>
    <col min="6929" max="6929" width="8.42578125" bestFit="1" customWidth="1"/>
    <col min="6930" max="6930" width="21.85546875" bestFit="1" customWidth="1"/>
    <col min="6931" max="6931" width="39.28515625" customWidth="1"/>
    <col min="6932" max="6932" width="53.85546875" customWidth="1"/>
    <col min="6933" max="6935" width="40" customWidth="1"/>
    <col min="7170" max="7170" width="47" customWidth="1"/>
    <col min="7171" max="7171" width="12.42578125" customWidth="1"/>
    <col min="7172" max="7172" width="10.5703125" customWidth="1"/>
    <col min="7173" max="7173" width="12.42578125" bestFit="1" customWidth="1"/>
    <col min="7174" max="7174" width="7.85546875" bestFit="1" customWidth="1"/>
    <col min="7175" max="7175" width="8.28515625" bestFit="1" customWidth="1"/>
    <col min="7176" max="7176" width="12.42578125" bestFit="1" customWidth="1"/>
    <col min="7177" max="7177" width="7.85546875" bestFit="1" customWidth="1"/>
    <col min="7178" max="7178" width="8.28515625" bestFit="1" customWidth="1"/>
    <col min="7179" max="7179" width="12.42578125" bestFit="1" customWidth="1"/>
    <col min="7180" max="7180" width="7.85546875" bestFit="1" customWidth="1"/>
    <col min="7181" max="7181" width="8.28515625" bestFit="1" customWidth="1"/>
    <col min="7182" max="7182" width="13.42578125" bestFit="1" customWidth="1"/>
    <col min="7183" max="7183" width="9" bestFit="1" customWidth="1"/>
    <col min="7184" max="7184" width="9.85546875" bestFit="1" customWidth="1"/>
    <col min="7185" max="7185" width="8.42578125" bestFit="1" customWidth="1"/>
    <col min="7186" max="7186" width="21.85546875" bestFit="1" customWidth="1"/>
    <col min="7187" max="7187" width="39.28515625" customWidth="1"/>
    <col min="7188" max="7188" width="53.85546875" customWidth="1"/>
    <col min="7189" max="7191" width="40" customWidth="1"/>
    <col min="7426" max="7426" width="47" customWidth="1"/>
    <col min="7427" max="7427" width="12.42578125" customWidth="1"/>
    <col min="7428" max="7428" width="10.5703125" customWidth="1"/>
    <col min="7429" max="7429" width="12.42578125" bestFit="1" customWidth="1"/>
    <col min="7430" max="7430" width="7.85546875" bestFit="1" customWidth="1"/>
    <col min="7431" max="7431" width="8.28515625" bestFit="1" customWidth="1"/>
    <col min="7432" max="7432" width="12.42578125" bestFit="1" customWidth="1"/>
    <col min="7433" max="7433" width="7.85546875" bestFit="1" customWidth="1"/>
    <col min="7434" max="7434" width="8.28515625" bestFit="1" customWidth="1"/>
    <col min="7435" max="7435" width="12.42578125" bestFit="1" customWidth="1"/>
    <col min="7436" max="7436" width="7.85546875" bestFit="1" customWidth="1"/>
    <col min="7437" max="7437" width="8.28515625" bestFit="1" customWidth="1"/>
    <col min="7438" max="7438" width="13.42578125" bestFit="1" customWidth="1"/>
    <col min="7439" max="7439" width="9" bestFit="1" customWidth="1"/>
    <col min="7440" max="7440" width="9.85546875" bestFit="1" customWidth="1"/>
    <col min="7441" max="7441" width="8.42578125" bestFit="1" customWidth="1"/>
    <col min="7442" max="7442" width="21.85546875" bestFit="1" customWidth="1"/>
    <col min="7443" max="7443" width="39.28515625" customWidth="1"/>
    <col min="7444" max="7444" width="53.85546875" customWidth="1"/>
    <col min="7445" max="7447" width="40" customWidth="1"/>
    <col min="7682" max="7682" width="47" customWidth="1"/>
    <col min="7683" max="7683" width="12.42578125" customWidth="1"/>
    <col min="7684" max="7684" width="10.5703125" customWidth="1"/>
    <col min="7685" max="7685" width="12.42578125" bestFit="1" customWidth="1"/>
    <col min="7686" max="7686" width="7.85546875" bestFit="1" customWidth="1"/>
    <col min="7687" max="7687" width="8.28515625" bestFit="1" customWidth="1"/>
    <col min="7688" max="7688" width="12.42578125" bestFit="1" customWidth="1"/>
    <col min="7689" max="7689" width="7.85546875" bestFit="1" customWidth="1"/>
    <col min="7690" max="7690" width="8.28515625" bestFit="1" customWidth="1"/>
    <col min="7691" max="7691" width="12.42578125" bestFit="1" customWidth="1"/>
    <col min="7692" max="7692" width="7.85546875" bestFit="1" customWidth="1"/>
    <col min="7693" max="7693" width="8.28515625" bestFit="1" customWidth="1"/>
    <col min="7694" max="7694" width="13.42578125" bestFit="1" customWidth="1"/>
    <col min="7695" max="7695" width="9" bestFit="1" customWidth="1"/>
    <col min="7696" max="7696" width="9.85546875" bestFit="1" customWidth="1"/>
    <col min="7697" max="7697" width="8.42578125" bestFit="1" customWidth="1"/>
    <col min="7698" max="7698" width="21.85546875" bestFit="1" customWidth="1"/>
    <col min="7699" max="7699" width="39.28515625" customWidth="1"/>
    <col min="7700" max="7700" width="53.85546875" customWidth="1"/>
    <col min="7701" max="7703" width="40" customWidth="1"/>
    <col min="7938" max="7938" width="47" customWidth="1"/>
    <col min="7939" max="7939" width="12.42578125" customWidth="1"/>
    <col min="7940" max="7940" width="10.5703125" customWidth="1"/>
    <col min="7941" max="7941" width="12.42578125" bestFit="1" customWidth="1"/>
    <col min="7942" max="7942" width="7.85546875" bestFit="1" customWidth="1"/>
    <col min="7943" max="7943" width="8.28515625" bestFit="1" customWidth="1"/>
    <col min="7944" max="7944" width="12.42578125" bestFit="1" customWidth="1"/>
    <col min="7945" max="7945" width="7.85546875" bestFit="1" customWidth="1"/>
    <col min="7946" max="7946" width="8.28515625" bestFit="1" customWidth="1"/>
    <col min="7947" max="7947" width="12.42578125" bestFit="1" customWidth="1"/>
    <col min="7948" max="7948" width="7.85546875" bestFit="1" customWidth="1"/>
    <col min="7949" max="7949" width="8.28515625" bestFit="1" customWidth="1"/>
    <col min="7950" max="7950" width="13.42578125" bestFit="1" customWidth="1"/>
    <col min="7951" max="7951" width="9" bestFit="1" customWidth="1"/>
    <col min="7952" max="7952" width="9.85546875" bestFit="1" customWidth="1"/>
    <col min="7953" max="7953" width="8.42578125" bestFit="1" customWidth="1"/>
    <col min="7954" max="7954" width="21.85546875" bestFit="1" customWidth="1"/>
    <col min="7955" max="7955" width="39.28515625" customWidth="1"/>
    <col min="7956" max="7956" width="53.85546875" customWidth="1"/>
    <col min="7957" max="7959" width="40" customWidth="1"/>
    <col min="8194" max="8194" width="47" customWidth="1"/>
    <col min="8195" max="8195" width="12.42578125" customWidth="1"/>
    <col min="8196" max="8196" width="10.5703125" customWidth="1"/>
    <col min="8197" max="8197" width="12.42578125" bestFit="1" customWidth="1"/>
    <col min="8198" max="8198" width="7.85546875" bestFit="1" customWidth="1"/>
    <col min="8199" max="8199" width="8.28515625" bestFit="1" customWidth="1"/>
    <col min="8200" max="8200" width="12.42578125" bestFit="1" customWidth="1"/>
    <col min="8201" max="8201" width="7.85546875" bestFit="1" customWidth="1"/>
    <col min="8202" max="8202" width="8.28515625" bestFit="1" customWidth="1"/>
    <col min="8203" max="8203" width="12.42578125" bestFit="1" customWidth="1"/>
    <col min="8204" max="8204" width="7.85546875" bestFit="1" customWidth="1"/>
    <col min="8205" max="8205" width="8.28515625" bestFit="1" customWidth="1"/>
    <col min="8206" max="8206" width="13.42578125" bestFit="1" customWidth="1"/>
    <col min="8207" max="8207" width="9" bestFit="1" customWidth="1"/>
    <col min="8208" max="8208" width="9.85546875" bestFit="1" customWidth="1"/>
    <col min="8209" max="8209" width="8.42578125" bestFit="1" customWidth="1"/>
    <col min="8210" max="8210" width="21.85546875" bestFit="1" customWidth="1"/>
    <col min="8211" max="8211" width="39.28515625" customWidth="1"/>
    <col min="8212" max="8212" width="53.85546875" customWidth="1"/>
    <col min="8213" max="8215" width="40" customWidth="1"/>
    <col min="8450" max="8450" width="47" customWidth="1"/>
    <col min="8451" max="8451" width="12.42578125" customWidth="1"/>
    <col min="8452" max="8452" width="10.5703125" customWidth="1"/>
    <col min="8453" max="8453" width="12.42578125" bestFit="1" customWidth="1"/>
    <col min="8454" max="8454" width="7.85546875" bestFit="1" customWidth="1"/>
    <col min="8455" max="8455" width="8.28515625" bestFit="1" customWidth="1"/>
    <col min="8456" max="8456" width="12.42578125" bestFit="1" customWidth="1"/>
    <col min="8457" max="8457" width="7.85546875" bestFit="1" customWidth="1"/>
    <col min="8458" max="8458" width="8.28515625" bestFit="1" customWidth="1"/>
    <col min="8459" max="8459" width="12.42578125" bestFit="1" customWidth="1"/>
    <col min="8460" max="8460" width="7.85546875" bestFit="1" customWidth="1"/>
    <col min="8461" max="8461" width="8.28515625" bestFit="1" customWidth="1"/>
    <col min="8462" max="8462" width="13.42578125" bestFit="1" customWidth="1"/>
    <col min="8463" max="8463" width="9" bestFit="1" customWidth="1"/>
    <col min="8464" max="8464" width="9.85546875" bestFit="1" customWidth="1"/>
    <col min="8465" max="8465" width="8.42578125" bestFit="1" customWidth="1"/>
    <col min="8466" max="8466" width="21.85546875" bestFit="1" customWidth="1"/>
    <col min="8467" max="8467" width="39.28515625" customWidth="1"/>
    <col min="8468" max="8468" width="53.85546875" customWidth="1"/>
    <col min="8469" max="8471" width="40" customWidth="1"/>
    <col min="8706" max="8706" width="47" customWidth="1"/>
    <col min="8707" max="8707" width="12.42578125" customWidth="1"/>
    <col min="8708" max="8708" width="10.5703125" customWidth="1"/>
    <col min="8709" max="8709" width="12.42578125" bestFit="1" customWidth="1"/>
    <col min="8710" max="8710" width="7.85546875" bestFit="1" customWidth="1"/>
    <col min="8711" max="8711" width="8.28515625" bestFit="1" customWidth="1"/>
    <col min="8712" max="8712" width="12.42578125" bestFit="1" customWidth="1"/>
    <col min="8713" max="8713" width="7.85546875" bestFit="1" customWidth="1"/>
    <col min="8714" max="8714" width="8.28515625" bestFit="1" customWidth="1"/>
    <col min="8715" max="8715" width="12.42578125" bestFit="1" customWidth="1"/>
    <col min="8716" max="8716" width="7.85546875" bestFit="1" customWidth="1"/>
    <col min="8717" max="8717" width="8.28515625" bestFit="1" customWidth="1"/>
    <col min="8718" max="8718" width="13.42578125" bestFit="1" customWidth="1"/>
    <col min="8719" max="8719" width="9" bestFit="1" customWidth="1"/>
    <col min="8720" max="8720" width="9.85546875" bestFit="1" customWidth="1"/>
    <col min="8721" max="8721" width="8.42578125" bestFit="1" customWidth="1"/>
    <col min="8722" max="8722" width="21.85546875" bestFit="1" customWidth="1"/>
    <col min="8723" max="8723" width="39.28515625" customWidth="1"/>
    <col min="8724" max="8724" width="53.85546875" customWidth="1"/>
    <col min="8725" max="8727" width="40" customWidth="1"/>
    <col min="8962" max="8962" width="47" customWidth="1"/>
    <col min="8963" max="8963" width="12.42578125" customWidth="1"/>
    <col min="8964" max="8964" width="10.5703125" customWidth="1"/>
    <col min="8965" max="8965" width="12.42578125" bestFit="1" customWidth="1"/>
    <col min="8966" max="8966" width="7.85546875" bestFit="1" customWidth="1"/>
    <col min="8967" max="8967" width="8.28515625" bestFit="1" customWidth="1"/>
    <col min="8968" max="8968" width="12.42578125" bestFit="1" customWidth="1"/>
    <col min="8969" max="8969" width="7.85546875" bestFit="1" customWidth="1"/>
    <col min="8970" max="8970" width="8.28515625" bestFit="1" customWidth="1"/>
    <col min="8971" max="8971" width="12.42578125" bestFit="1" customWidth="1"/>
    <col min="8972" max="8972" width="7.85546875" bestFit="1" customWidth="1"/>
    <col min="8973" max="8973" width="8.28515625" bestFit="1" customWidth="1"/>
    <col min="8974" max="8974" width="13.42578125" bestFit="1" customWidth="1"/>
    <col min="8975" max="8975" width="9" bestFit="1" customWidth="1"/>
    <col min="8976" max="8976" width="9.85546875" bestFit="1" customWidth="1"/>
    <col min="8977" max="8977" width="8.42578125" bestFit="1" customWidth="1"/>
    <col min="8978" max="8978" width="21.85546875" bestFit="1" customWidth="1"/>
    <col min="8979" max="8979" width="39.28515625" customWidth="1"/>
    <col min="8980" max="8980" width="53.85546875" customWidth="1"/>
    <col min="8981" max="8983" width="40" customWidth="1"/>
    <col min="9218" max="9218" width="47" customWidth="1"/>
    <col min="9219" max="9219" width="12.42578125" customWidth="1"/>
    <col min="9220" max="9220" width="10.5703125" customWidth="1"/>
    <col min="9221" max="9221" width="12.42578125" bestFit="1" customWidth="1"/>
    <col min="9222" max="9222" width="7.85546875" bestFit="1" customWidth="1"/>
    <col min="9223" max="9223" width="8.28515625" bestFit="1" customWidth="1"/>
    <col min="9224" max="9224" width="12.42578125" bestFit="1" customWidth="1"/>
    <col min="9225" max="9225" width="7.85546875" bestFit="1" customWidth="1"/>
    <col min="9226" max="9226" width="8.28515625" bestFit="1" customWidth="1"/>
    <col min="9227" max="9227" width="12.42578125" bestFit="1" customWidth="1"/>
    <col min="9228" max="9228" width="7.85546875" bestFit="1" customWidth="1"/>
    <col min="9229" max="9229" width="8.28515625" bestFit="1" customWidth="1"/>
    <col min="9230" max="9230" width="13.42578125" bestFit="1" customWidth="1"/>
    <col min="9231" max="9231" width="9" bestFit="1" customWidth="1"/>
    <col min="9232" max="9232" width="9.85546875" bestFit="1" customWidth="1"/>
    <col min="9233" max="9233" width="8.42578125" bestFit="1" customWidth="1"/>
    <col min="9234" max="9234" width="21.85546875" bestFit="1" customWidth="1"/>
    <col min="9235" max="9235" width="39.28515625" customWidth="1"/>
    <col min="9236" max="9236" width="53.85546875" customWidth="1"/>
    <col min="9237" max="9239" width="40" customWidth="1"/>
    <col min="9474" max="9474" width="47" customWidth="1"/>
    <col min="9475" max="9475" width="12.42578125" customWidth="1"/>
    <col min="9476" max="9476" width="10.5703125" customWidth="1"/>
    <col min="9477" max="9477" width="12.42578125" bestFit="1" customWidth="1"/>
    <col min="9478" max="9478" width="7.85546875" bestFit="1" customWidth="1"/>
    <col min="9479" max="9479" width="8.28515625" bestFit="1" customWidth="1"/>
    <col min="9480" max="9480" width="12.42578125" bestFit="1" customWidth="1"/>
    <col min="9481" max="9481" width="7.85546875" bestFit="1" customWidth="1"/>
    <col min="9482" max="9482" width="8.28515625" bestFit="1" customWidth="1"/>
    <col min="9483" max="9483" width="12.42578125" bestFit="1" customWidth="1"/>
    <col min="9484" max="9484" width="7.85546875" bestFit="1" customWidth="1"/>
    <col min="9485" max="9485" width="8.28515625" bestFit="1" customWidth="1"/>
    <col min="9486" max="9486" width="13.42578125" bestFit="1" customWidth="1"/>
    <col min="9487" max="9487" width="9" bestFit="1" customWidth="1"/>
    <col min="9488" max="9488" width="9.85546875" bestFit="1" customWidth="1"/>
    <col min="9489" max="9489" width="8.42578125" bestFit="1" customWidth="1"/>
    <col min="9490" max="9490" width="21.85546875" bestFit="1" customWidth="1"/>
    <col min="9491" max="9491" width="39.28515625" customWidth="1"/>
    <col min="9492" max="9492" width="53.85546875" customWidth="1"/>
    <col min="9493" max="9495" width="40" customWidth="1"/>
    <col min="9730" max="9730" width="47" customWidth="1"/>
    <col min="9731" max="9731" width="12.42578125" customWidth="1"/>
    <col min="9732" max="9732" width="10.5703125" customWidth="1"/>
    <col min="9733" max="9733" width="12.42578125" bestFit="1" customWidth="1"/>
    <col min="9734" max="9734" width="7.85546875" bestFit="1" customWidth="1"/>
    <col min="9735" max="9735" width="8.28515625" bestFit="1" customWidth="1"/>
    <col min="9736" max="9736" width="12.42578125" bestFit="1" customWidth="1"/>
    <col min="9737" max="9737" width="7.85546875" bestFit="1" customWidth="1"/>
    <col min="9738" max="9738" width="8.28515625" bestFit="1" customWidth="1"/>
    <col min="9739" max="9739" width="12.42578125" bestFit="1" customWidth="1"/>
    <col min="9740" max="9740" width="7.85546875" bestFit="1" customWidth="1"/>
    <col min="9741" max="9741" width="8.28515625" bestFit="1" customWidth="1"/>
    <col min="9742" max="9742" width="13.42578125" bestFit="1" customWidth="1"/>
    <col min="9743" max="9743" width="9" bestFit="1" customWidth="1"/>
    <col min="9744" max="9744" width="9.85546875" bestFit="1" customWidth="1"/>
    <col min="9745" max="9745" width="8.42578125" bestFit="1" customWidth="1"/>
    <col min="9746" max="9746" width="21.85546875" bestFit="1" customWidth="1"/>
    <col min="9747" max="9747" width="39.28515625" customWidth="1"/>
    <col min="9748" max="9748" width="53.85546875" customWidth="1"/>
    <col min="9749" max="9751" width="40" customWidth="1"/>
    <col min="9986" max="9986" width="47" customWidth="1"/>
    <col min="9987" max="9987" width="12.42578125" customWidth="1"/>
    <col min="9988" max="9988" width="10.5703125" customWidth="1"/>
    <col min="9989" max="9989" width="12.42578125" bestFit="1" customWidth="1"/>
    <col min="9990" max="9990" width="7.85546875" bestFit="1" customWidth="1"/>
    <col min="9991" max="9991" width="8.28515625" bestFit="1" customWidth="1"/>
    <col min="9992" max="9992" width="12.42578125" bestFit="1" customWidth="1"/>
    <col min="9993" max="9993" width="7.85546875" bestFit="1" customWidth="1"/>
    <col min="9994" max="9994" width="8.28515625" bestFit="1" customWidth="1"/>
    <col min="9995" max="9995" width="12.42578125" bestFit="1" customWidth="1"/>
    <col min="9996" max="9996" width="7.85546875" bestFit="1" customWidth="1"/>
    <col min="9997" max="9997" width="8.28515625" bestFit="1" customWidth="1"/>
    <col min="9998" max="9998" width="13.42578125" bestFit="1" customWidth="1"/>
    <col min="9999" max="9999" width="9" bestFit="1" customWidth="1"/>
    <col min="10000" max="10000" width="9.85546875" bestFit="1" customWidth="1"/>
    <col min="10001" max="10001" width="8.42578125" bestFit="1" customWidth="1"/>
    <col min="10002" max="10002" width="21.85546875" bestFit="1" customWidth="1"/>
    <col min="10003" max="10003" width="39.28515625" customWidth="1"/>
    <col min="10004" max="10004" width="53.85546875" customWidth="1"/>
    <col min="10005" max="10007" width="40" customWidth="1"/>
    <col min="10242" max="10242" width="47" customWidth="1"/>
    <col min="10243" max="10243" width="12.42578125" customWidth="1"/>
    <col min="10244" max="10244" width="10.5703125" customWidth="1"/>
    <col min="10245" max="10245" width="12.42578125" bestFit="1" customWidth="1"/>
    <col min="10246" max="10246" width="7.85546875" bestFit="1" customWidth="1"/>
    <col min="10247" max="10247" width="8.28515625" bestFit="1" customWidth="1"/>
    <col min="10248" max="10248" width="12.42578125" bestFit="1" customWidth="1"/>
    <col min="10249" max="10249" width="7.85546875" bestFit="1" customWidth="1"/>
    <col min="10250" max="10250" width="8.28515625" bestFit="1" customWidth="1"/>
    <col min="10251" max="10251" width="12.42578125" bestFit="1" customWidth="1"/>
    <col min="10252" max="10252" width="7.85546875" bestFit="1" customWidth="1"/>
    <col min="10253" max="10253" width="8.28515625" bestFit="1" customWidth="1"/>
    <col min="10254" max="10254" width="13.42578125" bestFit="1" customWidth="1"/>
    <col min="10255" max="10255" width="9" bestFit="1" customWidth="1"/>
    <col min="10256" max="10256" width="9.85546875" bestFit="1" customWidth="1"/>
    <col min="10257" max="10257" width="8.42578125" bestFit="1" customWidth="1"/>
    <col min="10258" max="10258" width="21.85546875" bestFit="1" customWidth="1"/>
    <col min="10259" max="10259" width="39.28515625" customWidth="1"/>
    <col min="10260" max="10260" width="53.85546875" customWidth="1"/>
    <col min="10261" max="10263" width="40" customWidth="1"/>
    <col min="10498" max="10498" width="47" customWidth="1"/>
    <col min="10499" max="10499" width="12.42578125" customWidth="1"/>
    <col min="10500" max="10500" width="10.5703125" customWidth="1"/>
    <col min="10501" max="10501" width="12.42578125" bestFit="1" customWidth="1"/>
    <col min="10502" max="10502" width="7.85546875" bestFit="1" customWidth="1"/>
    <col min="10503" max="10503" width="8.28515625" bestFit="1" customWidth="1"/>
    <col min="10504" max="10504" width="12.42578125" bestFit="1" customWidth="1"/>
    <col min="10505" max="10505" width="7.85546875" bestFit="1" customWidth="1"/>
    <col min="10506" max="10506" width="8.28515625" bestFit="1" customWidth="1"/>
    <col min="10507" max="10507" width="12.42578125" bestFit="1" customWidth="1"/>
    <col min="10508" max="10508" width="7.85546875" bestFit="1" customWidth="1"/>
    <col min="10509" max="10509" width="8.28515625" bestFit="1" customWidth="1"/>
    <col min="10510" max="10510" width="13.42578125" bestFit="1" customWidth="1"/>
    <col min="10511" max="10511" width="9" bestFit="1" customWidth="1"/>
    <col min="10512" max="10512" width="9.85546875" bestFit="1" customWidth="1"/>
    <col min="10513" max="10513" width="8.42578125" bestFit="1" customWidth="1"/>
    <col min="10514" max="10514" width="21.85546875" bestFit="1" customWidth="1"/>
    <col min="10515" max="10515" width="39.28515625" customWidth="1"/>
    <col min="10516" max="10516" width="53.85546875" customWidth="1"/>
    <col min="10517" max="10519" width="40" customWidth="1"/>
    <col min="10754" max="10754" width="47" customWidth="1"/>
    <col min="10755" max="10755" width="12.42578125" customWidth="1"/>
    <col min="10756" max="10756" width="10.5703125" customWidth="1"/>
    <col min="10757" max="10757" width="12.42578125" bestFit="1" customWidth="1"/>
    <col min="10758" max="10758" width="7.85546875" bestFit="1" customWidth="1"/>
    <col min="10759" max="10759" width="8.28515625" bestFit="1" customWidth="1"/>
    <col min="10760" max="10760" width="12.42578125" bestFit="1" customWidth="1"/>
    <col min="10761" max="10761" width="7.85546875" bestFit="1" customWidth="1"/>
    <col min="10762" max="10762" width="8.28515625" bestFit="1" customWidth="1"/>
    <col min="10763" max="10763" width="12.42578125" bestFit="1" customWidth="1"/>
    <col min="10764" max="10764" width="7.85546875" bestFit="1" customWidth="1"/>
    <col min="10765" max="10765" width="8.28515625" bestFit="1" customWidth="1"/>
    <col min="10766" max="10766" width="13.42578125" bestFit="1" customWidth="1"/>
    <col min="10767" max="10767" width="9" bestFit="1" customWidth="1"/>
    <col min="10768" max="10768" width="9.85546875" bestFit="1" customWidth="1"/>
    <col min="10769" max="10769" width="8.42578125" bestFit="1" customWidth="1"/>
    <col min="10770" max="10770" width="21.85546875" bestFit="1" customWidth="1"/>
    <col min="10771" max="10771" width="39.28515625" customWidth="1"/>
    <col min="10772" max="10772" width="53.85546875" customWidth="1"/>
    <col min="10773" max="10775" width="40" customWidth="1"/>
    <col min="11010" max="11010" width="47" customWidth="1"/>
    <col min="11011" max="11011" width="12.42578125" customWidth="1"/>
    <col min="11012" max="11012" width="10.5703125" customWidth="1"/>
    <col min="11013" max="11013" width="12.42578125" bestFit="1" customWidth="1"/>
    <col min="11014" max="11014" width="7.85546875" bestFit="1" customWidth="1"/>
    <col min="11015" max="11015" width="8.28515625" bestFit="1" customWidth="1"/>
    <col min="11016" max="11016" width="12.42578125" bestFit="1" customWidth="1"/>
    <col min="11017" max="11017" width="7.85546875" bestFit="1" customWidth="1"/>
    <col min="11018" max="11018" width="8.28515625" bestFit="1" customWidth="1"/>
    <col min="11019" max="11019" width="12.42578125" bestFit="1" customWidth="1"/>
    <col min="11020" max="11020" width="7.85546875" bestFit="1" customWidth="1"/>
    <col min="11021" max="11021" width="8.28515625" bestFit="1" customWidth="1"/>
    <col min="11022" max="11022" width="13.42578125" bestFit="1" customWidth="1"/>
    <col min="11023" max="11023" width="9" bestFit="1" customWidth="1"/>
    <col min="11024" max="11024" width="9.85546875" bestFit="1" customWidth="1"/>
    <col min="11025" max="11025" width="8.42578125" bestFit="1" customWidth="1"/>
    <col min="11026" max="11026" width="21.85546875" bestFit="1" customWidth="1"/>
    <col min="11027" max="11027" width="39.28515625" customWidth="1"/>
    <col min="11028" max="11028" width="53.85546875" customWidth="1"/>
    <col min="11029" max="11031" width="40" customWidth="1"/>
    <col min="11266" max="11266" width="47" customWidth="1"/>
    <col min="11267" max="11267" width="12.42578125" customWidth="1"/>
    <col min="11268" max="11268" width="10.5703125" customWidth="1"/>
    <col min="11269" max="11269" width="12.42578125" bestFit="1" customWidth="1"/>
    <col min="11270" max="11270" width="7.85546875" bestFit="1" customWidth="1"/>
    <col min="11271" max="11271" width="8.28515625" bestFit="1" customWidth="1"/>
    <col min="11272" max="11272" width="12.42578125" bestFit="1" customWidth="1"/>
    <col min="11273" max="11273" width="7.85546875" bestFit="1" customWidth="1"/>
    <col min="11274" max="11274" width="8.28515625" bestFit="1" customWidth="1"/>
    <col min="11275" max="11275" width="12.42578125" bestFit="1" customWidth="1"/>
    <col min="11276" max="11276" width="7.85546875" bestFit="1" customWidth="1"/>
    <col min="11277" max="11277" width="8.28515625" bestFit="1" customWidth="1"/>
    <col min="11278" max="11278" width="13.42578125" bestFit="1" customWidth="1"/>
    <col min="11279" max="11279" width="9" bestFit="1" customWidth="1"/>
    <col min="11280" max="11280" width="9.85546875" bestFit="1" customWidth="1"/>
    <col min="11281" max="11281" width="8.42578125" bestFit="1" customWidth="1"/>
    <col min="11282" max="11282" width="21.85546875" bestFit="1" customWidth="1"/>
    <col min="11283" max="11283" width="39.28515625" customWidth="1"/>
    <col min="11284" max="11284" width="53.85546875" customWidth="1"/>
    <col min="11285" max="11287" width="40" customWidth="1"/>
    <col min="11522" max="11522" width="47" customWidth="1"/>
    <col min="11523" max="11523" width="12.42578125" customWidth="1"/>
    <col min="11524" max="11524" width="10.5703125" customWidth="1"/>
    <col min="11525" max="11525" width="12.42578125" bestFit="1" customWidth="1"/>
    <col min="11526" max="11526" width="7.85546875" bestFit="1" customWidth="1"/>
    <col min="11527" max="11527" width="8.28515625" bestFit="1" customWidth="1"/>
    <col min="11528" max="11528" width="12.42578125" bestFit="1" customWidth="1"/>
    <col min="11529" max="11529" width="7.85546875" bestFit="1" customWidth="1"/>
    <col min="11530" max="11530" width="8.28515625" bestFit="1" customWidth="1"/>
    <col min="11531" max="11531" width="12.42578125" bestFit="1" customWidth="1"/>
    <col min="11532" max="11532" width="7.85546875" bestFit="1" customWidth="1"/>
    <col min="11533" max="11533" width="8.28515625" bestFit="1" customWidth="1"/>
    <col min="11534" max="11534" width="13.42578125" bestFit="1" customWidth="1"/>
    <col min="11535" max="11535" width="9" bestFit="1" customWidth="1"/>
    <col min="11536" max="11536" width="9.85546875" bestFit="1" customWidth="1"/>
    <col min="11537" max="11537" width="8.42578125" bestFit="1" customWidth="1"/>
    <col min="11538" max="11538" width="21.85546875" bestFit="1" customWidth="1"/>
    <col min="11539" max="11539" width="39.28515625" customWidth="1"/>
    <col min="11540" max="11540" width="53.85546875" customWidth="1"/>
    <col min="11541" max="11543" width="40" customWidth="1"/>
    <col min="11778" max="11778" width="47" customWidth="1"/>
    <col min="11779" max="11779" width="12.42578125" customWidth="1"/>
    <col min="11780" max="11780" width="10.5703125" customWidth="1"/>
    <col min="11781" max="11781" width="12.42578125" bestFit="1" customWidth="1"/>
    <col min="11782" max="11782" width="7.85546875" bestFit="1" customWidth="1"/>
    <col min="11783" max="11783" width="8.28515625" bestFit="1" customWidth="1"/>
    <col min="11784" max="11784" width="12.42578125" bestFit="1" customWidth="1"/>
    <col min="11785" max="11785" width="7.85546875" bestFit="1" customWidth="1"/>
    <col min="11786" max="11786" width="8.28515625" bestFit="1" customWidth="1"/>
    <col min="11787" max="11787" width="12.42578125" bestFit="1" customWidth="1"/>
    <col min="11788" max="11788" width="7.85546875" bestFit="1" customWidth="1"/>
    <col min="11789" max="11789" width="8.28515625" bestFit="1" customWidth="1"/>
    <col min="11790" max="11790" width="13.42578125" bestFit="1" customWidth="1"/>
    <col min="11791" max="11791" width="9" bestFit="1" customWidth="1"/>
    <col min="11792" max="11792" width="9.85546875" bestFit="1" customWidth="1"/>
    <col min="11793" max="11793" width="8.42578125" bestFit="1" customWidth="1"/>
    <col min="11794" max="11794" width="21.85546875" bestFit="1" customWidth="1"/>
    <col min="11795" max="11795" width="39.28515625" customWidth="1"/>
    <col min="11796" max="11796" width="53.85546875" customWidth="1"/>
    <col min="11797" max="11799" width="40" customWidth="1"/>
    <col min="12034" max="12034" width="47" customWidth="1"/>
    <col min="12035" max="12035" width="12.42578125" customWidth="1"/>
    <col min="12036" max="12036" width="10.5703125" customWidth="1"/>
    <col min="12037" max="12037" width="12.42578125" bestFit="1" customWidth="1"/>
    <col min="12038" max="12038" width="7.85546875" bestFit="1" customWidth="1"/>
    <col min="12039" max="12039" width="8.28515625" bestFit="1" customWidth="1"/>
    <col min="12040" max="12040" width="12.42578125" bestFit="1" customWidth="1"/>
    <col min="12041" max="12041" width="7.85546875" bestFit="1" customWidth="1"/>
    <col min="12042" max="12042" width="8.28515625" bestFit="1" customWidth="1"/>
    <col min="12043" max="12043" width="12.42578125" bestFit="1" customWidth="1"/>
    <col min="12044" max="12044" width="7.85546875" bestFit="1" customWidth="1"/>
    <col min="12045" max="12045" width="8.28515625" bestFit="1" customWidth="1"/>
    <col min="12046" max="12046" width="13.42578125" bestFit="1" customWidth="1"/>
    <col min="12047" max="12047" width="9" bestFit="1" customWidth="1"/>
    <col min="12048" max="12048" width="9.85546875" bestFit="1" customWidth="1"/>
    <col min="12049" max="12049" width="8.42578125" bestFit="1" customWidth="1"/>
    <col min="12050" max="12050" width="21.85546875" bestFit="1" customWidth="1"/>
    <col min="12051" max="12051" width="39.28515625" customWidth="1"/>
    <col min="12052" max="12052" width="53.85546875" customWidth="1"/>
    <col min="12053" max="12055" width="40" customWidth="1"/>
    <col min="12290" max="12290" width="47" customWidth="1"/>
    <col min="12291" max="12291" width="12.42578125" customWidth="1"/>
    <col min="12292" max="12292" width="10.5703125" customWidth="1"/>
    <col min="12293" max="12293" width="12.42578125" bestFit="1" customWidth="1"/>
    <col min="12294" max="12294" width="7.85546875" bestFit="1" customWidth="1"/>
    <col min="12295" max="12295" width="8.28515625" bestFit="1" customWidth="1"/>
    <col min="12296" max="12296" width="12.42578125" bestFit="1" customWidth="1"/>
    <col min="12297" max="12297" width="7.85546875" bestFit="1" customWidth="1"/>
    <col min="12298" max="12298" width="8.28515625" bestFit="1" customWidth="1"/>
    <col min="12299" max="12299" width="12.42578125" bestFit="1" customWidth="1"/>
    <col min="12300" max="12300" width="7.85546875" bestFit="1" customWidth="1"/>
    <col min="12301" max="12301" width="8.28515625" bestFit="1" customWidth="1"/>
    <col min="12302" max="12302" width="13.42578125" bestFit="1" customWidth="1"/>
    <col min="12303" max="12303" width="9" bestFit="1" customWidth="1"/>
    <col min="12304" max="12304" width="9.85546875" bestFit="1" customWidth="1"/>
    <col min="12305" max="12305" width="8.42578125" bestFit="1" customWidth="1"/>
    <col min="12306" max="12306" width="21.85546875" bestFit="1" customWidth="1"/>
    <col min="12307" max="12307" width="39.28515625" customWidth="1"/>
    <col min="12308" max="12308" width="53.85546875" customWidth="1"/>
    <col min="12309" max="12311" width="40" customWidth="1"/>
    <col min="12546" max="12546" width="47" customWidth="1"/>
    <col min="12547" max="12547" width="12.42578125" customWidth="1"/>
    <col min="12548" max="12548" width="10.5703125" customWidth="1"/>
    <col min="12549" max="12549" width="12.42578125" bestFit="1" customWidth="1"/>
    <col min="12550" max="12550" width="7.85546875" bestFit="1" customWidth="1"/>
    <col min="12551" max="12551" width="8.28515625" bestFit="1" customWidth="1"/>
    <col min="12552" max="12552" width="12.42578125" bestFit="1" customWidth="1"/>
    <col min="12553" max="12553" width="7.85546875" bestFit="1" customWidth="1"/>
    <col min="12554" max="12554" width="8.28515625" bestFit="1" customWidth="1"/>
    <col min="12555" max="12555" width="12.42578125" bestFit="1" customWidth="1"/>
    <col min="12556" max="12556" width="7.85546875" bestFit="1" customWidth="1"/>
    <col min="12557" max="12557" width="8.28515625" bestFit="1" customWidth="1"/>
    <col min="12558" max="12558" width="13.42578125" bestFit="1" customWidth="1"/>
    <col min="12559" max="12559" width="9" bestFit="1" customWidth="1"/>
    <col min="12560" max="12560" width="9.85546875" bestFit="1" customWidth="1"/>
    <col min="12561" max="12561" width="8.42578125" bestFit="1" customWidth="1"/>
    <col min="12562" max="12562" width="21.85546875" bestFit="1" customWidth="1"/>
    <col min="12563" max="12563" width="39.28515625" customWidth="1"/>
    <col min="12564" max="12564" width="53.85546875" customWidth="1"/>
    <col min="12565" max="12567" width="40" customWidth="1"/>
    <col min="12802" max="12802" width="47" customWidth="1"/>
    <col min="12803" max="12803" width="12.42578125" customWidth="1"/>
    <col min="12804" max="12804" width="10.5703125" customWidth="1"/>
    <col min="12805" max="12805" width="12.42578125" bestFit="1" customWidth="1"/>
    <col min="12806" max="12806" width="7.85546875" bestFit="1" customWidth="1"/>
    <col min="12807" max="12807" width="8.28515625" bestFit="1" customWidth="1"/>
    <col min="12808" max="12808" width="12.42578125" bestFit="1" customWidth="1"/>
    <col min="12809" max="12809" width="7.85546875" bestFit="1" customWidth="1"/>
    <col min="12810" max="12810" width="8.28515625" bestFit="1" customWidth="1"/>
    <col min="12811" max="12811" width="12.42578125" bestFit="1" customWidth="1"/>
    <col min="12812" max="12812" width="7.85546875" bestFit="1" customWidth="1"/>
    <col min="12813" max="12813" width="8.28515625" bestFit="1" customWidth="1"/>
    <col min="12814" max="12814" width="13.42578125" bestFit="1" customWidth="1"/>
    <col min="12815" max="12815" width="9" bestFit="1" customWidth="1"/>
    <col min="12816" max="12816" width="9.85546875" bestFit="1" customWidth="1"/>
    <col min="12817" max="12817" width="8.42578125" bestFit="1" customWidth="1"/>
    <col min="12818" max="12818" width="21.85546875" bestFit="1" customWidth="1"/>
    <col min="12819" max="12819" width="39.28515625" customWidth="1"/>
    <col min="12820" max="12820" width="53.85546875" customWidth="1"/>
    <col min="12821" max="12823" width="40" customWidth="1"/>
    <col min="13058" max="13058" width="47" customWidth="1"/>
    <col min="13059" max="13059" width="12.42578125" customWidth="1"/>
    <col min="13060" max="13060" width="10.5703125" customWidth="1"/>
    <col min="13061" max="13061" width="12.42578125" bestFit="1" customWidth="1"/>
    <col min="13062" max="13062" width="7.85546875" bestFit="1" customWidth="1"/>
    <col min="13063" max="13063" width="8.28515625" bestFit="1" customWidth="1"/>
    <col min="13064" max="13064" width="12.42578125" bestFit="1" customWidth="1"/>
    <col min="13065" max="13065" width="7.85546875" bestFit="1" customWidth="1"/>
    <col min="13066" max="13066" width="8.28515625" bestFit="1" customWidth="1"/>
    <col min="13067" max="13067" width="12.42578125" bestFit="1" customWidth="1"/>
    <col min="13068" max="13068" width="7.85546875" bestFit="1" customWidth="1"/>
    <col min="13069" max="13069" width="8.28515625" bestFit="1" customWidth="1"/>
    <col min="13070" max="13070" width="13.42578125" bestFit="1" customWidth="1"/>
    <col min="13071" max="13071" width="9" bestFit="1" customWidth="1"/>
    <col min="13072" max="13072" width="9.85546875" bestFit="1" customWidth="1"/>
    <col min="13073" max="13073" width="8.42578125" bestFit="1" customWidth="1"/>
    <col min="13074" max="13074" width="21.85546875" bestFit="1" customWidth="1"/>
    <col min="13075" max="13075" width="39.28515625" customWidth="1"/>
    <col min="13076" max="13076" width="53.85546875" customWidth="1"/>
    <col min="13077" max="13079" width="40" customWidth="1"/>
    <col min="13314" max="13314" width="47" customWidth="1"/>
    <col min="13315" max="13315" width="12.42578125" customWidth="1"/>
    <col min="13316" max="13316" width="10.5703125" customWidth="1"/>
    <col min="13317" max="13317" width="12.42578125" bestFit="1" customWidth="1"/>
    <col min="13318" max="13318" width="7.85546875" bestFit="1" customWidth="1"/>
    <col min="13319" max="13319" width="8.28515625" bestFit="1" customWidth="1"/>
    <col min="13320" max="13320" width="12.42578125" bestFit="1" customWidth="1"/>
    <col min="13321" max="13321" width="7.85546875" bestFit="1" customWidth="1"/>
    <col min="13322" max="13322" width="8.28515625" bestFit="1" customWidth="1"/>
    <col min="13323" max="13323" width="12.42578125" bestFit="1" customWidth="1"/>
    <col min="13324" max="13324" width="7.85546875" bestFit="1" customWidth="1"/>
    <col min="13325" max="13325" width="8.28515625" bestFit="1" customWidth="1"/>
    <col min="13326" max="13326" width="13.42578125" bestFit="1" customWidth="1"/>
    <col min="13327" max="13327" width="9" bestFit="1" customWidth="1"/>
    <col min="13328" max="13328" width="9.85546875" bestFit="1" customWidth="1"/>
    <col min="13329" max="13329" width="8.42578125" bestFit="1" customWidth="1"/>
    <col min="13330" max="13330" width="21.85546875" bestFit="1" customWidth="1"/>
    <col min="13331" max="13331" width="39.28515625" customWidth="1"/>
    <col min="13332" max="13332" width="53.85546875" customWidth="1"/>
    <col min="13333" max="13335" width="40" customWidth="1"/>
    <col min="13570" max="13570" width="47" customWidth="1"/>
    <col min="13571" max="13571" width="12.42578125" customWidth="1"/>
    <col min="13572" max="13572" width="10.5703125" customWidth="1"/>
    <col min="13573" max="13573" width="12.42578125" bestFit="1" customWidth="1"/>
    <col min="13574" max="13574" width="7.85546875" bestFit="1" customWidth="1"/>
    <col min="13575" max="13575" width="8.28515625" bestFit="1" customWidth="1"/>
    <col min="13576" max="13576" width="12.42578125" bestFit="1" customWidth="1"/>
    <col min="13577" max="13577" width="7.85546875" bestFit="1" customWidth="1"/>
    <col min="13578" max="13578" width="8.28515625" bestFit="1" customWidth="1"/>
    <col min="13579" max="13579" width="12.42578125" bestFit="1" customWidth="1"/>
    <col min="13580" max="13580" width="7.85546875" bestFit="1" customWidth="1"/>
    <col min="13581" max="13581" width="8.28515625" bestFit="1" customWidth="1"/>
    <col min="13582" max="13582" width="13.42578125" bestFit="1" customWidth="1"/>
    <col min="13583" max="13583" width="9" bestFit="1" customWidth="1"/>
    <col min="13584" max="13584" width="9.85546875" bestFit="1" customWidth="1"/>
    <col min="13585" max="13585" width="8.42578125" bestFit="1" customWidth="1"/>
    <col min="13586" max="13586" width="21.85546875" bestFit="1" customWidth="1"/>
    <col min="13587" max="13587" width="39.28515625" customWidth="1"/>
    <col min="13588" max="13588" width="53.85546875" customWidth="1"/>
    <col min="13589" max="13591" width="40" customWidth="1"/>
    <col min="13826" max="13826" width="47" customWidth="1"/>
    <col min="13827" max="13827" width="12.42578125" customWidth="1"/>
    <col min="13828" max="13828" width="10.5703125" customWidth="1"/>
    <col min="13829" max="13829" width="12.42578125" bestFit="1" customWidth="1"/>
    <col min="13830" max="13830" width="7.85546875" bestFit="1" customWidth="1"/>
    <col min="13831" max="13831" width="8.28515625" bestFit="1" customWidth="1"/>
    <col min="13832" max="13832" width="12.42578125" bestFit="1" customWidth="1"/>
    <col min="13833" max="13833" width="7.85546875" bestFit="1" customWidth="1"/>
    <col min="13834" max="13834" width="8.28515625" bestFit="1" customWidth="1"/>
    <col min="13835" max="13835" width="12.42578125" bestFit="1" customWidth="1"/>
    <col min="13836" max="13836" width="7.85546875" bestFit="1" customWidth="1"/>
    <col min="13837" max="13837" width="8.28515625" bestFit="1" customWidth="1"/>
    <col min="13838" max="13838" width="13.42578125" bestFit="1" customWidth="1"/>
    <col min="13839" max="13839" width="9" bestFit="1" customWidth="1"/>
    <col min="13840" max="13840" width="9.85546875" bestFit="1" customWidth="1"/>
    <col min="13841" max="13841" width="8.42578125" bestFit="1" customWidth="1"/>
    <col min="13842" max="13842" width="21.85546875" bestFit="1" customWidth="1"/>
    <col min="13843" max="13843" width="39.28515625" customWidth="1"/>
    <col min="13844" max="13844" width="53.85546875" customWidth="1"/>
    <col min="13845" max="13847" width="40" customWidth="1"/>
    <col min="14082" max="14082" width="47" customWidth="1"/>
    <col min="14083" max="14083" width="12.42578125" customWidth="1"/>
    <col min="14084" max="14084" width="10.5703125" customWidth="1"/>
    <col min="14085" max="14085" width="12.42578125" bestFit="1" customWidth="1"/>
    <col min="14086" max="14086" width="7.85546875" bestFit="1" customWidth="1"/>
    <col min="14087" max="14087" width="8.28515625" bestFit="1" customWidth="1"/>
    <col min="14088" max="14088" width="12.42578125" bestFit="1" customWidth="1"/>
    <col min="14089" max="14089" width="7.85546875" bestFit="1" customWidth="1"/>
    <col min="14090" max="14090" width="8.28515625" bestFit="1" customWidth="1"/>
    <col min="14091" max="14091" width="12.42578125" bestFit="1" customWidth="1"/>
    <col min="14092" max="14092" width="7.85546875" bestFit="1" customWidth="1"/>
    <col min="14093" max="14093" width="8.28515625" bestFit="1" customWidth="1"/>
    <col min="14094" max="14094" width="13.42578125" bestFit="1" customWidth="1"/>
    <col min="14095" max="14095" width="9" bestFit="1" customWidth="1"/>
    <col min="14096" max="14096" width="9.85546875" bestFit="1" customWidth="1"/>
    <col min="14097" max="14097" width="8.42578125" bestFit="1" customWidth="1"/>
    <col min="14098" max="14098" width="21.85546875" bestFit="1" customWidth="1"/>
    <col min="14099" max="14099" width="39.28515625" customWidth="1"/>
    <col min="14100" max="14100" width="53.85546875" customWidth="1"/>
    <col min="14101" max="14103" width="40" customWidth="1"/>
    <col min="14338" max="14338" width="47" customWidth="1"/>
    <col min="14339" max="14339" width="12.42578125" customWidth="1"/>
    <col min="14340" max="14340" width="10.5703125" customWidth="1"/>
    <col min="14341" max="14341" width="12.42578125" bestFit="1" customWidth="1"/>
    <col min="14342" max="14342" width="7.85546875" bestFit="1" customWidth="1"/>
    <col min="14343" max="14343" width="8.28515625" bestFit="1" customWidth="1"/>
    <col min="14344" max="14344" width="12.42578125" bestFit="1" customWidth="1"/>
    <col min="14345" max="14345" width="7.85546875" bestFit="1" customWidth="1"/>
    <col min="14346" max="14346" width="8.28515625" bestFit="1" customWidth="1"/>
    <col min="14347" max="14347" width="12.42578125" bestFit="1" customWidth="1"/>
    <col min="14348" max="14348" width="7.85546875" bestFit="1" customWidth="1"/>
    <col min="14349" max="14349" width="8.28515625" bestFit="1" customWidth="1"/>
    <col min="14350" max="14350" width="13.42578125" bestFit="1" customWidth="1"/>
    <col min="14351" max="14351" width="9" bestFit="1" customWidth="1"/>
    <col min="14352" max="14352" width="9.85546875" bestFit="1" customWidth="1"/>
    <col min="14353" max="14353" width="8.42578125" bestFit="1" customWidth="1"/>
    <col min="14354" max="14354" width="21.85546875" bestFit="1" customWidth="1"/>
    <col min="14355" max="14355" width="39.28515625" customWidth="1"/>
    <col min="14356" max="14356" width="53.85546875" customWidth="1"/>
    <col min="14357" max="14359" width="40" customWidth="1"/>
    <col min="14594" max="14594" width="47" customWidth="1"/>
    <col min="14595" max="14595" width="12.42578125" customWidth="1"/>
    <col min="14596" max="14596" width="10.5703125" customWidth="1"/>
    <col min="14597" max="14597" width="12.42578125" bestFit="1" customWidth="1"/>
    <col min="14598" max="14598" width="7.85546875" bestFit="1" customWidth="1"/>
    <col min="14599" max="14599" width="8.28515625" bestFit="1" customWidth="1"/>
    <col min="14600" max="14600" width="12.42578125" bestFit="1" customWidth="1"/>
    <col min="14601" max="14601" width="7.85546875" bestFit="1" customWidth="1"/>
    <col min="14602" max="14602" width="8.28515625" bestFit="1" customWidth="1"/>
    <col min="14603" max="14603" width="12.42578125" bestFit="1" customWidth="1"/>
    <col min="14604" max="14604" width="7.85546875" bestFit="1" customWidth="1"/>
    <col min="14605" max="14605" width="8.28515625" bestFit="1" customWidth="1"/>
    <col min="14606" max="14606" width="13.42578125" bestFit="1" customWidth="1"/>
    <col min="14607" max="14607" width="9" bestFit="1" customWidth="1"/>
    <col min="14608" max="14608" width="9.85546875" bestFit="1" customWidth="1"/>
    <col min="14609" max="14609" width="8.42578125" bestFit="1" customWidth="1"/>
    <col min="14610" max="14610" width="21.85546875" bestFit="1" customWidth="1"/>
    <col min="14611" max="14611" width="39.28515625" customWidth="1"/>
    <col min="14612" max="14612" width="53.85546875" customWidth="1"/>
    <col min="14613" max="14615" width="40" customWidth="1"/>
    <col min="14850" max="14850" width="47" customWidth="1"/>
    <col min="14851" max="14851" width="12.42578125" customWidth="1"/>
    <col min="14852" max="14852" width="10.5703125" customWidth="1"/>
    <col min="14853" max="14853" width="12.42578125" bestFit="1" customWidth="1"/>
    <col min="14854" max="14854" width="7.85546875" bestFit="1" customWidth="1"/>
    <col min="14855" max="14855" width="8.28515625" bestFit="1" customWidth="1"/>
    <col min="14856" max="14856" width="12.42578125" bestFit="1" customWidth="1"/>
    <col min="14857" max="14857" width="7.85546875" bestFit="1" customWidth="1"/>
    <col min="14858" max="14858" width="8.28515625" bestFit="1" customWidth="1"/>
    <col min="14859" max="14859" width="12.42578125" bestFit="1" customWidth="1"/>
    <col min="14860" max="14860" width="7.85546875" bestFit="1" customWidth="1"/>
    <col min="14861" max="14861" width="8.28515625" bestFit="1" customWidth="1"/>
    <col min="14862" max="14862" width="13.42578125" bestFit="1" customWidth="1"/>
    <col min="14863" max="14863" width="9" bestFit="1" customWidth="1"/>
    <col min="14864" max="14864" width="9.85546875" bestFit="1" customWidth="1"/>
    <col min="14865" max="14865" width="8.42578125" bestFit="1" customWidth="1"/>
    <col min="14866" max="14866" width="21.85546875" bestFit="1" customWidth="1"/>
    <col min="14867" max="14867" width="39.28515625" customWidth="1"/>
    <col min="14868" max="14868" width="53.85546875" customWidth="1"/>
    <col min="14869" max="14871" width="40" customWidth="1"/>
    <col min="15106" max="15106" width="47" customWidth="1"/>
    <col min="15107" max="15107" width="12.42578125" customWidth="1"/>
    <col min="15108" max="15108" width="10.5703125" customWidth="1"/>
    <col min="15109" max="15109" width="12.42578125" bestFit="1" customWidth="1"/>
    <col min="15110" max="15110" width="7.85546875" bestFit="1" customWidth="1"/>
    <col min="15111" max="15111" width="8.28515625" bestFit="1" customWidth="1"/>
    <col min="15112" max="15112" width="12.42578125" bestFit="1" customWidth="1"/>
    <col min="15113" max="15113" width="7.85546875" bestFit="1" customWidth="1"/>
    <col min="15114" max="15114" width="8.28515625" bestFit="1" customWidth="1"/>
    <col min="15115" max="15115" width="12.42578125" bestFit="1" customWidth="1"/>
    <col min="15116" max="15116" width="7.85546875" bestFit="1" customWidth="1"/>
    <col min="15117" max="15117" width="8.28515625" bestFit="1" customWidth="1"/>
    <col min="15118" max="15118" width="13.42578125" bestFit="1" customWidth="1"/>
    <col min="15119" max="15119" width="9" bestFit="1" customWidth="1"/>
    <col min="15120" max="15120" width="9.85546875" bestFit="1" customWidth="1"/>
    <col min="15121" max="15121" width="8.42578125" bestFit="1" customWidth="1"/>
    <col min="15122" max="15122" width="21.85546875" bestFit="1" customWidth="1"/>
    <col min="15123" max="15123" width="39.28515625" customWidth="1"/>
    <col min="15124" max="15124" width="53.85546875" customWidth="1"/>
    <col min="15125" max="15127" width="40" customWidth="1"/>
    <col min="15362" max="15362" width="47" customWidth="1"/>
    <col min="15363" max="15363" width="12.42578125" customWidth="1"/>
    <col min="15364" max="15364" width="10.5703125" customWidth="1"/>
    <col min="15365" max="15365" width="12.42578125" bestFit="1" customWidth="1"/>
    <col min="15366" max="15366" width="7.85546875" bestFit="1" customWidth="1"/>
    <col min="15367" max="15367" width="8.28515625" bestFit="1" customWidth="1"/>
    <col min="15368" max="15368" width="12.42578125" bestFit="1" customWidth="1"/>
    <col min="15369" max="15369" width="7.85546875" bestFit="1" customWidth="1"/>
    <col min="15370" max="15370" width="8.28515625" bestFit="1" customWidth="1"/>
    <col min="15371" max="15371" width="12.42578125" bestFit="1" customWidth="1"/>
    <col min="15372" max="15372" width="7.85546875" bestFit="1" customWidth="1"/>
    <col min="15373" max="15373" width="8.28515625" bestFit="1" customWidth="1"/>
    <col min="15374" max="15374" width="13.42578125" bestFit="1" customWidth="1"/>
    <col min="15375" max="15375" width="9" bestFit="1" customWidth="1"/>
    <col min="15376" max="15376" width="9.85546875" bestFit="1" customWidth="1"/>
    <col min="15377" max="15377" width="8.42578125" bestFit="1" customWidth="1"/>
    <col min="15378" max="15378" width="21.85546875" bestFit="1" customWidth="1"/>
    <col min="15379" max="15379" width="39.28515625" customWidth="1"/>
    <col min="15380" max="15380" width="53.85546875" customWidth="1"/>
    <col min="15381" max="15383" width="40" customWidth="1"/>
    <col min="15618" max="15618" width="47" customWidth="1"/>
    <col min="15619" max="15619" width="12.42578125" customWidth="1"/>
    <col min="15620" max="15620" width="10.5703125" customWidth="1"/>
    <col min="15621" max="15621" width="12.42578125" bestFit="1" customWidth="1"/>
    <col min="15622" max="15622" width="7.85546875" bestFit="1" customWidth="1"/>
    <col min="15623" max="15623" width="8.28515625" bestFit="1" customWidth="1"/>
    <col min="15624" max="15624" width="12.42578125" bestFit="1" customWidth="1"/>
    <col min="15625" max="15625" width="7.85546875" bestFit="1" customWidth="1"/>
    <col min="15626" max="15626" width="8.28515625" bestFit="1" customWidth="1"/>
    <col min="15627" max="15627" width="12.42578125" bestFit="1" customWidth="1"/>
    <col min="15628" max="15628" width="7.85546875" bestFit="1" customWidth="1"/>
    <col min="15629" max="15629" width="8.28515625" bestFit="1" customWidth="1"/>
    <col min="15630" max="15630" width="13.42578125" bestFit="1" customWidth="1"/>
    <col min="15631" max="15631" width="9" bestFit="1" customWidth="1"/>
    <col min="15632" max="15632" width="9.85546875" bestFit="1" customWidth="1"/>
    <col min="15633" max="15633" width="8.42578125" bestFit="1" customWidth="1"/>
    <col min="15634" max="15634" width="21.85546875" bestFit="1" customWidth="1"/>
    <col min="15635" max="15635" width="39.28515625" customWidth="1"/>
    <col min="15636" max="15636" width="53.85546875" customWidth="1"/>
    <col min="15637" max="15639" width="40" customWidth="1"/>
    <col min="15874" max="15874" width="47" customWidth="1"/>
    <col min="15875" max="15875" width="12.42578125" customWidth="1"/>
    <col min="15876" max="15876" width="10.5703125" customWidth="1"/>
    <col min="15877" max="15877" width="12.42578125" bestFit="1" customWidth="1"/>
    <col min="15878" max="15878" width="7.85546875" bestFit="1" customWidth="1"/>
    <col min="15879" max="15879" width="8.28515625" bestFit="1" customWidth="1"/>
    <col min="15880" max="15880" width="12.42578125" bestFit="1" customWidth="1"/>
    <col min="15881" max="15881" width="7.85546875" bestFit="1" customWidth="1"/>
    <col min="15882" max="15882" width="8.28515625" bestFit="1" customWidth="1"/>
    <col min="15883" max="15883" width="12.42578125" bestFit="1" customWidth="1"/>
    <col min="15884" max="15884" width="7.85546875" bestFit="1" customWidth="1"/>
    <col min="15885" max="15885" width="8.28515625" bestFit="1" customWidth="1"/>
    <col min="15886" max="15886" width="13.42578125" bestFit="1" customWidth="1"/>
    <col min="15887" max="15887" width="9" bestFit="1" customWidth="1"/>
    <col min="15888" max="15888" width="9.85546875" bestFit="1" customWidth="1"/>
    <col min="15889" max="15889" width="8.42578125" bestFit="1" customWidth="1"/>
    <col min="15890" max="15890" width="21.85546875" bestFit="1" customWidth="1"/>
    <col min="15891" max="15891" width="39.28515625" customWidth="1"/>
    <col min="15892" max="15892" width="53.85546875" customWidth="1"/>
    <col min="15893" max="15895" width="40" customWidth="1"/>
    <col min="16130" max="16130" width="47" customWidth="1"/>
    <col min="16131" max="16131" width="12.42578125" customWidth="1"/>
    <col min="16132" max="16132" width="10.5703125" customWidth="1"/>
    <col min="16133" max="16133" width="12.42578125" bestFit="1" customWidth="1"/>
    <col min="16134" max="16134" width="7.85546875" bestFit="1" customWidth="1"/>
    <col min="16135" max="16135" width="8.28515625" bestFit="1" customWidth="1"/>
    <col min="16136" max="16136" width="12.42578125" bestFit="1" customWidth="1"/>
    <col min="16137" max="16137" width="7.85546875" bestFit="1" customWidth="1"/>
    <col min="16138" max="16138" width="8.28515625" bestFit="1" customWidth="1"/>
    <col min="16139" max="16139" width="12.42578125" bestFit="1" customWidth="1"/>
    <col min="16140" max="16140" width="7.85546875" bestFit="1" customWidth="1"/>
    <col min="16141" max="16141" width="8.28515625" bestFit="1" customWidth="1"/>
    <col min="16142" max="16142" width="13.42578125" bestFit="1" customWidth="1"/>
    <col min="16143" max="16143" width="9" bestFit="1" customWidth="1"/>
    <col min="16144" max="16144" width="9.85546875" bestFit="1" customWidth="1"/>
    <col min="16145" max="16145" width="8.42578125" bestFit="1" customWidth="1"/>
    <col min="16146" max="16146" width="21.85546875" bestFit="1" customWidth="1"/>
    <col min="16147" max="16147" width="39.28515625" customWidth="1"/>
    <col min="16148" max="16148" width="53.85546875" customWidth="1"/>
    <col min="16149" max="16151" width="40" customWidth="1"/>
  </cols>
  <sheetData>
    <row r="1" spans="1:23" ht="15.75" thickBot="1" x14ac:dyDescent="0.3">
      <c r="B1" s="9" t="s">
        <v>127</v>
      </c>
    </row>
    <row r="2" spans="1:23" ht="15.75" thickBot="1" x14ac:dyDescent="0.3">
      <c r="E2" s="154"/>
      <c r="F2" s="154"/>
      <c r="G2" s="154"/>
      <c r="H2" s="154"/>
      <c r="I2" s="154"/>
      <c r="J2" s="154"/>
      <c r="K2" s="154"/>
      <c r="L2" s="154"/>
      <c r="M2" s="154"/>
      <c r="N2" s="154"/>
      <c r="O2" s="154"/>
      <c r="P2" s="154"/>
      <c r="Q2" s="154"/>
      <c r="R2" s="24"/>
      <c r="S2" s="78"/>
      <c r="T2" s="78"/>
      <c r="U2" s="78"/>
      <c r="V2" s="78"/>
      <c r="W2" s="78"/>
    </row>
    <row r="3" spans="1:23" ht="44.25" customHeight="1" x14ac:dyDescent="0.25">
      <c r="A3" s="24" t="s">
        <v>107</v>
      </c>
      <c r="B3" s="23" t="s">
        <v>106</v>
      </c>
      <c r="C3" s="77" t="s">
        <v>105</v>
      </c>
      <c r="D3" s="76" t="s">
        <v>104</v>
      </c>
      <c r="E3" s="155" t="s">
        <v>103</v>
      </c>
      <c r="F3" s="156"/>
      <c r="G3" s="157"/>
      <c r="H3" s="158" t="s">
        <v>102</v>
      </c>
      <c r="I3" s="159"/>
      <c r="J3" s="160"/>
      <c r="K3" s="161" t="s">
        <v>101</v>
      </c>
      <c r="L3" s="162"/>
      <c r="M3" s="162"/>
      <c r="N3" s="163" t="s">
        <v>100</v>
      </c>
      <c r="O3" s="159"/>
      <c r="P3" s="164"/>
      <c r="Q3" s="75" t="s">
        <v>29</v>
      </c>
      <c r="R3" s="90" t="s">
        <v>99</v>
      </c>
      <c r="S3" s="73" t="s">
        <v>98</v>
      </c>
      <c r="T3" s="73" t="s">
        <v>113</v>
      </c>
      <c r="U3" s="73" t="s">
        <v>112</v>
      </c>
      <c r="V3" s="73" t="s">
        <v>111</v>
      </c>
      <c r="W3" s="73" t="s">
        <v>110</v>
      </c>
    </row>
    <row r="4" spans="1:23" ht="15.75" thickBot="1" x14ac:dyDescent="0.3">
      <c r="A4" s="24"/>
      <c r="B4" s="23"/>
      <c r="C4" s="72" t="s">
        <v>96</v>
      </c>
      <c r="D4" s="72"/>
      <c r="E4" s="72" t="s">
        <v>95</v>
      </c>
      <c r="F4" s="24" t="s">
        <v>94</v>
      </c>
      <c r="G4" s="24" t="s">
        <v>93</v>
      </c>
      <c r="H4" s="72" t="s">
        <v>95</v>
      </c>
      <c r="I4" s="24" t="s">
        <v>94</v>
      </c>
      <c r="J4" s="24" t="s">
        <v>93</v>
      </c>
      <c r="K4" s="72" t="s">
        <v>95</v>
      </c>
      <c r="L4" s="24" t="s">
        <v>94</v>
      </c>
      <c r="M4" s="24" t="s">
        <v>93</v>
      </c>
      <c r="N4" s="72" t="s">
        <v>95</v>
      </c>
      <c r="O4" s="24" t="s">
        <v>94</v>
      </c>
      <c r="P4" s="24" t="s">
        <v>93</v>
      </c>
      <c r="Q4" s="71"/>
      <c r="R4" s="90" t="s">
        <v>92</v>
      </c>
      <c r="S4" s="69"/>
      <c r="T4" s="69"/>
      <c r="U4" s="69"/>
      <c r="V4" s="69"/>
      <c r="W4" s="69"/>
    </row>
    <row r="5" spans="1:23" ht="105" x14ac:dyDescent="0.25">
      <c r="A5" s="101">
        <v>1</v>
      </c>
      <c r="B5" s="100" t="s">
        <v>91</v>
      </c>
      <c r="C5" s="99"/>
      <c r="D5" s="99"/>
      <c r="E5" s="124">
        <f t="shared" ref="E5:P5" si="0">SUM(E6:E12)</f>
        <v>0.26589285714285715</v>
      </c>
      <c r="F5" s="124">
        <f t="shared" si="0"/>
        <v>0.26589285714285715</v>
      </c>
      <c r="G5" s="124">
        <f t="shared" si="0"/>
        <v>0.26589285714285715</v>
      </c>
      <c r="H5" s="124">
        <f t="shared" si="0"/>
        <v>0.17142857142857143</v>
      </c>
      <c r="I5" s="124">
        <f t="shared" si="0"/>
        <v>0.17142857142857143</v>
      </c>
      <c r="J5" s="124">
        <f t="shared" si="0"/>
        <v>0.17142857142857143</v>
      </c>
      <c r="K5" s="124">
        <f t="shared" si="0"/>
        <v>0.3973214285714286</v>
      </c>
      <c r="L5" s="124">
        <f t="shared" si="0"/>
        <v>0.3973214285714286</v>
      </c>
      <c r="M5" s="124">
        <f t="shared" si="0"/>
        <v>0.3973214285714286</v>
      </c>
      <c r="N5" s="124">
        <f t="shared" si="0"/>
        <v>0.4285714285714286</v>
      </c>
      <c r="O5" s="124">
        <f t="shared" si="0"/>
        <v>0.4285714285714286</v>
      </c>
      <c r="P5" s="124">
        <f t="shared" si="0"/>
        <v>0.4285714285714286</v>
      </c>
      <c r="Q5" s="95">
        <f>G5+J5+M5+P5</f>
        <v>1.2632142857142858</v>
      </c>
      <c r="R5" s="94">
        <f>Q5*55000</f>
        <v>69476.785714285725</v>
      </c>
      <c r="S5" s="123"/>
      <c r="T5" s="15" t="s">
        <v>109</v>
      </c>
      <c r="U5" s="65" t="s">
        <v>88</v>
      </c>
      <c r="V5" s="65" t="s">
        <v>88</v>
      </c>
      <c r="W5" s="67" t="s">
        <v>88</v>
      </c>
    </row>
    <row r="6" spans="1:23" ht="111" customHeight="1" x14ac:dyDescent="0.25">
      <c r="A6" s="101"/>
      <c r="B6" s="122" t="s">
        <v>87</v>
      </c>
      <c r="C6" s="144">
        <f>+[1]OI_2013!P16</f>
        <v>660</v>
      </c>
      <c r="D6" s="119"/>
      <c r="E6" s="116">
        <f>C6*10/420/220</f>
        <v>7.1428571428571425E-2</v>
      </c>
      <c r="F6" s="115">
        <f>C6*10/420/220</f>
        <v>7.1428571428571425E-2</v>
      </c>
      <c r="G6" s="96">
        <f>AVERAGE(E6:F6)</f>
        <v>7.1428571428571425E-2</v>
      </c>
      <c r="H6" s="116">
        <f>C6*30*0.8/420/220</f>
        <v>0.17142857142857143</v>
      </c>
      <c r="I6" s="115">
        <f>C6*30*0.8/420/220</f>
        <v>0.17142857142857143</v>
      </c>
      <c r="J6" s="115">
        <f>C6*30*0.8/420/220</f>
        <v>0.17142857142857143</v>
      </c>
      <c r="K6" s="116">
        <v>0.25</v>
      </c>
      <c r="L6" s="116">
        <v>0.25</v>
      </c>
      <c r="M6" s="96">
        <f>AVERAGE(K6:L6)</f>
        <v>0.25</v>
      </c>
      <c r="N6" s="116">
        <f>C6*2*30/420/220</f>
        <v>0.4285714285714286</v>
      </c>
      <c r="O6" s="116">
        <f>C6*2*30/420/220</f>
        <v>0.4285714285714286</v>
      </c>
      <c r="P6" s="96">
        <f>AVERAGE(N6:O6)</f>
        <v>0.4285714285714286</v>
      </c>
      <c r="Q6" s="95"/>
      <c r="R6" s="94"/>
      <c r="S6" s="51" t="s">
        <v>126</v>
      </c>
      <c r="T6" s="15" t="s">
        <v>125</v>
      </c>
      <c r="U6" s="14" t="s">
        <v>84</v>
      </c>
      <c r="V6" s="65" t="s">
        <v>83</v>
      </c>
      <c r="W6" s="67" t="s">
        <v>82</v>
      </c>
    </row>
    <row r="7" spans="1:23" ht="105" x14ac:dyDescent="0.25">
      <c r="A7" s="101"/>
      <c r="B7" s="122" t="s">
        <v>81</v>
      </c>
      <c r="C7" s="102">
        <v>3400</v>
      </c>
      <c r="D7" s="119"/>
      <c r="E7" s="118">
        <v>0</v>
      </c>
      <c r="F7" s="115">
        <v>0</v>
      </c>
      <c r="G7" s="96">
        <v>0</v>
      </c>
      <c r="H7" s="116">
        <v>0</v>
      </c>
      <c r="I7" s="115">
        <v>0</v>
      </c>
      <c r="J7" s="115">
        <v>0</v>
      </c>
      <c r="K7" s="116">
        <v>0</v>
      </c>
      <c r="L7" s="117">
        <v>0</v>
      </c>
      <c r="M7" s="117">
        <v>0</v>
      </c>
      <c r="N7" s="116">
        <v>0</v>
      </c>
      <c r="O7" s="115">
        <v>0</v>
      </c>
      <c r="P7" s="115">
        <v>0</v>
      </c>
      <c r="Q7" s="95"/>
      <c r="R7" s="94"/>
      <c r="S7" s="51" t="s">
        <v>124</v>
      </c>
      <c r="T7" s="15" t="s">
        <v>30</v>
      </c>
      <c r="U7" s="14" t="s">
        <v>30</v>
      </c>
      <c r="V7" s="14" t="s">
        <v>80</v>
      </c>
      <c r="W7" s="67" t="s">
        <v>79</v>
      </c>
    </row>
    <row r="8" spans="1:23" ht="30" x14ac:dyDescent="0.25">
      <c r="A8" s="101"/>
      <c r="B8" s="122" t="s">
        <v>78</v>
      </c>
      <c r="C8" s="102">
        <v>3400</v>
      </c>
      <c r="D8" s="119"/>
      <c r="E8" s="118">
        <v>0</v>
      </c>
      <c r="F8" s="115">
        <v>0</v>
      </c>
      <c r="G8" s="96">
        <v>0</v>
      </c>
      <c r="H8" s="116">
        <v>0</v>
      </c>
      <c r="I8" s="115">
        <v>0</v>
      </c>
      <c r="J8" s="115">
        <v>0</v>
      </c>
      <c r="K8" s="116">
        <v>0</v>
      </c>
      <c r="L8" s="117">
        <v>0</v>
      </c>
      <c r="M8" s="117">
        <v>0</v>
      </c>
      <c r="N8" s="116">
        <v>0</v>
      </c>
      <c r="O8" s="115">
        <v>0</v>
      </c>
      <c r="P8" s="115">
        <v>0</v>
      </c>
      <c r="Q8" s="95"/>
      <c r="R8" s="94"/>
      <c r="S8" s="51" t="s">
        <v>123</v>
      </c>
      <c r="T8" s="15" t="s">
        <v>30</v>
      </c>
      <c r="U8" s="14" t="s">
        <v>30</v>
      </c>
      <c r="V8" s="65" t="s">
        <v>30</v>
      </c>
      <c r="W8" s="13" t="s">
        <v>30</v>
      </c>
    </row>
    <row r="9" spans="1:23" ht="93.75" customHeight="1" x14ac:dyDescent="0.25">
      <c r="A9" s="101"/>
      <c r="B9" s="122" t="s">
        <v>76</v>
      </c>
      <c r="C9" s="102">
        <v>3400</v>
      </c>
      <c r="D9" s="119"/>
      <c r="E9" s="118">
        <v>0</v>
      </c>
      <c r="F9" s="115">
        <v>0</v>
      </c>
      <c r="G9" s="96">
        <v>0</v>
      </c>
      <c r="H9" s="116">
        <v>0</v>
      </c>
      <c r="I9" s="115">
        <v>0</v>
      </c>
      <c r="J9" s="115">
        <v>0</v>
      </c>
      <c r="K9" s="116">
        <v>0</v>
      </c>
      <c r="L9" s="117">
        <v>0</v>
      </c>
      <c r="M9" s="117">
        <v>0</v>
      </c>
      <c r="N9" s="116">
        <v>0</v>
      </c>
      <c r="O9" s="115">
        <v>0</v>
      </c>
      <c r="P9" s="115">
        <v>0</v>
      </c>
      <c r="Q9" s="95"/>
      <c r="R9" s="94"/>
      <c r="S9" s="51" t="s">
        <v>122</v>
      </c>
      <c r="T9" s="15" t="s">
        <v>75</v>
      </c>
      <c r="U9" s="66" t="s">
        <v>30</v>
      </c>
      <c r="V9" s="65" t="s">
        <v>30</v>
      </c>
      <c r="W9" s="13" t="s">
        <v>30</v>
      </c>
    </row>
    <row r="10" spans="1:23" x14ac:dyDescent="0.25">
      <c r="A10" s="101"/>
      <c r="B10" s="122" t="s">
        <v>74</v>
      </c>
      <c r="C10" s="144">
        <f>+C6</f>
        <v>660</v>
      </c>
      <c r="D10" s="119"/>
      <c r="E10" s="118">
        <v>0</v>
      </c>
      <c r="F10" s="115">
        <v>0</v>
      </c>
      <c r="G10" s="96">
        <v>0</v>
      </c>
      <c r="H10" s="116">
        <v>0</v>
      </c>
      <c r="I10" s="115">
        <v>0</v>
      </c>
      <c r="J10" s="115">
        <v>0</v>
      </c>
      <c r="K10" s="116">
        <v>0</v>
      </c>
      <c r="L10" s="117">
        <v>0</v>
      </c>
      <c r="M10" s="117">
        <v>0</v>
      </c>
      <c r="N10" s="116">
        <v>0</v>
      </c>
      <c r="O10" s="115">
        <v>0</v>
      </c>
      <c r="P10" s="115">
        <v>0</v>
      </c>
      <c r="Q10" s="95"/>
      <c r="R10" s="94"/>
      <c r="S10" s="51" t="s">
        <v>122</v>
      </c>
      <c r="T10" s="15" t="s">
        <v>30</v>
      </c>
      <c r="U10" s="14" t="s">
        <v>30</v>
      </c>
      <c r="V10" s="14" t="s">
        <v>30</v>
      </c>
      <c r="W10" s="13" t="s">
        <v>30</v>
      </c>
    </row>
    <row r="11" spans="1:23" ht="30" x14ac:dyDescent="0.25">
      <c r="A11" s="101"/>
      <c r="B11" s="121" t="s">
        <v>71</v>
      </c>
      <c r="C11" s="99">
        <v>21000</v>
      </c>
      <c r="D11" s="119"/>
      <c r="E11" s="118">
        <v>0</v>
      </c>
      <c r="F11" s="115">
        <v>0</v>
      </c>
      <c r="G11" s="96">
        <v>0</v>
      </c>
      <c r="H11" s="116">
        <v>0</v>
      </c>
      <c r="I11" s="116">
        <v>0</v>
      </c>
      <c r="J11" s="96">
        <f>AVERAGE(H11:I11)</f>
        <v>0</v>
      </c>
      <c r="K11" s="116">
        <v>0</v>
      </c>
      <c r="L11" s="117">
        <v>0</v>
      </c>
      <c r="M11" s="117">
        <v>0</v>
      </c>
      <c r="N11" s="116">
        <v>0</v>
      </c>
      <c r="O11" s="115">
        <v>0</v>
      </c>
      <c r="P11" s="115">
        <v>0</v>
      </c>
      <c r="Q11" s="95"/>
      <c r="R11" s="94"/>
      <c r="S11" s="51" t="s">
        <v>70</v>
      </c>
      <c r="T11" s="15" t="s">
        <v>69</v>
      </c>
      <c r="U11" s="14" t="s">
        <v>121</v>
      </c>
      <c r="V11" s="14" t="s">
        <v>69</v>
      </c>
      <c r="W11" s="13" t="s">
        <v>30</v>
      </c>
    </row>
    <row r="12" spans="1:23" ht="150" x14ac:dyDescent="0.25">
      <c r="A12" s="101"/>
      <c r="B12" s="121" t="s">
        <v>68</v>
      </c>
      <c r="C12" s="120">
        <f>+'[1]MS Reb tables'!D7</f>
        <v>3630</v>
      </c>
      <c r="D12" s="119"/>
      <c r="E12" s="118">
        <f>C12*0.33*15/420/220</f>
        <v>0.19446428571428573</v>
      </c>
      <c r="F12" s="118">
        <f>C12*0.33*15/420/220</f>
        <v>0.19446428571428573</v>
      </c>
      <c r="G12" s="96">
        <f>AVERAGE(E12:F12)</f>
        <v>0.19446428571428573</v>
      </c>
      <c r="H12" s="116">
        <v>0</v>
      </c>
      <c r="I12" s="117">
        <v>0</v>
      </c>
      <c r="J12" s="96">
        <v>0</v>
      </c>
      <c r="K12" s="117">
        <f>C12*15*0.25/420/220</f>
        <v>0.14732142857142858</v>
      </c>
      <c r="L12" s="117">
        <f>C12*15*0.25/420/220</f>
        <v>0.14732142857142858</v>
      </c>
      <c r="M12" s="96">
        <f>AVERAGE(K12:L12)</f>
        <v>0.14732142857142858</v>
      </c>
      <c r="N12" s="116">
        <v>0</v>
      </c>
      <c r="O12" s="115">
        <v>0</v>
      </c>
      <c r="P12" s="115">
        <v>0</v>
      </c>
      <c r="Q12" s="95"/>
      <c r="R12" s="94"/>
      <c r="S12" s="16"/>
      <c r="T12" s="15" t="s">
        <v>67</v>
      </c>
      <c r="U12" s="14" t="s">
        <v>30</v>
      </c>
      <c r="V12" s="14" t="s">
        <v>66</v>
      </c>
      <c r="W12" s="13" t="s">
        <v>30</v>
      </c>
    </row>
    <row r="13" spans="1:23" ht="75" x14ac:dyDescent="0.25">
      <c r="A13" s="104">
        <v>2</v>
      </c>
      <c r="B13" s="114" t="s">
        <v>65</v>
      </c>
      <c r="C13" s="144">
        <f>+[1]OI_2013!P8</f>
        <v>415</v>
      </c>
      <c r="D13" s="113"/>
      <c r="E13" s="112">
        <f t="shared" ref="E13:M13" si="1">SUM(E14:E16)</f>
        <v>0.19874188311688312</v>
      </c>
      <c r="F13" s="110">
        <f t="shared" si="1"/>
        <v>0.26835768398268395</v>
      </c>
      <c r="G13" s="110">
        <f t="shared" si="1"/>
        <v>0.23354978354978356</v>
      </c>
      <c r="H13" s="111">
        <f t="shared" si="1"/>
        <v>0.408010349025974</v>
      </c>
      <c r="I13" s="110">
        <f t="shared" si="1"/>
        <v>0.408010349025974</v>
      </c>
      <c r="J13" s="110">
        <f t="shared" si="1"/>
        <v>0.408010349025974</v>
      </c>
      <c r="K13" s="110">
        <f t="shared" si="1"/>
        <v>0.61348924512987024</v>
      </c>
      <c r="L13" s="110">
        <f t="shared" si="1"/>
        <v>0.61348924512987024</v>
      </c>
      <c r="M13" s="110">
        <f t="shared" si="1"/>
        <v>0.61348924512987024</v>
      </c>
      <c r="N13" s="111">
        <v>0</v>
      </c>
      <c r="O13" s="110">
        <f>C13*2*15/420/220</f>
        <v>0.13474025974025974</v>
      </c>
      <c r="P13" s="110">
        <f>AVERAGE(N13:O13)</f>
        <v>6.7370129870129872E-2</v>
      </c>
      <c r="Q13" s="95">
        <f>G13+J13+M13+P13</f>
        <v>1.3224195075757577</v>
      </c>
      <c r="R13" s="94">
        <f>Q13*55000</f>
        <v>72733.072916666672</v>
      </c>
      <c r="S13" s="39" t="s">
        <v>120</v>
      </c>
      <c r="T13" s="15" t="s">
        <v>63</v>
      </c>
      <c r="U13" s="44"/>
      <c r="V13" s="44"/>
      <c r="W13" s="43"/>
    </row>
    <row r="14" spans="1:23" ht="105" x14ac:dyDescent="0.25">
      <c r="A14" s="104"/>
      <c r="B14" s="109" t="s">
        <v>62</v>
      </c>
      <c r="C14" s="102">
        <f>0.75*C13</f>
        <v>311.25</v>
      </c>
      <c r="D14" s="108">
        <f>[2]Volumes!F6</f>
        <v>6.8000000000000007</v>
      </c>
      <c r="E14" s="107">
        <f>C14*15/420/220</f>
        <v>5.05275974025974E-2</v>
      </c>
      <c r="F14" s="96">
        <f>C14*30/420/220</f>
        <v>0.1010551948051948</v>
      </c>
      <c r="G14" s="96">
        <f t="shared" ref="G14:G20" si="2">AVERAGE(E14:F14)</f>
        <v>7.5791396103896097E-2</v>
      </c>
      <c r="H14" s="97">
        <v>0</v>
      </c>
      <c r="I14" s="96">
        <v>0</v>
      </c>
      <c r="J14" s="96">
        <v>0</v>
      </c>
      <c r="K14" s="97">
        <f>C14*(D14-1)*15/420/220</f>
        <v>0.29306006493506498</v>
      </c>
      <c r="L14" s="97">
        <f>C14*(D14-1)*15/420/220</f>
        <v>0.29306006493506498</v>
      </c>
      <c r="M14" s="96">
        <f>AVERAGE(K14:L14)</f>
        <v>0.29306006493506498</v>
      </c>
      <c r="N14" s="97"/>
      <c r="O14" s="96"/>
      <c r="P14" s="96"/>
      <c r="Q14" s="105"/>
      <c r="R14" s="94"/>
      <c r="S14" s="39"/>
      <c r="T14" s="15" t="s">
        <v>61</v>
      </c>
      <c r="U14" s="14" t="s">
        <v>30</v>
      </c>
      <c r="V14" s="38" t="s">
        <v>60</v>
      </c>
      <c r="W14" s="30" t="s">
        <v>30</v>
      </c>
    </row>
    <row r="15" spans="1:23" ht="150" x14ac:dyDescent="0.25">
      <c r="A15" s="104"/>
      <c r="B15" s="109" t="s">
        <v>59</v>
      </c>
      <c r="C15" s="102">
        <f>0.15*C13</f>
        <v>62.25</v>
      </c>
      <c r="D15" s="108">
        <f>[2]Volumes!F11</f>
        <v>7.125</v>
      </c>
      <c r="E15" s="107">
        <f>C15*120/420/220</f>
        <v>8.0844155844155843E-2</v>
      </c>
      <c r="F15" s="96">
        <f>C15*15/420/220+E15</f>
        <v>9.0949675324675322E-2</v>
      </c>
      <c r="G15" s="96">
        <f t="shared" si="2"/>
        <v>8.589691558441559E-2</v>
      </c>
      <c r="H15" s="106">
        <f>$C$15*(D15*0.75)*60/420/220</f>
        <v>0.21600547889610389</v>
      </c>
      <c r="I15" s="96">
        <f>$C$15*(D15*0.75)*60/420/220</f>
        <v>0.21600547889610389</v>
      </c>
      <c r="J15" s="96">
        <f>AVERAGE(H15:I15)</f>
        <v>0.21600547889610389</v>
      </c>
      <c r="K15" s="97">
        <f>C15*(D15-1)*60*0.75/420/220</f>
        <v>0.18568892045454546</v>
      </c>
      <c r="L15" s="97">
        <f>C15*(D15-1)*60*0.75/420/220</f>
        <v>0.18568892045454546</v>
      </c>
      <c r="M15" s="96">
        <f>AVERAGE(K15:L15)</f>
        <v>0.18568892045454546</v>
      </c>
      <c r="N15" s="106"/>
      <c r="O15" s="96"/>
      <c r="P15" s="96"/>
      <c r="Q15" s="105"/>
      <c r="R15" s="94"/>
      <c r="S15" s="39" t="s">
        <v>119</v>
      </c>
      <c r="T15" s="15" t="s">
        <v>58</v>
      </c>
      <c r="U15" s="38" t="s">
        <v>57</v>
      </c>
      <c r="V15" s="38" t="s">
        <v>56</v>
      </c>
      <c r="W15" s="30" t="s">
        <v>30</v>
      </c>
    </row>
    <row r="16" spans="1:23" ht="135" x14ac:dyDescent="0.25">
      <c r="A16" s="104"/>
      <c r="B16" s="109" t="s">
        <v>55</v>
      </c>
      <c r="C16" s="144">
        <f>+C13-C14-C15</f>
        <v>41.5</v>
      </c>
      <c r="D16" s="108">
        <f>[2]Volumes!F16</f>
        <v>6.3333333333333339</v>
      </c>
      <c r="E16" s="107">
        <f>C16*(120+30)/420/220</f>
        <v>6.7370129870129872E-2</v>
      </c>
      <c r="F16" s="96">
        <f>(C16*20)/420/220+E16</f>
        <v>7.6352813852813853E-2</v>
      </c>
      <c r="G16" s="96">
        <f t="shared" si="2"/>
        <v>7.1861471861471862E-2</v>
      </c>
      <c r="H16" s="106">
        <f>$C$16*90*(D16*0.75)/420/220</f>
        <v>0.19200487012987014</v>
      </c>
      <c r="I16" s="106">
        <f>$C$16*90*(D16*0.75)/420/220</f>
        <v>0.19200487012987014</v>
      </c>
      <c r="J16" s="96">
        <f>AVERAGE(H16:I16)</f>
        <v>0.19200487012987014</v>
      </c>
      <c r="K16" s="97">
        <f>C16*(D16-1)*75*0.75/420/220</f>
        <v>0.1347402597402598</v>
      </c>
      <c r="L16" s="97">
        <f>C16*(D16-1)*75*0.75/420/220</f>
        <v>0.1347402597402598</v>
      </c>
      <c r="M16" s="96">
        <f>AVERAGE(K16:L16)</f>
        <v>0.1347402597402598</v>
      </c>
      <c r="N16" s="106"/>
      <c r="O16" s="106"/>
      <c r="P16" s="96"/>
      <c r="Q16" s="105"/>
      <c r="R16" s="94"/>
      <c r="S16" s="39" t="s">
        <v>118</v>
      </c>
      <c r="T16" s="15" t="s">
        <v>53</v>
      </c>
      <c r="U16" s="38" t="s">
        <v>52</v>
      </c>
      <c r="V16" s="38" t="s">
        <v>51</v>
      </c>
      <c r="W16" s="30" t="s">
        <v>30</v>
      </c>
    </row>
    <row r="17" spans="1:23" ht="166.5" customHeight="1" x14ac:dyDescent="0.25">
      <c r="A17" s="104">
        <v>3</v>
      </c>
      <c r="B17" s="103" t="s">
        <v>50</v>
      </c>
      <c r="C17" s="144">
        <f>+[1]OI_2013!P4</f>
        <v>775.4</v>
      </c>
      <c r="D17" s="102"/>
      <c r="E17" s="97">
        <f>$C$17*10/420/220</f>
        <v>8.3917748917748919E-2</v>
      </c>
      <c r="F17" s="96">
        <f>$C$17*45/420/220</f>
        <v>0.37762987012987009</v>
      </c>
      <c r="G17" s="96">
        <f t="shared" si="2"/>
        <v>0.23077380952380949</v>
      </c>
      <c r="H17" s="97">
        <f>$C$17*60/420/220</f>
        <v>0.50350649350649346</v>
      </c>
      <c r="I17" s="96">
        <f>$C$17*90/420/220</f>
        <v>0.75525974025974019</v>
      </c>
      <c r="J17" s="96">
        <f>$C$17*60/420/220</f>
        <v>0.50350649350649346</v>
      </c>
      <c r="K17" s="97">
        <v>0</v>
      </c>
      <c r="L17" s="97">
        <v>0</v>
      </c>
      <c r="M17" s="96">
        <f>AVERAGE(K17:L17)</f>
        <v>0</v>
      </c>
      <c r="N17" s="97"/>
      <c r="O17" s="96"/>
      <c r="P17" s="96"/>
      <c r="Q17" s="95">
        <f t="shared" ref="Q17:Q22" si="3">G17+J17+M17</f>
        <v>0.73428030303030289</v>
      </c>
      <c r="R17" s="94">
        <f t="shared" ref="R17:R23" si="4">Q17*55000</f>
        <v>40385.416666666657</v>
      </c>
      <c r="S17" s="39" t="s">
        <v>117</v>
      </c>
      <c r="T17" s="15" t="s">
        <v>48</v>
      </c>
      <c r="U17" s="14" t="s">
        <v>47</v>
      </c>
      <c r="V17" s="31" t="s">
        <v>42</v>
      </c>
      <c r="W17" s="30" t="s">
        <v>30</v>
      </c>
    </row>
    <row r="18" spans="1:23" ht="159" customHeight="1" x14ac:dyDescent="0.25">
      <c r="A18" s="101">
        <v>4</v>
      </c>
      <c r="B18" s="100" t="s">
        <v>46</v>
      </c>
      <c r="C18" s="120">
        <f>+[1]OI_2013!P12</f>
        <v>842.84800000000007</v>
      </c>
      <c r="D18" s="98"/>
      <c r="E18" s="97">
        <f>C18*10/420/220</f>
        <v>9.121731601731603E-2</v>
      </c>
      <c r="F18" s="96">
        <f>C18*30/420/220</f>
        <v>0.27365194805194809</v>
      </c>
      <c r="G18" s="96">
        <f t="shared" si="2"/>
        <v>0.18243463203463206</v>
      </c>
      <c r="H18" s="97">
        <f>C18*60/420/220</f>
        <v>0.54730389610389618</v>
      </c>
      <c r="I18" s="96">
        <f>C18*90/420/220</f>
        <v>0.82095584415584422</v>
      </c>
      <c r="J18" s="96">
        <f>$C$17*60/420/220</f>
        <v>0.50350649350649346</v>
      </c>
      <c r="K18" s="97">
        <v>0</v>
      </c>
      <c r="L18" s="97">
        <v>0</v>
      </c>
      <c r="M18" s="96">
        <f>AVERAGE(K18:L18)</f>
        <v>0</v>
      </c>
      <c r="N18" s="97"/>
      <c r="O18" s="96"/>
      <c r="P18" s="96"/>
      <c r="Q18" s="95">
        <f t="shared" si="3"/>
        <v>0.68594112554112552</v>
      </c>
      <c r="R18" s="94">
        <f t="shared" si="4"/>
        <v>37726.761904761901</v>
      </c>
      <c r="S18" s="16" t="s">
        <v>45</v>
      </c>
      <c r="T18" s="15" t="s">
        <v>44</v>
      </c>
      <c r="U18" s="14" t="s">
        <v>43</v>
      </c>
      <c r="V18" s="31" t="s">
        <v>42</v>
      </c>
      <c r="W18" s="30" t="s">
        <v>30</v>
      </c>
    </row>
    <row r="19" spans="1:23" s="125" customFormat="1" ht="45" x14ac:dyDescent="0.25">
      <c r="A19" s="153">
        <v>5</v>
      </c>
      <c r="B19" s="152" t="s">
        <v>41</v>
      </c>
      <c r="C19" s="151">
        <v>1080</v>
      </c>
      <c r="D19" s="150"/>
      <c r="E19" s="149">
        <v>0</v>
      </c>
      <c r="F19" s="148">
        <f>C19*10/420/220</f>
        <v>0.11688311688311689</v>
      </c>
      <c r="G19" s="148">
        <f t="shared" si="2"/>
        <v>5.8441558441558447E-2</v>
      </c>
      <c r="H19" s="149">
        <v>0</v>
      </c>
      <c r="I19" s="148">
        <v>0</v>
      </c>
      <c r="J19" s="148">
        <v>0</v>
      </c>
      <c r="K19" s="149">
        <v>0</v>
      </c>
      <c r="L19" s="149">
        <v>0</v>
      </c>
      <c r="M19" s="148">
        <v>0</v>
      </c>
      <c r="N19" s="149"/>
      <c r="O19" s="148"/>
      <c r="P19" s="148"/>
      <c r="Q19" s="147">
        <f t="shared" si="3"/>
        <v>5.8441558441558447E-2</v>
      </c>
      <c r="R19" s="146">
        <f t="shared" si="4"/>
        <v>3214.2857142857147</v>
      </c>
      <c r="S19" s="129" t="s">
        <v>40</v>
      </c>
      <c r="T19" s="128" t="s">
        <v>36</v>
      </c>
      <c r="U19" s="127" t="s">
        <v>30</v>
      </c>
      <c r="V19" s="127" t="s">
        <v>39</v>
      </c>
      <c r="W19" s="126" t="s">
        <v>30</v>
      </c>
    </row>
    <row r="20" spans="1:23" s="125" customFormat="1" ht="105" x14ac:dyDescent="0.25">
      <c r="A20" s="153"/>
      <c r="B20" s="152" t="s">
        <v>38</v>
      </c>
      <c r="C20" s="151">
        <v>180</v>
      </c>
      <c r="D20" s="150"/>
      <c r="E20" s="149">
        <v>0</v>
      </c>
      <c r="F20" s="148">
        <f>C20*10/420/220</f>
        <v>1.948051948051948E-2</v>
      </c>
      <c r="G20" s="148">
        <f t="shared" si="2"/>
        <v>9.74025974025974E-3</v>
      </c>
      <c r="H20" s="149">
        <v>0</v>
      </c>
      <c r="I20" s="148">
        <v>0</v>
      </c>
      <c r="J20" s="148">
        <v>0</v>
      </c>
      <c r="K20" s="149">
        <f>C20*50/420/220</f>
        <v>9.7402597402597393E-2</v>
      </c>
      <c r="L20" s="149">
        <f>C20*70/420/220</f>
        <v>0.13636363636363635</v>
      </c>
      <c r="M20" s="148">
        <f>AVERAGE(K20:L20)</f>
        <v>0.11688311688311687</v>
      </c>
      <c r="N20" s="149"/>
      <c r="O20" s="148"/>
      <c r="P20" s="148"/>
      <c r="Q20" s="147">
        <f t="shared" si="3"/>
        <v>0.12662337662337661</v>
      </c>
      <c r="R20" s="146">
        <f t="shared" si="4"/>
        <v>6964.2857142857138</v>
      </c>
      <c r="S20" s="129" t="s">
        <v>37</v>
      </c>
      <c r="T20" s="128" t="s">
        <v>36</v>
      </c>
      <c r="U20" s="127" t="s">
        <v>30</v>
      </c>
      <c r="V20" s="127" t="s">
        <v>35</v>
      </c>
      <c r="W20" s="126" t="s">
        <v>30</v>
      </c>
    </row>
    <row r="21" spans="1:23" s="125" customFormat="1" ht="112.5" customHeight="1" x14ac:dyDescent="0.25">
      <c r="A21" s="153">
        <v>6</v>
      </c>
      <c r="B21" s="152" t="s">
        <v>34</v>
      </c>
      <c r="C21" s="151">
        <f>+[1]MS_Support_tables!G21</f>
        <v>4564.7700000000004</v>
      </c>
      <c r="D21" s="150"/>
      <c r="E21" s="149"/>
      <c r="F21" s="148"/>
      <c r="G21" s="148"/>
      <c r="H21" s="149"/>
      <c r="I21" s="148"/>
      <c r="J21" s="148"/>
      <c r="K21" s="149">
        <f>C21*30*2*0.8/420/220</f>
        <v>2.3713090909090915</v>
      </c>
      <c r="L21" s="149">
        <f>C21*30*2*0.8/420/220</f>
        <v>2.3713090909090915</v>
      </c>
      <c r="M21" s="148">
        <f>AVERAGE(K21:L21)</f>
        <v>2.3713090909090915</v>
      </c>
      <c r="N21" s="149"/>
      <c r="O21" s="148"/>
      <c r="P21" s="148"/>
      <c r="Q21" s="147">
        <f t="shared" si="3"/>
        <v>2.3713090909090915</v>
      </c>
      <c r="R21" s="146">
        <f t="shared" si="4"/>
        <v>130422.00000000003</v>
      </c>
      <c r="S21" s="129" t="s">
        <v>116</v>
      </c>
      <c r="T21" s="128" t="s">
        <v>30</v>
      </c>
      <c r="U21" s="127" t="s">
        <v>30</v>
      </c>
      <c r="V21" s="127" t="s">
        <v>115</v>
      </c>
      <c r="W21" s="126" t="s">
        <v>30</v>
      </c>
    </row>
    <row r="22" spans="1:23" s="125" customFormat="1" ht="195" x14ac:dyDescent="0.25">
      <c r="A22" s="153">
        <v>7</v>
      </c>
      <c r="B22" s="152" t="s">
        <v>33</v>
      </c>
      <c r="C22" s="151"/>
      <c r="D22" s="150"/>
      <c r="E22" s="149"/>
      <c r="F22" s="148"/>
      <c r="G22" s="148"/>
      <c r="H22" s="149"/>
      <c r="I22" s="148"/>
      <c r="J22" s="148"/>
      <c r="K22" s="149">
        <f>C22*15/420/220</f>
        <v>0</v>
      </c>
      <c r="L22" s="149">
        <f>C22*25/420/220</f>
        <v>0</v>
      </c>
      <c r="M22" s="148">
        <f>AVERAGE(K22:L22)</f>
        <v>0</v>
      </c>
      <c r="N22" s="149"/>
      <c r="O22" s="148"/>
      <c r="P22" s="148"/>
      <c r="Q22" s="147">
        <f t="shared" si="3"/>
        <v>0</v>
      </c>
      <c r="R22" s="146">
        <f t="shared" si="4"/>
        <v>0</v>
      </c>
      <c r="S22" s="129" t="s">
        <v>32</v>
      </c>
      <c r="T22" s="128" t="s">
        <v>30</v>
      </c>
      <c r="U22" s="127" t="s">
        <v>30</v>
      </c>
      <c r="V22" s="127" t="s">
        <v>31</v>
      </c>
      <c r="W22" s="126" t="s">
        <v>30</v>
      </c>
    </row>
    <row r="23" spans="1:23" x14ac:dyDescent="0.25">
      <c r="A23" t="s">
        <v>21</v>
      </c>
      <c r="C23" s="12"/>
      <c r="D23" s="12"/>
      <c r="E23" s="12"/>
      <c r="F23" s="12"/>
      <c r="G23" s="12"/>
      <c r="H23" s="12"/>
      <c r="I23" s="12"/>
      <c r="J23" s="12"/>
      <c r="K23" s="12"/>
      <c r="L23" s="12"/>
      <c r="M23" s="12"/>
      <c r="N23" s="12"/>
      <c r="O23" s="12"/>
      <c r="P23" s="12"/>
      <c r="Q23" s="18">
        <f>Q5+Q13+Q17+Q18+Q19+Q20+Q21+Q22</f>
        <v>6.5622292478354982</v>
      </c>
      <c r="R23" s="26">
        <f t="shared" si="4"/>
        <v>360922.60863095243</v>
      </c>
    </row>
    <row r="24" spans="1:23" x14ac:dyDescent="0.25">
      <c r="C24" s="12"/>
      <c r="D24" s="12"/>
      <c r="E24" s="12"/>
      <c r="F24" s="12"/>
      <c r="G24" s="12"/>
      <c r="H24" s="12"/>
      <c r="I24" s="12"/>
      <c r="J24" s="12"/>
      <c r="K24" s="12"/>
      <c r="L24" s="12"/>
      <c r="M24" s="12"/>
      <c r="N24" s="12"/>
      <c r="O24" s="12"/>
      <c r="P24" s="12"/>
      <c r="Q24" s="81"/>
      <c r="R24" s="80"/>
    </row>
    <row r="25" spans="1:23" x14ac:dyDescent="0.25">
      <c r="C25" s="12"/>
      <c r="D25" s="12"/>
      <c r="E25" s="12"/>
      <c r="F25" s="12"/>
      <c r="G25" s="12"/>
      <c r="H25" s="12"/>
      <c r="I25" s="12"/>
      <c r="J25" s="12"/>
      <c r="K25" s="12"/>
      <c r="L25" s="12"/>
      <c r="M25" s="12"/>
      <c r="N25" s="12"/>
      <c r="O25" s="12"/>
      <c r="P25" s="12"/>
      <c r="Q25" s="81"/>
      <c r="R25" s="80"/>
    </row>
    <row r="26" spans="1:23" x14ac:dyDescent="0.25">
      <c r="C26" s="12"/>
      <c r="D26" s="12"/>
      <c r="E26" s="12"/>
      <c r="F26" s="12"/>
      <c r="G26" s="12"/>
      <c r="H26" s="12"/>
      <c r="I26" s="12"/>
      <c r="J26" s="12"/>
      <c r="K26" s="12"/>
      <c r="L26" s="12"/>
      <c r="M26" s="12"/>
      <c r="N26" s="12"/>
      <c r="O26" s="12"/>
      <c r="P26" s="12"/>
      <c r="Q26" s="81"/>
      <c r="R26" s="80"/>
    </row>
    <row r="27" spans="1:23" x14ac:dyDescent="0.25">
      <c r="C27" s="12"/>
      <c r="D27" s="12"/>
      <c r="E27" s="12"/>
      <c r="F27" s="12"/>
      <c r="G27" s="12"/>
      <c r="H27" s="12"/>
      <c r="I27" s="12"/>
      <c r="J27" s="12"/>
      <c r="K27" s="12"/>
      <c r="L27" s="12"/>
      <c r="M27" s="12"/>
      <c r="N27" s="12"/>
      <c r="O27" s="12"/>
      <c r="P27" s="12"/>
      <c r="Q27" s="81"/>
      <c r="R27" s="80"/>
    </row>
    <row r="28" spans="1:23" ht="15.75" thickBot="1" x14ac:dyDescent="0.3">
      <c r="B28" s="9" t="s">
        <v>114</v>
      </c>
    </row>
    <row r="29" spans="1:23" ht="15.75" thickBot="1" x14ac:dyDescent="0.3">
      <c r="E29" s="154"/>
      <c r="F29" s="154"/>
      <c r="G29" s="154"/>
      <c r="H29" s="154"/>
      <c r="I29" s="154"/>
      <c r="J29" s="154"/>
      <c r="K29" s="154"/>
      <c r="L29" s="154"/>
      <c r="M29" s="154"/>
      <c r="N29" s="154"/>
      <c r="O29" s="154"/>
      <c r="P29" s="154"/>
      <c r="Q29" s="154"/>
      <c r="R29" s="24"/>
      <c r="S29" s="93"/>
      <c r="T29" s="92"/>
      <c r="U29" s="78"/>
      <c r="V29" s="78"/>
      <c r="W29" s="78"/>
    </row>
    <row r="30" spans="1:23" ht="45" x14ac:dyDescent="0.25">
      <c r="A30" s="24" t="s">
        <v>107</v>
      </c>
      <c r="B30" s="23" t="s">
        <v>106</v>
      </c>
      <c r="C30" s="77" t="s">
        <v>105</v>
      </c>
      <c r="D30" s="76" t="s">
        <v>104</v>
      </c>
      <c r="E30" s="155" t="s">
        <v>103</v>
      </c>
      <c r="F30" s="156"/>
      <c r="G30" s="157"/>
      <c r="H30" s="158" t="s">
        <v>102</v>
      </c>
      <c r="I30" s="159"/>
      <c r="J30" s="160"/>
      <c r="K30" s="161" t="s">
        <v>101</v>
      </c>
      <c r="L30" s="162"/>
      <c r="M30" s="162"/>
      <c r="N30" s="163" t="s">
        <v>100</v>
      </c>
      <c r="O30" s="159"/>
      <c r="P30" s="164"/>
      <c r="Q30" s="75" t="s">
        <v>29</v>
      </c>
      <c r="R30" s="90" t="s">
        <v>99</v>
      </c>
      <c r="S30" s="73" t="s">
        <v>98</v>
      </c>
      <c r="T30" s="91" t="s">
        <v>113</v>
      </c>
      <c r="U30" s="73" t="s">
        <v>112</v>
      </c>
      <c r="V30" s="73" t="s">
        <v>111</v>
      </c>
      <c r="W30" s="73" t="s">
        <v>110</v>
      </c>
    </row>
    <row r="31" spans="1:23" x14ac:dyDescent="0.25">
      <c r="A31" s="24"/>
      <c r="B31" s="23"/>
      <c r="C31" s="72" t="s">
        <v>96</v>
      </c>
      <c r="D31" s="72"/>
      <c r="E31" s="72" t="s">
        <v>95</v>
      </c>
      <c r="F31" s="24" t="s">
        <v>94</v>
      </c>
      <c r="G31" s="24" t="s">
        <v>93</v>
      </c>
      <c r="H31" s="72" t="s">
        <v>95</v>
      </c>
      <c r="I31" s="24" t="s">
        <v>94</v>
      </c>
      <c r="J31" s="24" t="s">
        <v>93</v>
      </c>
      <c r="K31" s="72" t="s">
        <v>95</v>
      </c>
      <c r="L31" s="24" t="s">
        <v>94</v>
      </c>
      <c r="M31" s="24" t="s">
        <v>93</v>
      </c>
      <c r="N31" s="72" t="s">
        <v>95</v>
      </c>
      <c r="O31" s="24" t="s">
        <v>94</v>
      </c>
      <c r="P31" s="24" t="s">
        <v>93</v>
      </c>
      <c r="Q31" s="71"/>
      <c r="R31" s="90" t="s">
        <v>92</v>
      </c>
      <c r="S31" s="89"/>
      <c r="T31" s="88"/>
      <c r="U31" s="87"/>
      <c r="V31" s="87"/>
      <c r="W31" s="87"/>
    </row>
    <row r="32" spans="1:23" ht="105" x14ac:dyDescent="0.25">
      <c r="A32" s="24">
        <v>1</v>
      </c>
      <c r="B32" s="23" t="s">
        <v>91</v>
      </c>
      <c r="C32" s="22"/>
      <c r="D32" s="22"/>
      <c r="E32" s="68">
        <f t="shared" ref="E32:P32" si="5">SUM(E33:E39)</f>
        <v>0.21876839826839825</v>
      </c>
      <c r="F32" s="68">
        <f t="shared" si="5"/>
        <v>0.22483658008658008</v>
      </c>
      <c r="G32" s="68">
        <f t="shared" si="5"/>
        <v>0.22180248917748918</v>
      </c>
      <c r="H32" s="68">
        <f t="shared" si="5"/>
        <v>0.50392316017316019</v>
      </c>
      <c r="I32" s="68">
        <f t="shared" si="5"/>
        <v>0.50392316017316019</v>
      </c>
      <c r="J32" s="68">
        <f t="shared" si="5"/>
        <v>0.50392316017316019</v>
      </c>
      <c r="K32" s="68">
        <f t="shared" si="5"/>
        <v>3.466525974025974</v>
      </c>
      <c r="L32" s="68">
        <f t="shared" si="5"/>
        <v>3.466525974025974</v>
      </c>
      <c r="M32" s="68">
        <f t="shared" si="5"/>
        <v>3.466525974025974</v>
      </c>
      <c r="N32" s="68">
        <f t="shared" si="5"/>
        <v>0.12987012987012989</v>
      </c>
      <c r="O32" s="68">
        <f t="shared" si="5"/>
        <v>0.16021103896103897</v>
      </c>
      <c r="P32" s="68">
        <f t="shared" si="5"/>
        <v>0.14504058441558443</v>
      </c>
      <c r="Q32" s="18">
        <f>G32+J32+M32+P32</f>
        <v>4.337292207792208</v>
      </c>
      <c r="R32" s="26">
        <f>Q32*30000</f>
        <v>130118.76623376625</v>
      </c>
      <c r="S32" s="51" t="s">
        <v>90</v>
      </c>
      <c r="T32" s="15" t="s">
        <v>109</v>
      </c>
      <c r="U32" s="65" t="s">
        <v>88</v>
      </c>
      <c r="V32" s="65" t="s">
        <v>88</v>
      </c>
      <c r="W32" s="67" t="s">
        <v>88</v>
      </c>
    </row>
    <row r="33" spans="1:23" ht="114" customHeight="1" x14ac:dyDescent="0.25">
      <c r="A33" s="24"/>
      <c r="B33" s="64" t="s">
        <v>87</v>
      </c>
      <c r="C33" s="35">
        <f>+[1]IE_MY_SITE!F11</f>
        <v>200</v>
      </c>
      <c r="D33" s="56"/>
      <c r="E33" s="53">
        <f>C33*10/420/220</f>
        <v>2.1645021645021644E-2</v>
      </c>
      <c r="F33" s="52">
        <f>C33*10/420/220</f>
        <v>2.1645021645021644E-2</v>
      </c>
      <c r="G33" s="19">
        <f>AVERAGE(E33:F33)</f>
        <v>2.1645021645021644E-2</v>
      </c>
      <c r="H33" s="53">
        <f>C33*30*0.8/420/220</f>
        <v>5.1948051948051951E-2</v>
      </c>
      <c r="I33" s="52">
        <f>C33*30*0.8/420/220</f>
        <v>5.1948051948051951E-2</v>
      </c>
      <c r="J33" s="52">
        <f>C33*30*0.8/420/220</f>
        <v>5.1948051948051951E-2</v>
      </c>
      <c r="K33" s="53">
        <v>0.25</v>
      </c>
      <c r="L33" s="54">
        <v>0.25</v>
      </c>
      <c r="M33" s="54">
        <v>0.25</v>
      </c>
      <c r="N33" s="53">
        <f>C33*2*30/420/220</f>
        <v>0.12987012987012989</v>
      </c>
      <c r="O33" s="53">
        <f>C33*2*30/420/220</f>
        <v>0.12987012987012989</v>
      </c>
      <c r="P33" s="19">
        <f>AVERAGE(N33:O33)</f>
        <v>0.12987012987012989</v>
      </c>
      <c r="Q33" s="18"/>
      <c r="R33" s="26"/>
      <c r="S33" s="51" t="s">
        <v>86</v>
      </c>
      <c r="T33" s="15" t="s">
        <v>85</v>
      </c>
      <c r="U33" s="14" t="s">
        <v>84</v>
      </c>
      <c r="V33" s="65" t="s">
        <v>83</v>
      </c>
      <c r="W33" s="67" t="s">
        <v>82</v>
      </c>
    </row>
    <row r="34" spans="1:23" ht="105" x14ac:dyDescent="0.25">
      <c r="A34" s="24"/>
      <c r="B34" s="64" t="s">
        <v>81</v>
      </c>
      <c r="C34" s="145">
        <f>+[1]IE_MY_SITE!F23</f>
        <v>1121.4000000000001</v>
      </c>
      <c r="D34" s="56"/>
      <c r="E34" s="55">
        <v>0</v>
      </c>
      <c r="F34" s="52">
        <v>0</v>
      </c>
      <c r="G34" s="19">
        <v>0</v>
      </c>
      <c r="H34" s="53">
        <v>0</v>
      </c>
      <c r="I34" s="52">
        <v>0</v>
      </c>
      <c r="J34" s="52">
        <v>0</v>
      </c>
      <c r="K34" s="53">
        <f>C34*5*60*0.75/420/220</f>
        <v>2.730681818181818</v>
      </c>
      <c r="L34" s="53">
        <f>C34*5*60*0.75/420/220</f>
        <v>2.730681818181818</v>
      </c>
      <c r="M34" s="19">
        <f>AVERAGE(K34:L34)</f>
        <v>2.730681818181818</v>
      </c>
      <c r="N34" s="53">
        <v>0</v>
      </c>
      <c r="O34" s="52">
        <f>C34*10*0.25/420/220</f>
        <v>3.0340909090909089E-2</v>
      </c>
      <c r="P34" s="19">
        <f>AVERAGE(N34:O34)</f>
        <v>1.5170454545454544E-2</v>
      </c>
      <c r="Q34" s="18"/>
      <c r="R34" s="26"/>
      <c r="S34" s="51" t="s">
        <v>73</v>
      </c>
      <c r="T34" s="15" t="s">
        <v>30</v>
      </c>
      <c r="U34" s="14" t="s">
        <v>30</v>
      </c>
      <c r="V34" s="14" t="s">
        <v>80</v>
      </c>
      <c r="W34" s="67" t="s">
        <v>79</v>
      </c>
    </row>
    <row r="35" spans="1:23" ht="45" x14ac:dyDescent="0.25">
      <c r="A35" s="24"/>
      <c r="B35" s="64" t="s">
        <v>78</v>
      </c>
      <c r="C35" s="145">
        <f>+C34</f>
        <v>1121.4000000000001</v>
      </c>
      <c r="D35" s="56"/>
      <c r="E35" s="55">
        <v>0</v>
      </c>
      <c r="F35" s="52">
        <v>0</v>
      </c>
      <c r="G35" s="19">
        <v>0</v>
      </c>
      <c r="H35" s="53">
        <v>0</v>
      </c>
      <c r="I35" s="52">
        <v>0</v>
      </c>
      <c r="J35" s="52">
        <v>0</v>
      </c>
      <c r="K35" s="53">
        <f>C35*30/420/220</f>
        <v>0.36409090909090908</v>
      </c>
      <c r="L35" s="53">
        <f>C35*30/420/220</f>
        <v>0.36409090909090908</v>
      </c>
      <c r="M35" s="19">
        <f>AVERAGE(K35:L35)</f>
        <v>0.36409090909090908</v>
      </c>
      <c r="N35" s="53">
        <v>0</v>
      </c>
      <c r="O35" s="52">
        <v>0</v>
      </c>
      <c r="P35" s="52">
        <v>0</v>
      </c>
      <c r="Q35" s="18"/>
      <c r="R35" s="26"/>
      <c r="S35" s="51" t="s">
        <v>73</v>
      </c>
      <c r="T35" s="15" t="s">
        <v>30</v>
      </c>
      <c r="U35" s="14" t="s">
        <v>30</v>
      </c>
      <c r="V35" s="65" t="s">
        <v>77</v>
      </c>
      <c r="W35" s="13" t="s">
        <v>30</v>
      </c>
    </row>
    <row r="36" spans="1:23" ht="90" x14ac:dyDescent="0.25">
      <c r="A36" s="24"/>
      <c r="B36" s="64" t="s">
        <v>76</v>
      </c>
      <c r="C36" s="145">
        <f>+C35</f>
        <v>1121.4000000000001</v>
      </c>
      <c r="D36" s="56"/>
      <c r="E36" s="55">
        <f>C36*0.05*60/420/220</f>
        <v>3.6409090909090905E-2</v>
      </c>
      <c r="F36" s="55">
        <f>C36*0.05*70/420/220</f>
        <v>4.2477272727272732E-2</v>
      </c>
      <c r="G36" s="19">
        <f>AVERAGE(E36:F36)</f>
        <v>3.9443181818181822E-2</v>
      </c>
      <c r="H36" s="53">
        <v>0</v>
      </c>
      <c r="I36" s="52">
        <v>0</v>
      </c>
      <c r="J36" s="52">
        <v>0</v>
      </c>
      <c r="K36" s="53">
        <v>0</v>
      </c>
      <c r="L36" s="54">
        <v>0</v>
      </c>
      <c r="M36" s="54">
        <v>0</v>
      </c>
      <c r="N36" s="53">
        <v>0</v>
      </c>
      <c r="O36" s="52">
        <v>0</v>
      </c>
      <c r="P36" s="52">
        <v>0</v>
      </c>
      <c r="Q36" s="18"/>
      <c r="R36" s="26"/>
      <c r="S36" s="51" t="s">
        <v>73</v>
      </c>
      <c r="T36" s="15" t="s">
        <v>75</v>
      </c>
      <c r="U36" s="66" t="s">
        <v>30</v>
      </c>
      <c r="V36" s="65" t="s">
        <v>30</v>
      </c>
      <c r="W36" s="13" t="s">
        <v>30</v>
      </c>
    </row>
    <row r="37" spans="1:23" ht="105" customHeight="1" x14ac:dyDescent="0.25">
      <c r="A37" s="24"/>
      <c r="B37" s="64" t="s">
        <v>74</v>
      </c>
      <c r="C37" s="35">
        <v>1245</v>
      </c>
      <c r="D37" s="56"/>
      <c r="E37" s="55">
        <v>0</v>
      </c>
      <c r="F37" s="52">
        <v>0</v>
      </c>
      <c r="G37" s="19">
        <v>0</v>
      </c>
      <c r="H37" s="53">
        <f>C37*30*0.75/420/220</f>
        <v>0.30316558441558439</v>
      </c>
      <c r="I37" s="53">
        <f>C37*30*0.75/420/220</f>
        <v>0.30316558441558439</v>
      </c>
      <c r="J37" s="19">
        <f>AVERAGE(H37:I37)</f>
        <v>0.30316558441558439</v>
      </c>
      <c r="K37" s="53">
        <v>0</v>
      </c>
      <c r="L37" s="54">
        <v>0</v>
      </c>
      <c r="M37" s="54">
        <v>0</v>
      </c>
      <c r="N37" s="53">
        <v>0</v>
      </c>
      <c r="O37" s="52">
        <v>0</v>
      </c>
      <c r="P37" s="52">
        <v>0</v>
      </c>
      <c r="Q37" s="18"/>
      <c r="R37" s="26"/>
      <c r="S37" s="51" t="s">
        <v>73</v>
      </c>
      <c r="T37" s="15" t="s">
        <v>30</v>
      </c>
      <c r="U37" s="14" t="s">
        <v>72</v>
      </c>
      <c r="V37" s="14" t="s">
        <v>30</v>
      </c>
      <c r="W37" s="13" t="s">
        <v>30</v>
      </c>
    </row>
    <row r="38" spans="1:23" ht="30" x14ac:dyDescent="0.25">
      <c r="A38" s="24"/>
      <c r="B38" s="57" t="s">
        <v>71</v>
      </c>
      <c r="C38" s="22">
        <v>5500</v>
      </c>
      <c r="D38" s="56"/>
      <c r="E38" s="55">
        <v>0</v>
      </c>
      <c r="F38" s="52">
        <v>0</v>
      </c>
      <c r="G38" s="19">
        <v>0</v>
      </c>
      <c r="H38" s="53">
        <f>C38*5*0.5/420/220</f>
        <v>0.14880952380952381</v>
      </c>
      <c r="I38" s="53">
        <f>C38*5*0.5/420/220</f>
        <v>0.14880952380952381</v>
      </c>
      <c r="J38" s="19">
        <f>AVERAGE(H38:I38)</f>
        <v>0.14880952380952381</v>
      </c>
      <c r="K38" s="53">
        <v>0</v>
      </c>
      <c r="L38" s="54">
        <v>0</v>
      </c>
      <c r="M38" s="54">
        <v>0</v>
      </c>
      <c r="N38" s="53">
        <v>0</v>
      </c>
      <c r="O38" s="52">
        <v>0</v>
      </c>
      <c r="P38" s="52">
        <v>0</v>
      </c>
      <c r="Q38" s="18"/>
      <c r="R38" s="26"/>
      <c r="S38" s="51" t="s">
        <v>70</v>
      </c>
      <c r="T38" s="15" t="s">
        <v>69</v>
      </c>
      <c r="U38" s="14" t="s">
        <v>69</v>
      </c>
      <c r="V38" s="14" t="s">
        <v>69</v>
      </c>
      <c r="W38" s="13" t="s">
        <v>30</v>
      </c>
    </row>
    <row r="39" spans="1:23" ht="169.5" customHeight="1" x14ac:dyDescent="0.25">
      <c r="A39" s="24"/>
      <c r="B39" s="57" t="s">
        <v>68</v>
      </c>
      <c r="C39" s="86">
        <f>+'[1]MS Reb tables'!D16</f>
        <v>3000</v>
      </c>
      <c r="D39" s="56"/>
      <c r="E39" s="55">
        <f>C39*0.33*15/420/220</f>
        <v>0.1607142857142857</v>
      </c>
      <c r="F39" s="55">
        <f>C39*0.33*15/420/220</f>
        <v>0.1607142857142857</v>
      </c>
      <c r="G39" s="19">
        <f>AVERAGE(E39:F39)</f>
        <v>0.1607142857142857</v>
      </c>
      <c r="H39" s="53">
        <v>0</v>
      </c>
      <c r="I39" s="54">
        <v>0</v>
      </c>
      <c r="J39" s="19">
        <v>0</v>
      </c>
      <c r="K39" s="54">
        <f>C39*15*0.25/420/220</f>
        <v>0.12175324675324675</v>
      </c>
      <c r="L39" s="54">
        <f>C39*15*0.25/420/220</f>
        <v>0.12175324675324675</v>
      </c>
      <c r="M39" s="19">
        <f>AVERAGE(K39:L39)</f>
        <v>0.12175324675324675</v>
      </c>
      <c r="N39" s="53">
        <v>0</v>
      </c>
      <c r="O39" s="52">
        <v>0</v>
      </c>
      <c r="P39" s="52">
        <v>0</v>
      </c>
      <c r="Q39" s="18"/>
      <c r="R39" s="26"/>
      <c r="S39" s="51"/>
      <c r="T39" s="15" t="s">
        <v>67</v>
      </c>
      <c r="U39" s="14" t="s">
        <v>30</v>
      </c>
      <c r="V39" s="14" t="s">
        <v>66</v>
      </c>
      <c r="W39" s="13" t="s">
        <v>30</v>
      </c>
    </row>
    <row r="40" spans="1:23" ht="75" x14ac:dyDescent="0.25">
      <c r="A40" s="37">
        <v>2</v>
      </c>
      <c r="B40" s="36" t="s">
        <v>65</v>
      </c>
      <c r="C40" s="35">
        <f>2.2*[1]OI_2013!P9</f>
        <v>385.00000000000006</v>
      </c>
      <c r="D40" s="85"/>
      <c r="E40" s="49">
        <f t="shared" ref="E40:M40" si="6">SUM(E41:E43)</f>
        <v>0.18437500000000001</v>
      </c>
      <c r="F40" s="46">
        <f t="shared" si="6"/>
        <v>0.24895833333333336</v>
      </c>
      <c r="G40" s="46">
        <f t="shared" si="6"/>
        <v>0.21666666666666667</v>
      </c>
      <c r="H40" s="84">
        <f t="shared" si="6"/>
        <v>0.40624188311688308</v>
      </c>
      <c r="I40" s="46">
        <f t="shared" si="6"/>
        <v>0.40624188311688308</v>
      </c>
      <c r="J40" s="46">
        <f t="shared" si="6"/>
        <v>0.40624188311688308</v>
      </c>
      <c r="K40" s="46">
        <f t="shared" si="6"/>
        <v>0.56765624999999997</v>
      </c>
      <c r="L40" s="46">
        <f t="shared" si="6"/>
        <v>0.56765624999999997</v>
      </c>
      <c r="M40" s="46">
        <f t="shared" si="6"/>
        <v>0.56765624999999997</v>
      </c>
      <c r="N40" s="84">
        <v>0</v>
      </c>
      <c r="O40" s="46">
        <f>C40*2*15/420/220</f>
        <v>0.12500000000000003</v>
      </c>
      <c r="P40" s="46">
        <f>AVERAGE(N40:O40)</f>
        <v>6.2500000000000014E-2</v>
      </c>
      <c r="Q40" s="18">
        <f>G40+J40+M40+P40</f>
        <v>1.2530647997835498</v>
      </c>
      <c r="R40" s="26">
        <f>Q40*30000</f>
        <v>37591.943993506495</v>
      </c>
      <c r="S40" s="39" t="s">
        <v>64</v>
      </c>
      <c r="T40" s="15" t="s">
        <v>63</v>
      </c>
      <c r="U40" s="44"/>
      <c r="V40" s="44"/>
      <c r="W40" s="43"/>
    </row>
    <row r="41" spans="1:23" ht="105" x14ac:dyDescent="0.25">
      <c r="A41" s="37"/>
      <c r="B41" s="36" t="s">
        <v>62</v>
      </c>
      <c r="C41" s="102">
        <f>0.75*C40</f>
        <v>288.75000000000006</v>
      </c>
      <c r="D41" s="83">
        <v>6.8</v>
      </c>
      <c r="E41" s="41">
        <f>C41*15/420/220</f>
        <v>4.6875000000000007E-2</v>
      </c>
      <c r="F41" s="19">
        <f>C41*30/420/220</f>
        <v>9.3750000000000014E-2</v>
      </c>
      <c r="G41" s="19">
        <f t="shared" ref="G41:G47" si="7">AVERAGE(E41:F41)</f>
        <v>7.0312500000000014E-2</v>
      </c>
      <c r="H41" s="20">
        <v>0</v>
      </c>
      <c r="I41" s="19">
        <v>0</v>
      </c>
      <c r="J41" s="19">
        <v>0</v>
      </c>
      <c r="K41" s="20">
        <f>C41*(D41-1)*15/420/220</f>
        <v>0.27187500000000003</v>
      </c>
      <c r="L41" s="20">
        <f>C41*(D41-1)*15/420/220</f>
        <v>0.27187500000000003</v>
      </c>
      <c r="M41" s="19">
        <f>AVERAGE(K41:L41)</f>
        <v>0.27187500000000003</v>
      </c>
      <c r="N41" s="20"/>
      <c r="O41" s="19"/>
      <c r="P41" s="19"/>
      <c r="Q41" s="40"/>
      <c r="R41" s="26"/>
      <c r="S41" s="39" t="s">
        <v>54</v>
      </c>
      <c r="T41" s="15" t="s">
        <v>61</v>
      </c>
      <c r="U41" s="14" t="s">
        <v>30</v>
      </c>
      <c r="V41" s="38" t="s">
        <v>60</v>
      </c>
      <c r="W41" s="30" t="s">
        <v>30</v>
      </c>
    </row>
    <row r="42" spans="1:23" ht="150" x14ac:dyDescent="0.25">
      <c r="A42" s="37"/>
      <c r="B42" s="36" t="s">
        <v>59</v>
      </c>
      <c r="C42" s="102">
        <f>0.15*C40</f>
        <v>57.750000000000007</v>
      </c>
      <c r="D42" s="83">
        <v>7.1</v>
      </c>
      <c r="E42" s="41">
        <f>C42*120/420/220</f>
        <v>7.5000000000000011E-2</v>
      </c>
      <c r="F42" s="19">
        <f>C42*15/420/220+E42</f>
        <v>8.4375000000000006E-2</v>
      </c>
      <c r="G42" s="19">
        <f t="shared" si="7"/>
        <v>7.9687500000000008E-2</v>
      </c>
      <c r="H42" s="82">
        <f>$C$15*(D42*0.75)*60/420/220</f>
        <v>0.21524756493506492</v>
      </c>
      <c r="I42" s="19">
        <f>$C$15*(D42*0.75)*60/420/220</f>
        <v>0.21524756493506492</v>
      </c>
      <c r="J42" s="19">
        <f>AVERAGE(H42:I42)</f>
        <v>0.21524756493506492</v>
      </c>
      <c r="K42" s="20">
        <f>C42*(D42-1)*60*0.75/420/220</f>
        <v>0.17156250000000003</v>
      </c>
      <c r="L42" s="20">
        <f>C42*(D42-1)*60*0.75/420/220</f>
        <v>0.17156250000000003</v>
      </c>
      <c r="M42" s="19">
        <f>AVERAGE(K42:L42)</f>
        <v>0.17156250000000003</v>
      </c>
      <c r="N42" s="82"/>
      <c r="O42" s="19"/>
      <c r="P42" s="19"/>
      <c r="Q42" s="40"/>
      <c r="R42" s="26"/>
      <c r="S42" s="39" t="s">
        <v>54</v>
      </c>
      <c r="T42" s="15" t="s">
        <v>58</v>
      </c>
      <c r="U42" s="38" t="s">
        <v>57</v>
      </c>
      <c r="V42" s="38" t="s">
        <v>56</v>
      </c>
      <c r="W42" s="30" t="s">
        <v>30</v>
      </c>
    </row>
    <row r="43" spans="1:23" ht="125.25" customHeight="1" x14ac:dyDescent="0.25">
      <c r="A43" s="37"/>
      <c r="B43" s="36" t="s">
        <v>55</v>
      </c>
      <c r="C43" s="144">
        <f>+C40-C41-C42</f>
        <v>38.499999999999993</v>
      </c>
      <c r="D43" s="83">
        <v>6.3</v>
      </c>
      <c r="E43" s="41">
        <f>C43*(120+30)/420/220</f>
        <v>6.2499999999999993E-2</v>
      </c>
      <c r="F43" s="19">
        <f>(C43*20)/420/220+E43</f>
        <v>7.0833333333333331E-2</v>
      </c>
      <c r="G43" s="19">
        <f t="shared" si="7"/>
        <v>6.6666666666666666E-2</v>
      </c>
      <c r="H43" s="82">
        <f>$C$16*90*(D43*0.75)/420/220</f>
        <v>0.19099431818181817</v>
      </c>
      <c r="I43" s="82">
        <f>$C$16*90*(D43*0.75)/420/220</f>
        <v>0.19099431818181817</v>
      </c>
      <c r="J43" s="19">
        <f>AVERAGE(H43:I43)</f>
        <v>0.19099431818181817</v>
      </c>
      <c r="K43" s="20">
        <f>C43*(D43-1)*75*0.75/420/220</f>
        <v>0.12421874999999996</v>
      </c>
      <c r="L43" s="20">
        <f>C43*(D43-1)*75*0.75/420/220</f>
        <v>0.12421874999999996</v>
      </c>
      <c r="M43" s="19">
        <f>AVERAGE(K43:L43)</f>
        <v>0.12421874999999996</v>
      </c>
      <c r="N43" s="82"/>
      <c r="O43" s="82"/>
      <c r="P43" s="19"/>
      <c r="Q43" s="40"/>
      <c r="R43" s="26"/>
      <c r="S43" s="39" t="s">
        <v>54</v>
      </c>
      <c r="T43" s="15" t="s">
        <v>53</v>
      </c>
      <c r="U43" s="38" t="s">
        <v>52</v>
      </c>
      <c r="V43" s="38" t="s">
        <v>51</v>
      </c>
      <c r="W43" s="30" t="s">
        <v>30</v>
      </c>
    </row>
    <row r="44" spans="1:23" ht="143.25" customHeight="1" x14ac:dyDescent="0.25">
      <c r="A44" s="37">
        <v>3</v>
      </c>
      <c r="B44" s="36" t="s">
        <v>50</v>
      </c>
      <c r="C44" s="143">
        <f>+[1]OI_2013!P5</f>
        <v>66</v>
      </c>
      <c r="D44" s="35"/>
      <c r="E44" s="20">
        <f>$C$17*10/420/220</f>
        <v>8.3917748917748919E-2</v>
      </c>
      <c r="F44" s="19">
        <f>$C$17*45/420/220</f>
        <v>0.37762987012987009</v>
      </c>
      <c r="G44" s="19">
        <f t="shared" si="7"/>
        <v>0.23077380952380949</v>
      </c>
      <c r="H44" s="20">
        <f>$C$17*60/420/220</f>
        <v>0.50350649350649346</v>
      </c>
      <c r="I44" s="19">
        <f>$C$17*90/420/220</f>
        <v>0.75525974025974019</v>
      </c>
      <c r="J44" s="19">
        <f>$C$17*60/420/220</f>
        <v>0.50350649350649346</v>
      </c>
      <c r="K44" s="20">
        <f>C44*10*1.25/420/220</f>
        <v>8.9285714285714281E-3</v>
      </c>
      <c r="L44" s="20">
        <f>C44*10*1.25/420/220</f>
        <v>8.9285714285714281E-3</v>
      </c>
      <c r="M44" s="19">
        <f>AVERAGE(K44:L44)</f>
        <v>8.9285714285714281E-3</v>
      </c>
      <c r="N44" s="20"/>
      <c r="O44" s="19"/>
      <c r="P44" s="19"/>
      <c r="Q44" s="18">
        <f t="shared" ref="Q44:Q49" si="8">G44+J44+M44</f>
        <v>0.74320887445887429</v>
      </c>
      <c r="R44" s="26">
        <f>Q44*30000</f>
        <v>22296.26623376623</v>
      </c>
      <c r="S44" s="33" t="s">
        <v>49</v>
      </c>
      <c r="T44" s="15" t="s">
        <v>48</v>
      </c>
      <c r="U44" s="14" t="s">
        <v>47</v>
      </c>
      <c r="V44" s="31" t="s">
        <v>42</v>
      </c>
      <c r="W44" s="30" t="s">
        <v>30</v>
      </c>
    </row>
    <row r="45" spans="1:23" ht="210" customHeight="1" x14ac:dyDescent="0.25">
      <c r="A45" s="24">
        <v>4</v>
      </c>
      <c r="B45" s="23" t="s">
        <v>46</v>
      </c>
      <c r="C45" s="86">
        <f>+[1]OI_2013!P13</f>
        <v>313.5</v>
      </c>
      <c r="D45" s="21"/>
      <c r="E45" s="20">
        <f>C45*10/420/220</f>
        <v>3.3928571428571426E-2</v>
      </c>
      <c r="F45" s="19">
        <f>C45*30/420/220</f>
        <v>0.10178571428571428</v>
      </c>
      <c r="G45" s="19">
        <f t="shared" si="7"/>
        <v>6.7857142857142852E-2</v>
      </c>
      <c r="H45" s="20">
        <f>C45*60/420/220</f>
        <v>0.20357142857142857</v>
      </c>
      <c r="I45" s="19">
        <f>C45*90/420/220</f>
        <v>0.30535714285714288</v>
      </c>
      <c r="J45" s="19">
        <f>$C$17*60/420/220</f>
        <v>0.50350649350649346</v>
      </c>
      <c r="K45" s="20">
        <f>C45*10*1.25/420/220</f>
        <v>4.2410714285714281E-2</v>
      </c>
      <c r="L45" s="20">
        <f>C45*10*1.25/420/220</f>
        <v>4.2410714285714281E-2</v>
      </c>
      <c r="M45" s="19">
        <f>AVERAGE(K45:L45)</f>
        <v>4.2410714285714281E-2</v>
      </c>
      <c r="N45" s="20"/>
      <c r="O45" s="19"/>
      <c r="P45" s="19"/>
      <c r="Q45" s="18">
        <f t="shared" si="8"/>
        <v>0.6137743506493506</v>
      </c>
      <c r="R45" s="26">
        <f>Q45*30000</f>
        <v>18413.230519480519</v>
      </c>
      <c r="S45" s="32" t="s">
        <v>45</v>
      </c>
      <c r="T45" s="15" t="s">
        <v>44</v>
      </c>
      <c r="U45" s="14" t="s">
        <v>43</v>
      </c>
      <c r="V45" s="31" t="s">
        <v>42</v>
      </c>
      <c r="W45" s="30" t="s">
        <v>30</v>
      </c>
    </row>
    <row r="46" spans="1:23" s="125" customFormat="1" ht="45" x14ac:dyDescent="0.25">
      <c r="A46" s="137">
        <v>5</v>
      </c>
      <c r="B46" s="136" t="s">
        <v>41</v>
      </c>
      <c r="C46" s="135">
        <v>0</v>
      </c>
      <c r="D46" s="134"/>
      <c r="E46" s="133">
        <v>0</v>
      </c>
      <c r="F46" s="132">
        <f>C46*10/420/220</f>
        <v>0</v>
      </c>
      <c r="G46" s="132">
        <f t="shared" si="7"/>
        <v>0</v>
      </c>
      <c r="H46" s="133">
        <v>0</v>
      </c>
      <c r="I46" s="132">
        <v>0</v>
      </c>
      <c r="J46" s="132">
        <v>0</v>
      </c>
      <c r="K46" s="133">
        <v>0</v>
      </c>
      <c r="L46" s="133">
        <v>0</v>
      </c>
      <c r="M46" s="132">
        <v>0</v>
      </c>
      <c r="N46" s="133"/>
      <c r="O46" s="132"/>
      <c r="P46" s="132"/>
      <c r="Q46" s="131">
        <f t="shared" si="8"/>
        <v>0</v>
      </c>
      <c r="R46" s="139"/>
      <c r="S46" s="129"/>
      <c r="T46" s="128" t="s">
        <v>36</v>
      </c>
      <c r="U46" s="127" t="s">
        <v>30</v>
      </c>
      <c r="V46" s="127" t="s">
        <v>39</v>
      </c>
      <c r="W46" s="126" t="s">
        <v>30</v>
      </c>
    </row>
    <row r="47" spans="1:23" s="125" customFormat="1" x14ac:dyDescent="0.25">
      <c r="A47" s="137"/>
      <c r="B47" s="136" t="s">
        <v>38</v>
      </c>
      <c r="C47" s="135">
        <v>0</v>
      </c>
      <c r="D47" s="134"/>
      <c r="E47" s="133">
        <v>0</v>
      </c>
      <c r="F47" s="132">
        <f>C47*10/420/220</f>
        <v>0</v>
      </c>
      <c r="G47" s="132">
        <f t="shared" si="7"/>
        <v>0</v>
      </c>
      <c r="H47" s="133">
        <v>0</v>
      </c>
      <c r="I47" s="132">
        <v>0</v>
      </c>
      <c r="J47" s="132">
        <v>0</v>
      </c>
      <c r="K47" s="133">
        <f>C47*50/420/220</f>
        <v>0</v>
      </c>
      <c r="L47" s="133">
        <f>C47*70/420/220</f>
        <v>0</v>
      </c>
      <c r="M47" s="132">
        <f>AVERAGE(K47:L47)</f>
        <v>0</v>
      </c>
      <c r="N47" s="133"/>
      <c r="O47" s="132"/>
      <c r="P47" s="132"/>
      <c r="Q47" s="131">
        <f t="shared" si="8"/>
        <v>0</v>
      </c>
      <c r="R47" s="139"/>
      <c r="S47" s="129" t="s">
        <v>21</v>
      </c>
      <c r="T47" s="128" t="s">
        <v>30</v>
      </c>
      <c r="U47" s="127" t="s">
        <v>30</v>
      </c>
      <c r="V47" s="127" t="s">
        <v>30</v>
      </c>
      <c r="W47" s="126" t="s">
        <v>30</v>
      </c>
    </row>
    <row r="48" spans="1:23" s="125" customFormat="1" x14ac:dyDescent="0.25">
      <c r="A48" s="137">
        <v>6</v>
      </c>
      <c r="B48" s="136" t="s">
        <v>34</v>
      </c>
      <c r="C48" s="135">
        <v>0</v>
      </c>
      <c r="D48" s="134"/>
      <c r="E48" s="133"/>
      <c r="F48" s="132"/>
      <c r="G48" s="132"/>
      <c r="H48" s="133"/>
      <c r="I48" s="132"/>
      <c r="J48" s="132"/>
      <c r="K48" s="133">
        <f>C48*30*0.75/420/220</f>
        <v>0</v>
      </c>
      <c r="L48" s="133">
        <f>C48*30*0.75/420/220</f>
        <v>0</v>
      </c>
      <c r="M48" s="132">
        <f>AVERAGE(K48:L48)</f>
        <v>0</v>
      </c>
      <c r="N48" s="133"/>
      <c r="O48" s="132"/>
      <c r="P48" s="132"/>
      <c r="Q48" s="131">
        <f t="shared" si="8"/>
        <v>0</v>
      </c>
      <c r="R48" s="139"/>
      <c r="S48" s="129"/>
      <c r="T48" s="128" t="s">
        <v>30</v>
      </c>
      <c r="U48" s="127" t="s">
        <v>30</v>
      </c>
      <c r="V48" s="127" t="s">
        <v>30</v>
      </c>
      <c r="W48" s="126" t="s">
        <v>30</v>
      </c>
    </row>
    <row r="49" spans="1:23" s="125" customFormat="1" ht="212.25" customHeight="1" thickBot="1" x14ac:dyDescent="0.3">
      <c r="A49" s="137">
        <v>7</v>
      </c>
      <c r="B49" s="136" t="s">
        <v>33</v>
      </c>
      <c r="C49" s="135"/>
      <c r="D49" s="134"/>
      <c r="E49" s="133"/>
      <c r="F49" s="132"/>
      <c r="G49" s="132"/>
      <c r="H49" s="133"/>
      <c r="I49" s="132"/>
      <c r="J49" s="132"/>
      <c r="K49" s="133">
        <f>C49*15/420/220</f>
        <v>0</v>
      </c>
      <c r="L49" s="133">
        <f>C49*25/420/220</f>
        <v>0</v>
      </c>
      <c r="M49" s="132">
        <f>AVERAGE(K49:L49)</f>
        <v>0</v>
      </c>
      <c r="N49" s="133"/>
      <c r="O49" s="132"/>
      <c r="P49" s="132"/>
      <c r="Q49" s="131">
        <f t="shared" si="8"/>
        <v>0</v>
      </c>
      <c r="R49" s="139">
        <f>Q49*30000</f>
        <v>0</v>
      </c>
      <c r="S49" s="129" t="s">
        <v>32</v>
      </c>
      <c r="T49" s="128" t="s">
        <v>30</v>
      </c>
      <c r="U49" s="127" t="s">
        <v>30</v>
      </c>
      <c r="V49" s="127" t="s">
        <v>31</v>
      </c>
      <c r="W49" s="126" t="s">
        <v>30</v>
      </c>
    </row>
    <row r="50" spans="1:23" ht="15.75" thickBot="1" x14ac:dyDescent="0.3">
      <c r="A50" t="s">
        <v>21</v>
      </c>
      <c r="C50" s="12"/>
      <c r="D50" s="12"/>
      <c r="E50" s="12"/>
      <c r="F50" s="12"/>
      <c r="G50" s="12"/>
      <c r="H50" s="12"/>
      <c r="I50" s="12"/>
      <c r="J50" s="12"/>
      <c r="K50" s="12"/>
      <c r="L50" s="12"/>
      <c r="M50" s="12"/>
      <c r="N50" s="12"/>
      <c r="O50" s="12"/>
      <c r="P50" s="12"/>
      <c r="Q50" s="11">
        <f>SUM(Q32+Q40+Q44+Q45+Q46+Q47+Q48+Q49)</f>
        <v>6.9473402326839828</v>
      </c>
      <c r="R50" s="26">
        <f>Q50*30000</f>
        <v>208420.20698051949</v>
      </c>
    </row>
    <row r="51" spans="1:23" x14ac:dyDescent="0.25">
      <c r="C51" s="12"/>
      <c r="D51" s="12"/>
      <c r="E51" s="12"/>
      <c r="F51" s="12"/>
      <c r="G51" s="12"/>
      <c r="H51" s="12"/>
      <c r="I51" s="12"/>
      <c r="J51" s="12"/>
      <c r="K51" s="12"/>
      <c r="L51" s="12"/>
      <c r="M51" s="12"/>
      <c r="N51" s="12"/>
      <c r="O51" s="12"/>
      <c r="P51" s="12"/>
      <c r="Q51" s="81"/>
      <c r="R51" s="80"/>
    </row>
    <row r="52" spans="1:23" x14ac:dyDescent="0.25">
      <c r="C52" s="12"/>
      <c r="D52" s="12"/>
      <c r="E52" s="12"/>
      <c r="F52" s="12"/>
      <c r="G52" s="12"/>
      <c r="H52" s="12"/>
      <c r="I52" s="12"/>
      <c r="J52" s="12"/>
      <c r="K52" s="12"/>
      <c r="L52" s="12"/>
      <c r="M52" s="12"/>
      <c r="N52" s="12"/>
      <c r="O52" s="12"/>
      <c r="P52" s="12"/>
      <c r="Q52" s="81"/>
      <c r="R52" s="80"/>
    </row>
    <row r="53" spans="1:23" x14ac:dyDescent="0.25">
      <c r="Q53" s="80"/>
      <c r="R53" s="80"/>
    </row>
    <row r="54" spans="1:23" ht="15.75" thickBot="1" x14ac:dyDescent="0.3">
      <c r="B54" s="9" t="s">
        <v>108</v>
      </c>
    </row>
    <row r="55" spans="1:23" ht="15.75" thickBot="1" x14ac:dyDescent="0.3">
      <c r="E55" s="154"/>
      <c r="F55" s="154"/>
      <c r="G55" s="154"/>
      <c r="H55" s="154"/>
      <c r="I55" s="154"/>
      <c r="J55" s="154"/>
      <c r="K55" s="154"/>
      <c r="L55" s="154"/>
      <c r="M55" s="154"/>
      <c r="N55" s="154"/>
      <c r="O55" s="154"/>
      <c r="P55" s="154"/>
      <c r="Q55" s="154"/>
      <c r="R55" s="79"/>
      <c r="S55" s="78"/>
      <c r="T55" s="78"/>
      <c r="U55" s="78"/>
      <c r="V55" s="78"/>
      <c r="W55" s="78"/>
    </row>
    <row r="56" spans="1:23" ht="45" customHeight="1" thickBot="1" x14ac:dyDescent="0.3">
      <c r="A56" s="24" t="s">
        <v>107</v>
      </c>
      <c r="B56" s="23" t="s">
        <v>106</v>
      </c>
      <c r="C56" s="77" t="s">
        <v>105</v>
      </c>
      <c r="D56" s="76" t="s">
        <v>104</v>
      </c>
      <c r="E56" s="155" t="s">
        <v>103</v>
      </c>
      <c r="F56" s="156"/>
      <c r="G56" s="157"/>
      <c r="H56" s="158" t="s">
        <v>102</v>
      </c>
      <c r="I56" s="159"/>
      <c r="J56" s="160"/>
      <c r="K56" s="161" t="s">
        <v>101</v>
      </c>
      <c r="L56" s="162"/>
      <c r="M56" s="162"/>
      <c r="N56" s="163" t="s">
        <v>100</v>
      </c>
      <c r="O56" s="159"/>
      <c r="P56" s="164"/>
      <c r="Q56" s="75" t="s">
        <v>29</v>
      </c>
      <c r="R56" s="74" t="s">
        <v>99</v>
      </c>
      <c r="S56" s="73" t="s">
        <v>98</v>
      </c>
      <c r="T56" s="73" t="s">
        <v>97</v>
      </c>
      <c r="U56" s="73" t="s">
        <v>97</v>
      </c>
      <c r="V56" s="73" t="s">
        <v>97</v>
      </c>
      <c r="W56" s="73" t="s">
        <v>97</v>
      </c>
    </row>
    <row r="57" spans="1:23" ht="15.75" thickBot="1" x14ac:dyDescent="0.3">
      <c r="A57" s="24"/>
      <c r="B57" s="23"/>
      <c r="C57" s="72" t="s">
        <v>96</v>
      </c>
      <c r="D57" s="72"/>
      <c r="E57" s="72" t="s">
        <v>95</v>
      </c>
      <c r="F57" s="24" t="s">
        <v>94</v>
      </c>
      <c r="G57" s="24" t="s">
        <v>93</v>
      </c>
      <c r="H57" s="72" t="s">
        <v>95</v>
      </c>
      <c r="I57" s="24" t="s">
        <v>94</v>
      </c>
      <c r="J57" s="24" t="s">
        <v>93</v>
      </c>
      <c r="K57" s="72" t="s">
        <v>95</v>
      </c>
      <c r="L57" s="24" t="s">
        <v>94</v>
      </c>
      <c r="M57" s="24" t="s">
        <v>93</v>
      </c>
      <c r="N57" s="72" t="s">
        <v>95</v>
      </c>
      <c r="O57" s="24" t="s">
        <v>94</v>
      </c>
      <c r="P57" s="24" t="s">
        <v>93</v>
      </c>
      <c r="Q57" s="71"/>
      <c r="R57" s="70" t="s">
        <v>92</v>
      </c>
      <c r="S57" s="69"/>
      <c r="T57" s="69"/>
      <c r="U57" s="69"/>
      <c r="V57" s="69"/>
      <c r="W57" s="69"/>
    </row>
    <row r="58" spans="1:23" ht="105" x14ac:dyDescent="0.25">
      <c r="A58" s="24">
        <v>1</v>
      </c>
      <c r="B58" s="23" t="s">
        <v>91</v>
      </c>
      <c r="C58" s="22"/>
      <c r="D58" s="22"/>
      <c r="E58" s="68">
        <f t="shared" ref="E58:P58" si="9">SUM(E59:E65)</f>
        <v>0.30635822510822508</v>
      </c>
      <c r="F58" s="68">
        <f t="shared" si="9"/>
        <v>0.31988636363636364</v>
      </c>
      <c r="G58" s="68">
        <f t="shared" si="9"/>
        <v>0.31312229437229433</v>
      </c>
      <c r="H58" s="68">
        <f t="shared" si="9"/>
        <v>0.60213744588744589</v>
      </c>
      <c r="I58" s="68">
        <f t="shared" si="9"/>
        <v>0.60213744588744589</v>
      </c>
      <c r="J58" s="68">
        <f t="shared" si="9"/>
        <v>0.60213744588744589</v>
      </c>
      <c r="K58" s="68">
        <f t="shared" si="9"/>
        <v>4.2617694805194803</v>
      </c>
      <c r="L58" s="68">
        <f t="shared" si="9"/>
        <v>4.2617694805194803</v>
      </c>
      <c r="M58" s="68">
        <f t="shared" si="9"/>
        <v>4.2617694805194803</v>
      </c>
      <c r="N58" s="68">
        <f t="shared" si="9"/>
        <v>0.11363636363636362</v>
      </c>
      <c r="O58" s="68">
        <f t="shared" si="9"/>
        <v>0.18127705627705626</v>
      </c>
      <c r="P58" s="68">
        <f t="shared" si="9"/>
        <v>0.14745670995670995</v>
      </c>
      <c r="Q58" s="18">
        <f>G58+J58+M58+P58</f>
        <v>5.3244859307359311</v>
      </c>
      <c r="R58" s="26">
        <f>Q58*29420</f>
        <v>156646.37608225108</v>
      </c>
      <c r="S58" s="51" t="s">
        <v>90</v>
      </c>
      <c r="T58" s="15" t="s">
        <v>89</v>
      </c>
      <c r="U58" s="65" t="s">
        <v>88</v>
      </c>
      <c r="V58" s="65" t="s">
        <v>88</v>
      </c>
      <c r="W58" s="67" t="s">
        <v>88</v>
      </c>
    </row>
    <row r="59" spans="1:23" ht="105" x14ac:dyDescent="0.25">
      <c r="A59" s="24"/>
      <c r="B59" s="64" t="s">
        <v>87</v>
      </c>
      <c r="C59" s="143">
        <f>+'[1]MS Reb tables'!D25*'[1]MS Reb tables'!D26</f>
        <v>174.99999999999997</v>
      </c>
      <c r="D59" s="56"/>
      <c r="E59" s="53">
        <f>C59*10/420/220</f>
        <v>1.8939393939393936E-2</v>
      </c>
      <c r="F59" s="52">
        <f>C59*10/420/220</f>
        <v>1.8939393939393936E-2</v>
      </c>
      <c r="G59" s="19">
        <f>AVERAGE(E59:F59)</f>
        <v>1.8939393939393936E-2</v>
      </c>
      <c r="H59" s="53">
        <f>C59*30*0.8/420/220</f>
        <v>4.5454545454545449E-2</v>
      </c>
      <c r="I59" s="52">
        <f>C59*30*0.8/420/220</f>
        <v>4.5454545454545449E-2</v>
      </c>
      <c r="J59" s="52">
        <f>C59*30*0.8/420/220</f>
        <v>4.5454545454545449E-2</v>
      </c>
      <c r="K59" s="53">
        <v>0.25</v>
      </c>
      <c r="L59" s="54">
        <v>0.25</v>
      </c>
      <c r="M59" s="54">
        <v>0.25</v>
      </c>
      <c r="N59" s="53">
        <f>C59*2*30/420/220</f>
        <v>0.11363636363636362</v>
      </c>
      <c r="O59" s="53">
        <f>C59*2*30/420/220</f>
        <v>0.11363636363636362</v>
      </c>
      <c r="P59" s="19">
        <f>AVERAGE(N59:O59)</f>
        <v>0.11363636363636362</v>
      </c>
      <c r="Q59" s="18"/>
      <c r="R59" s="26"/>
      <c r="S59" s="51" t="s">
        <v>86</v>
      </c>
      <c r="T59" s="15" t="s">
        <v>85</v>
      </c>
      <c r="U59" s="14" t="s">
        <v>84</v>
      </c>
      <c r="V59" s="65" t="s">
        <v>83</v>
      </c>
      <c r="W59" s="67" t="s">
        <v>82</v>
      </c>
    </row>
    <row r="60" spans="1:23" ht="105" x14ac:dyDescent="0.25">
      <c r="A60" s="24"/>
      <c r="B60" s="64" t="s">
        <v>81</v>
      </c>
      <c r="C60" s="35">
        <v>2500</v>
      </c>
      <c r="D60" s="56"/>
      <c r="E60" s="55">
        <v>0</v>
      </c>
      <c r="F60" s="52">
        <v>0</v>
      </c>
      <c r="G60" s="19">
        <v>0</v>
      </c>
      <c r="H60" s="53">
        <v>0</v>
      </c>
      <c r="I60" s="52">
        <v>0</v>
      </c>
      <c r="J60" s="52">
        <v>0</v>
      </c>
      <c r="K60" s="53">
        <f>C60*5*30*0.75/420/220</f>
        <v>3.0438311688311686</v>
      </c>
      <c r="L60" s="53">
        <f>C60*5*30*0.75/420/220</f>
        <v>3.0438311688311686</v>
      </c>
      <c r="M60" s="19">
        <f>AVERAGE(K60:L60)</f>
        <v>3.0438311688311686</v>
      </c>
      <c r="N60" s="53">
        <v>0</v>
      </c>
      <c r="O60" s="52">
        <f>C60*10*0.25/420/220</f>
        <v>6.764069264069264E-2</v>
      </c>
      <c r="P60" s="19">
        <f>AVERAGE(N60:O60)</f>
        <v>3.382034632034632E-2</v>
      </c>
      <c r="Q60" s="18"/>
      <c r="R60" s="26"/>
      <c r="S60" s="51" t="s">
        <v>73</v>
      </c>
      <c r="T60" s="15" t="s">
        <v>30</v>
      </c>
      <c r="U60" s="14" t="s">
        <v>30</v>
      </c>
      <c r="V60" s="14" t="s">
        <v>80</v>
      </c>
      <c r="W60" s="67" t="s">
        <v>79</v>
      </c>
    </row>
    <row r="61" spans="1:23" ht="45" x14ac:dyDescent="0.25">
      <c r="A61" s="24"/>
      <c r="B61" s="64" t="s">
        <v>78</v>
      </c>
      <c r="C61" s="63">
        <v>2500</v>
      </c>
      <c r="D61" s="56"/>
      <c r="E61" s="55">
        <v>0</v>
      </c>
      <c r="F61" s="52">
        <v>0</v>
      </c>
      <c r="G61" s="19">
        <v>0</v>
      </c>
      <c r="H61" s="53">
        <v>0</v>
      </c>
      <c r="I61" s="52">
        <v>0</v>
      </c>
      <c r="J61" s="52">
        <v>0</v>
      </c>
      <c r="K61" s="53">
        <f>C61*30/420/220</f>
        <v>0.81168831168831179</v>
      </c>
      <c r="L61" s="53">
        <f>C61*30/420/220</f>
        <v>0.81168831168831179</v>
      </c>
      <c r="M61" s="19">
        <f>AVERAGE(K61:L61)</f>
        <v>0.81168831168831179</v>
      </c>
      <c r="N61" s="53">
        <v>0</v>
      </c>
      <c r="O61" s="52">
        <v>0</v>
      </c>
      <c r="P61" s="52">
        <v>0</v>
      </c>
      <c r="Q61" s="18"/>
      <c r="R61" s="26"/>
      <c r="S61" s="51" t="s">
        <v>73</v>
      </c>
      <c r="T61" s="15" t="s">
        <v>30</v>
      </c>
      <c r="U61" s="14" t="s">
        <v>30</v>
      </c>
      <c r="V61" s="65" t="s">
        <v>77</v>
      </c>
      <c r="W61" s="13" t="s">
        <v>30</v>
      </c>
    </row>
    <row r="62" spans="1:23" ht="90" x14ac:dyDescent="0.25">
      <c r="A62" s="24"/>
      <c r="B62" s="64" t="s">
        <v>76</v>
      </c>
      <c r="C62" s="35">
        <v>2500</v>
      </c>
      <c r="D62" s="56"/>
      <c r="E62" s="55">
        <f>C62*0.05*60/420/220</f>
        <v>8.1168831168831168E-2</v>
      </c>
      <c r="F62" s="55">
        <f>C62*0.05*70/420/220</f>
        <v>9.4696969696969696E-2</v>
      </c>
      <c r="G62" s="19">
        <f>AVERAGE(E62:F62)</f>
        <v>8.7932900432900432E-2</v>
      </c>
      <c r="H62" s="53">
        <v>0</v>
      </c>
      <c r="I62" s="52">
        <v>0</v>
      </c>
      <c r="J62" s="52">
        <v>0</v>
      </c>
      <c r="K62" s="53">
        <v>0</v>
      </c>
      <c r="L62" s="54">
        <v>0</v>
      </c>
      <c r="M62" s="54">
        <v>0</v>
      </c>
      <c r="N62" s="53">
        <v>0</v>
      </c>
      <c r="O62" s="52">
        <v>0</v>
      </c>
      <c r="P62" s="52">
        <v>0</v>
      </c>
      <c r="Q62" s="18"/>
      <c r="R62" s="26"/>
      <c r="S62" s="51" t="s">
        <v>73</v>
      </c>
      <c r="T62" s="15" t="s">
        <v>75</v>
      </c>
      <c r="U62" s="66" t="s">
        <v>30</v>
      </c>
      <c r="V62" s="65" t="s">
        <v>30</v>
      </c>
      <c r="W62" s="13" t="s">
        <v>30</v>
      </c>
    </row>
    <row r="63" spans="1:23" ht="90" x14ac:dyDescent="0.25">
      <c r="A63" s="24"/>
      <c r="B63" s="64" t="s">
        <v>74</v>
      </c>
      <c r="C63" s="63">
        <v>175</v>
      </c>
      <c r="D63" s="56"/>
      <c r="E63" s="55">
        <v>0</v>
      </c>
      <c r="F63" s="52">
        <v>0</v>
      </c>
      <c r="G63" s="19">
        <v>0</v>
      </c>
      <c r="H63" s="53">
        <f>C63*30*0.75/420/220</f>
        <v>4.261363636363636E-2</v>
      </c>
      <c r="I63" s="53">
        <f>C63*30*0.75/420/220</f>
        <v>4.261363636363636E-2</v>
      </c>
      <c r="J63" s="19">
        <f>AVERAGE(H63:I63)</f>
        <v>4.261363636363636E-2</v>
      </c>
      <c r="K63" s="53">
        <v>0</v>
      </c>
      <c r="L63" s="54">
        <v>0</v>
      </c>
      <c r="M63" s="54">
        <v>0</v>
      </c>
      <c r="N63" s="53">
        <v>0</v>
      </c>
      <c r="O63" s="52">
        <v>0</v>
      </c>
      <c r="P63" s="52">
        <v>0</v>
      </c>
      <c r="Q63" s="18"/>
      <c r="R63" s="26"/>
      <c r="S63" s="51" t="s">
        <v>73</v>
      </c>
      <c r="T63" s="15" t="s">
        <v>30</v>
      </c>
      <c r="U63" s="14" t="s">
        <v>72</v>
      </c>
      <c r="V63" s="14" t="s">
        <v>30</v>
      </c>
      <c r="W63" s="13" t="s">
        <v>30</v>
      </c>
    </row>
    <row r="64" spans="1:23" ht="30" x14ac:dyDescent="0.25">
      <c r="A64" s="24"/>
      <c r="B64" s="57" t="s">
        <v>71</v>
      </c>
      <c r="C64" s="22">
        <v>19000</v>
      </c>
      <c r="D64" s="62"/>
      <c r="E64" s="61">
        <v>0</v>
      </c>
      <c r="F64" s="58">
        <v>0</v>
      </c>
      <c r="G64" s="27">
        <v>0</v>
      </c>
      <c r="H64" s="59">
        <f>C64*5*0.5/420/220</f>
        <v>0.51406926406926412</v>
      </c>
      <c r="I64" s="59">
        <f>C64*5*0.5/420/220</f>
        <v>0.51406926406926412</v>
      </c>
      <c r="J64" s="27">
        <f>AVERAGE(H64:I64)</f>
        <v>0.51406926406926412</v>
      </c>
      <c r="K64" s="59">
        <v>0</v>
      </c>
      <c r="L64" s="60">
        <v>0</v>
      </c>
      <c r="M64" s="60">
        <v>0</v>
      </c>
      <c r="N64" s="59">
        <v>0</v>
      </c>
      <c r="O64" s="58">
        <v>0</v>
      </c>
      <c r="P64" s="52">
        <v>0</v>
      </c>
      <c r="Q64" s="18"/>
      <c r="R64" s="26"/>
      <c r="S64" s="51" t="s">
        <v>70</v>
      </c>
      <c r="T64" s="15" t="s">
        <v>69</v>
      </c>
      <c r="U64" s="14" t="s">
        <v>69</v>
      </c>
      <c r="V64" s="14" t="s">
        <v>69</v>
      </c>
      <c r="W64" s="13" t="s">
        <v>30</v>
      </c>
    </row>
    <row r="65" spans="1:23" ht="150" x14ac:dyDescent="0.25">
      <c r="A65" s="24"/>
      <c r="B65" s="57" t="s">
        <v>68</v>
      </c>
      <c r="C65" s="86">
        <f>+'[1]MS Reb tables'!D25</f>
        <v>3849.9999999999995</v>
      </c>
      <c r="D65" s="56"/>
      <c r="E65" s="55">
        <f>C65*0.33*15/420/220</f>
        <v>0.20624999999999999</v>
      </c>
      <c r="F65" s="55">
        <f>C65*0.33*15/420/220</f>
        <v>0.20624999999999999</v>
      </c>
      <c r="G65" s="19">
        <f>AVERAGE(E65:F65)</f>
        <v>0.20624999999999999</v>
      </c>
      <c r="H65" s="53">
        <v>0</v>
      </c>
      <c r="I65" s="54">
        <v>0</v>
      </c>
      <c r="J65" s="19">
        <v>0</v>
      </c>
      <c r="K65" s="54">
        <f>C65*15*0.25/420/220</f>
        <v>0.15624999999999997</v>
      </c>
      <c r="L65" s="54">
        <f>C65*15*0.25/420/220</f>
        <v>0.15624999999999997</v>
      </c>
      <c r="M65" s="19">
        <f>AVERAGE(K65:L65)</f>
        <v>0.15624999999999997</v>
      </c>
      <c r="N65" s="53">
        <v>0</v>
      </c>
      <c r="O65" s="52">
        <v>0</v>
      </c>
      <c r="P65" s="52">
        <v>0</v>
      </c>
      <c r="Q65" s="18"/>
      <c r="R65" s="26"/>
      <c r="S65" s="51"/>
      <c r="T65" s="15" t="s">
        <v>67</v>
      </c>
      <c r="U65" s="14" t="s">
        <v>30</v>
      </c>
      <c r="V65" s="14" t="s">
        <v>66</v>
      </c>
      <c r="W65" s="13" t="s">
        <v>30</v>
      </c>
    </row>
    <row r="66" spans="1:23" ht="75" x14ac:dyDescent="0.25">
      <c r="A66" s="37">
        <v>2</v>
      </c>
      <c r="B66" s="36" t="s">
        <v>65</v>
      </c>
      <c r="C66" s="143">
        <f>+[1]OI_2013!P10</f>
        <v>225</v>
      </c>
      <c r="D66" s="50"/>
      <c r="E66" s="49">
        <f t="shared" ref="E66:M66" si="10">SUM(E67:E69)</f>
        <v>0.10775162337662338</v>
      </c>
      <c r="F66" s="47">
        <f t="shared" si="10"/>
        <v>0.14549512987012989</v>
      </c>
      <c r="G66" s="47">
        <f t="shared" si="10"/>
        <v>0.12662337662337664</v>
      </c>
      <c r="H66" s="48">
        <f t="shared" si="10"/>
        <v>0.40624188311688308</v>
      </c>
      <c r="I66" s="47">
        <f t="shared" si="10"/>
        <v>0.40624188311688308</v>
      </c>
      <c r="J66" s="47">
        <f t="shared" si="10"/>
        <v>0.40624188311688308</v>
      </c>
      <c r="K66" s="47">
        <f t="shared" si="10"/>
        <v>0.33174715909090913</v>
      </c>
      <c r="L66" s="47">
        <f t="shared" si="10"/>
        <v>0.33174715909090913</v>
      </c>
      <c r="M66" s="47">
        <f t="shared" si="10"/>
        <v>0.33174715909090913</v>
      </c>
      <c r="N66" s="48">
        <v>0</v>
      </c>
      <c r="O66" s="47">
        <f>C66*2*15/420/220</f>
        <v>7.3051948051948062E-2</v>
      </c>
      <c r="P66" s="46">
        <f>AVERAGE(N66:O66)</f>
        <v>3.6525974025974031E-2</v>
      </c>
      <c r="Q66" s="18">
        <f>G66+J66+M66+P66</f>
        <v>0.90113839285714281</v>
      </c>
      <c r="R66" s="45">
        <f>Q66*29420</f>
        <v>26511.491517857143</v>
      </c>
      <c r="S66" s="39" t="s">
        <v>64</v>
      </c>
      <c r="T66" s="15" t="s">
        <v>63</v>
      </c>
      <c r="U66" s="44"/>
      <c r="V66" s="44"/>
      <c r="W66" s="43"/>
    </row>
    <row r="67" spans="1:23" ht="105" x14ac:dyDescent="0.25">
      <c r="A67" s="37"/>
      <c r="B67" s="36" t="s">
        <v>62</v>
      </c>
      <c r="C67" s="102">
        <f>0.75*C66</f>
        <v>168.75</v>
      </c>
      <c r="D67" s="42">
        <v>6.8</v>
      </c>
      <c r="E67" s="41">
        <f>C67*15/420/220</f>
        <v>2.739448051948052E-2</v>
      </c>
      <c r="F67" s="27">
        <f>C67*30/420/220</f>
        <v>5.478896103896104E-2</v>
      </c>
      <c r="G67" s="27">
        <f t="shared" ref="G67:G73" si="11">AVERAGE(E67:F67)</f>
        <v>4.1091720779220783E-2</v>
      </c>
      <c r="H67" s="28">
        <v>0</v>
      </c>
      <c r="I67" s="27">
        <v>0</v>
      </c>
      <c r="J67" s="27">
        <v>0</v>
      </c>
      <c r="K67" s="28">
        <f>C67*(D67-1)*15/420/220</f>
        <v>0.15888798701298704</v>
      </c>
      <c r="L67" s="28">
        <f>C67*(D67-1)*15/420/220</f>
        <v>0.15888798701298704</v>
      </c>
      <c r="M67" s="27">
        <f>AVERAGE(K67:L67)</f>
        <v>0.15888798701298704</v>
      </c>
      <c r="N67" s="28"/>
      <c r="O67" s="27"/>
      <c r="P67" s="19"/>
      <c r="Q67" s="40"/>
      <c r="R67" s="26"/>
      <c r="S67" s="39" t="s">
        <v>54</v>
      </c>
      <c r="T67" s="15" t="s">
        <v>61</v>
      </c>
      <c r="U67" s="14" t="s">
        <v>30</v>
      </c>
      <c r="V67" s="38" t="s">
        <v>60</v>
      </c>
      <c r="W67" s="30" t="s">
        <v>30</v>
      </c>
    </row>
    <row r="68" spans="1:23" ht="150" x14ac:dyDescent="0.25">
      <c r="A68" s="37"/>
      <c r="B68" s="36" t="s">
        <v>59</v>
      </c>
      <c r="C68" s="102">
        <f>0.15*C66</f>
        <v>33.75</v>
      </c>
      <c r="D68" s="42">
        <v>7.1</v>
      </c>
      <c r="E68" s="41">
        <f>C68*120/420/220</f>
        <v>4.3831168831168832E-2</v>
      </c>
      <c r="F68" s="27">
        <f>C68*15/420/220+E68</f>
        <v>4.9310064935064936E-2</v>
      </c>
      <c r="G68" s="27">
        <f t="shared" si="11"/>
        <v>4.657061688311688E-2</v>
      </c>
      <c r="H68" s="41">
        <f>$C$15*(D68*0.75)*60/420/220</f>
        <v>0.21524756493506492</v>
      </c>
      <c r="I68" s="27">
        <f>$C$15*(D68*0.75)*60/420/220</f>
        <v>0.21524756493506492</v>
      </c>
      <c r="J68" s="27">
        <f>AVERAGE(H68:I68)</f>
        <v>0.21524756493506492</v>
      </c>
      <c r="K68" s="28">
        <f>C68*(D68-1)*60*0.75/420/220</f>
        <v>0.1002637987012987</v>
      </c>
      <c r="L68" s="28">
        <f>C68*(D68-1)*60*0.75/420/220</f>
        <v>0.1002637987012987</v>
      </c>
      <c r="M68" s="27">
        <f>AVERAGE(K68:L68)</f>
        <v>0.1002637987012987</v>
      </c>
      <c r="N68" s="41"/>
      <c r="O68" s="27"/>
      <c r="P68" s="19"/>
      <c r="Q68" s="40"/>
      <c r="R68" s="26"/>
      <c r="S68" s="39" t="s">
        <v>54</v>
      </c>
      <c r="T68" s="15" t="s">
        <v>58</v>
      </c>
      <c r="U68" s="38" t="s">
        <v>57</v>
      </c>
      <c r="V68" s="38" t="s">
        <v>56</v>
      </c>
      <c r="W68" s="30" t="s">
        <v>30</v>
      </c>
    </row>
    <row r="69" spans="1:23" ht="135" x14ac:dyDescent="0.25">
      <c r="A69" s="37"/>
      <c r="B69" s="36" t="s">
        <v>55</v>
      </c>
      <c r="C69" s="144">
        <f>+C66-C67-C68</f>
        <v>22.5</v>
      </c>
      <c r="D69" s="42">
        <v>6.3</v>
      </c>
      <c r="E69" s="41">
        <f>C69*(120+30)/420/220</f>
        <v>3.6525974025974031E-2</v>
      </c>
      <c r="F69" s="27">
        <f>(C69*20)/420/220+E69</f>
        <v>4.1396103896103903E-2</v>
      </c>
      <c r="G69" s="27">
        <f t="shared" si="11"/>
        <v>3.8961038961038967E-2</v>
      </c>
      <c r="H69" s="41">
        <f>$C$16*90*(D69*0.75)/420/220</f>
        <v>0.19099431818181817</v>
      </c>
      <c r="I69" s="41">
        <f>$C$16*90*(D69*0.75)/420/220</f>
        <v>0.19099431818181817</v>
      </c>
      <c r="J69" s="27">
        <f>AVERAGE(H69:I69)</f>
        <v>0.19099431818181817</v>
      </c>
      <c r="K69" s="28">
        <f>C69*(D69-1)*75*0.75/420/220</f>
        <v>7.2595373376623376E-2</v>
      </c>
      <c r="L69" s="28">
        <f>C69*(D69-1)*75*0.75/420/220</f>
        <v>7.2595373376623376E-2</v>
      </c>
      <c r="M69" s="27">
        <f>AVERAGE(K69:L69)</f>
        <v>7.2595373376623376E-2</v>
      </c>
      <c r="N69" s="41"/>
      <c r="O69" s="41"/>
      <c r="P69" s="19"/>
      <c r="Q69" s="40"/>
      <c r="R69" s="26"/>
      <c r="S69" s="39" t="s">
        <v>54</v>
      </c>
      <c r="T69" s="15" t="s">
        <v>53</v>
      </c>
      <c r="U69" s="38" t="s">
        <v>52</v>
      </c>
      <c r="V69" s="38" t="s">
        <v>51</v>
      </c>
      <c r="W69" s="30" t="s">
        <v>30</v>
      </c>
    </row>
    <row r="70" spans="1:23" ht="150" x14ac:dyDescent="0.25">
      <c r="A70" s="37">
        <v>3</v>
      </c>
      <c r="B70" s="36" t="s">
        <v>50</v>
      </c>
      <c r="C70" s="143">
        <f>+[1]OI_2013!P6</f>
        <v>143</v>
      </c>
      <c r="D70" s="34"/>
      <c r="E70" s="28">
        <f>$C$17*10/420/220</f>
        <v>8.3917748917748919E-2</v>
      </c>
      <c r="F70" s="27">
        <f>$C$17*45/420/220</f>
        <v>0.37762987012987009</v>
      </c>
      <c r="G70" s="27">
        <f t="shared" si="11"/>
        <v>0.23077380952380949</v>
      </c>
      <c r="H70" s="28">
        <f>$C$17*60/420/220</f>
        <v>0.50350649350649346</v>
      </c>
      <c r="I70" s="27">
        <f>$C$17*90/420/220</f>
        <v>0.75525974025974019</v>
      </c>
      <c r="J70" s="27">
        <f>$C$17*60/420/220</f>
        <v>0.50350649350649346</v>
      </c>
      <c r="K70" s="28">
        <f>C70*10*1.25/420/220</f>
        <v>1.9345238095238096E-2</v>
      </c>
      <c r="L70" s="28">
        <f>C70*10*1.25/420/220</f>
        <v>1.9345238095238096E-2</v>
      </c>
      <c r="M70" s="27">
        <f>AVERAGE(K70:L70)</f>
        <v>1.9345238095238096E-2</v>
      </c>
      <c r="N70" s="28"/>
      <c r="O70" s="27"/>
      <c r="P70" s="19"/>
      <c r="Q70" s="18">
        <f t="shared" ref="Q70:Q75" si="12">G70+J70+M70</f>
        <v>0.75362554112554103</v>
      </c>
      <c r="R70" s="26">
        <f>Q70*29420</f>
        <v>22171.663419913417</v>
      </c>
      <c r="S70" s="33" t="s">
        <v>49</v>
      </c>
      <c r="T70" s="15" t="s">
        <v>48</v>
      </c>
      <c r="U70" s="14" t="s">
        <v>47</v>
      </c>
      <c r="V70" s="31" t="s">
        <v>42</v>
      </c>
      <c r="W70" s="30" t="s">
        <v>30</v>
      </c>
    </row>
    <row r="71" spans="1:23" ht="135" x14ac:dyDescent="0.25">
      <c r="A71" s="24">
        <v>4</v>
      </c>
      <c r="B71" s="23" t="s">
        <v>46</v>
      </c>
      <c r="C71" s="86">
        <f>+[1]OI_2013!P14</f>
        <v>278.505</v>
      </c>
      <c r="D71" s="29"/>
      <c r="E71" s="28">
        <f>C71*10/420/220</f>
        <v>3.0141233766233771E-2</v>
      </c>
      <c r="F71" s="27">
        <f>C71*30/420/220</f>
        <v>9.0423701298701295E-2</v>
      </c>
      <c r="G71" s="27">
        <f t="shared" si="11"/>
        <v>6.0282467532467535E-2</v>
      </c>
      <c r="H71" s="28">
        <f>C71*60/420/220</f>
        <v>0.18084740259740259</v>
      </c>
      <c r="I71" s="27">
        <f>C71*90/420/220</f>
        <v>0.27127110389610393</v>
      </c>
      <c r="J71" s="27">
        <f>$C$17*60/420/220</f>
        <v>0.50350649350649346</v>
      </c>
      <c r="K71" s="28">
        <f>C71*10*1.25/420/220</f>
        <v>3.7676542207792207E-2</v>
      </c>
      <c r="L71" s="28">
        <f>C71*10*1.25/420/220</f>
        <v>3.7676542207792207E-2</v>
      </c>
      <c r="M71" s="27">
        <f>AVERAGE(K71:L71)</f>
        <v>3.7676542207792207E-2</v>
      </c>
      <c r="N71" s="28"/>
      <c r="O71" s="27"/>
      <c r="P71" s="19"/>
      <c r="Q71" s="18">
        <f t="shared" si="12"/>
        <v>0.6014655032467533</v>
      </c>
      <c r="R71" s="26">
        <f>Q71*29420</f>
        <v>17695.115105519482</v>
      </c>
      <c r="S71" s="32" t="s">
        <v>45</v>
      </c>
      <c r="T71" s="15" t="s">
        <v>44</v>
      </c>
      <c r="U71" s="14" t="s">
        <v>43</v>
      </c>
      <c r="V71" s="31" t="s">
        <v>42</v>
      </c>
      <c r="W71" s="30" t="s">
        <v>30</v>
      </c>
    </row>
    <row r="72" spans="1:23" s="125" customFormat="1" ht="45" x14ac:dyDescent="0.25">
      <c r="A72" s="137">
        <v>5</v>
      </c>
      <c r="B72" s="136" t="s">
        <v>41</v>
      </c>
      <c r="C72" s="135">
        <v>60</v>
      </c>
      <c r="D72" s="142"/>
      <c r="E72" s="141">
        <v>0</v>
      </c>
      <c r="F72" s="140">
        <f>C72*10/420/220</f>
        <v>6.4935064935064939E-3</v>
      </c>
      <c r="G72" s="140">
        <f t="shared" si="11"/>
        <v>3.246753246753247E-3</v>
      </c>
      <c r="H72" s="141">
        <v>0</v>
      </c>
      <c r="I72" s="140">
        <v>0</v>
      </c>
      <c r="J72" s="140">
        <v>0</v>
      </c>
      <c r="K72" s="141">
        <v>0</v>
      </c>
      <c r="L72" s="141">
        <v>0</v>
      </c>
      <c r="M72" s="140">
        <v>0</v>
      </c>
      <c r="N72" s="141"/>
      <c r="O72" s="140"/>
      <c r="P72" s="132"/>
      <c r="Q72" s="131">
        <f t="shared" si="12"/>
        <v>3.246753246753247E-3</v>
      </c>
      <c r="R72" s="139">
        <f>Q72*29420</f>
        <v>95.519480519480524</v>
      </c>
      <c r="S72" s="129" t="s">
        <v>40</v>
      </c>
      <c r="T72" s="128" t="s">
        <v>36</v>
      </c>
      <c r="U72" s="127" t="s">
        <v>30</v>
      </c>
      <c r="V72" s="127" t="s">
        <v>39</v>
      </c>
      <c r="W72" s="126" t="s">
        <v>30</v>
      </c>
    </row>
    <row r="73" spans="1:23" s="125" customFormat="1" ht="105" x14ac:dyDescent="0.25">
      <c r="A73" s="137"/>
      <c r="B73" s="136" t="s">
        <v>38</v>
      </c>
      <c r="C73" s="135">
        <v>0</v>
      </c>
      <c r="D73" s="134"/>
      <c r="E73" s="133">
        <v>0</v>
      </c>
      <c r="F73" s="132">
        <f>C73*10/420/220</f>
        <v>0</v>
      </c>
      <c r="G73" s="132">
        <f t="shared" si="11"/>
        <v>0</v>
      </c>
      <c r="H73" s="133">
        <v>0</v>
      </c>
      <c r="I73" s="132">
        <v>0</v>
      </c>
      <c r="J73" s="132">
        <v>0</v>
      </c>
      <c r="K73" s="133">
        <f>C73*50/420/220</f>
        <v>0</v>
      </c>
      <c r="L73" s="133">
        <f>C73*70/420/220</f>
        <v>0</v>
      </c>
      <c r="M73" s="132">
        <f>AVERAGE(K73:L73)</f>
        <v>0</v>
      </c>
      <c r="N73" s="133"/>
      <c r="O73" s="132"/>
      <c r="P73" s="132"/>
      <c r="Q73" s="131">
        <f t="shared" si="12"/>
        <v>0</v>
      </c>
      <c r="R73" s="139"/>
      <c r="S73" s="129" t="s">
        <v>37</v>
      </c>
      <c r="T73" s="128" t="s">
        <v>36</v>
      </c>
      <c r="U73" s="127" t="s">
        <v>30</v>
      </c>
      <c r="V73" s="127" t="s">
        <v>35</v>
      </c>
      <c r="W73" s="126" t="s">
        <v>30</v>
      </c>
    </row>
    <row r="74" spans="1:23" s="125" customFormat="1" ht="15.75" thickBot="1" x14ac:dyDescent="0.3">
      <c r="A74" s="137">
        <v>6</v>
      </c>
      <c r="B74" s="136" t="s">
        <v>34</v>
      </c>
      <c r="C74" s="135">
        <v>0</v>
      </c>
      <c r="D74" s="134"/>
      <c r="E74" s="133"/>
      <c r="F74" s="132"/>
      <c r="G74" s="132"/>
      <c r="H74" s="133"/>
      <c r="I74" s="132"/>
      <c r="J74" s="132"/>
      <c r="K74" s="133">
        <f>C74*30*0.75/420/220</f>
        <v>0</v>
      </c>
      <c r="L74" s="133">
        <f>C74*30*0.75/420/220</f>
        <v>0</v>
      </c>
      <c r="M74" s="132">
        <f>AVERAGE(K74:L74)</f>
        <v>0</v>
      </c>
      <c r="N74" s="133"/>
      <c r="O74" s="132"/>
      <c r="P74" s="132"/>
      <c r="Q74" s="131">
        <f t="shared" si="12"/>
        <v>0</v>
      </c>
      <c r="R74" s="138"/>
      <c r="S74" s="129"/>
      <c r="T74" s="128" t="s">
        <v>30</v>
      </c>
      <c r="U74" s="127" t="s">
        <v>30</v>
      </c>
      <c r="V74" s="127" t="s">
        <v>30</v>
      </c>
      <c r="W74" s="126" t="s">
        <v>30</v>
      </c>
    </row>
    <row r="75" spans="1:23" s="125" customFormat="1" ht="195.75" thickBot="1" x14ac:dyDescent="0.3">
      <c r="A75" s="137">
        <v>7</v>
      </c>
      <c r="B75" s="136" t="s">
        <v>33</v>
      </c>
      <c r="C75" s="135"/>
      <c r="D75" s="134"/>
      <c r="E75" s="133"/>
      <c r="F75" s="132"/>
      <c r="G75" s="132"/>
      <c r="H75" s="133"/>
      <c r="I75" s="132"/>
      <c r="J75" s="132"/>
      <c r="K75" s="133">
        <f>C75*15/420/220</f>
        <v>0</v>
      </c>
      <c r="L75" s="133">
        <f>C75*25/420/220</f>
        <v>0</v>
      </c>
      <c r="M75" s="132">
        <f>AVERAGE(K75:L75)</f>
        <v>0</v>
      </c>
      <c r="N75" s="133"/>
      <c r="O75" s="132"/>
      <c r="P75" s="132"/>
      <c r="Q75" s="131">
        <f t="shared" si="12"/>
        <v>0</v>
      </c>
      <c r="R75" s="130">
        <f>Q75*29420</f>
        <v>0</v>
      </c>
      <c r="S75" s="129" t="s">
        <v>32</v>
      </c>
      <c r="T75" s="128" t="s">
        <v>30</v>
      </c>
      <c r="U75" s="127" t="s">
        <v>30</v>
      </c>
      <c r="V75" s="127" t="s">
        <v>31</v>
      </c>
      <c r="W75" s="126" t="s">
        <v>30</v>
      </c>
    </row>
    <row r="76" spans="1:23" ht="15.75" thickBot="1" x14ac:dyDescent="0.3">
      <c r="A76" t="s">
        <v>21</v>
      </c>
      <c r="C76" s="12"/>
      <c r="D76" s="12"/>
      <c r="E76" s="12"/>
      <c r="F76" s="12"/>
      <c r="G76" s="12"/>
      <c r="H76" s="12"/>
      <c r="I76" s="12"/>
      <c r="J76" s="12"/>
      <c r="K76" s="12"/>
      <c r="L76" s="12"/>
      <c r="M76" s="12"/>
      <c r="N76" s="12"/>
      <c r="O76" s="12"/>
      <c r="P76" s="12"/>
      <c r="Q76" s="11">
        <f>SUM(Q58+Q66+Q70+Q71+Q72+Q73+Q74+Q75)</f>
        <v>7.5839621212121209</v>
      </c>
      <c r="R76" s="10">
        <f>Q76*29420</f>
        <v>223120.16560606059</v>
      </c>
    </row>
    <row r="77" spans="1:23" ht="15.75" thickBot="1" x14ac:dyDescent="0.3"/>
    <row r="78" spans="1:23" ht="15.75" thickBot="1" x14ac:dyDescent="0.3">
      <c r="A78" t="s">
        <v>21</v>
      </c>
      <c r="B78" s="9" t="s">
        <v>29</v>
      </c>
      <c r="Q78" s="8">
        <f>Q76+Q50+Q23</f>
        <v>21.093531601731602</v>
      </c>
      <c r="R78" s="7">
        <f>R76+R50+R23</f>
        <v>792462.98121753254</v>
      </c>
    </row>
    <row r="80" spans="1:23" x14ac:dyDescent="0.25">
      <c r="B80" s="2" t="s">
        <v>28</v>
      </c>
      <c r="Q80" s="6">
        <f>Q23+Q50+Q76</f>
        <v>21.093531601731602</v>
      </c>
      <c r="R80" s="5">
        <f>R23+R50+R76</f>
        <v>792462.98121753242</v>
      </c>
    </row>
    <row r="81" spans="1:18" s="1" customFormat="1" x14ac:dyDescent="0.25">
      <c r="A81"/>
      <c r="B81" t="s">
        <v>27</v>
      </c>
      <c r="C81"/>
      <c r="D81"/>
      <c r="E81"/>
      <c r="F81"/>
      <c r="G81"/>
      <c r="H81"/>
      <c r="I81"/>
      <c r="J81"/>
      <c r="K81"/>
      <c r="L81"/>
      <c r="M81"/>
      <c r="N81"/>
      <c r="O81"/>
      <c r="P81"/>
      <c r="Q81"/>
      <c r="R81">
        <v>8500</v>
      </c>
    </row>
    <row r="82" spans="1:18" s="1" customFormat="1" x14ac:dyDescent="0.25">
      <c r="A82"/>
      <c r="B82" t="s">
        <v>26</v>
      </c>
      <c r="C82"/>
      <c r="D82"/>
      <c r="E82"/>
      <c r="F82"/>
      <c r="G82"/>
      <c r="H82"/>
      <c r="I82"/>
      <c r="J82"/>
      <c r="K82"/>
      <c r="L82"/>
      <c r="M82"/>
      <c r="N82"/>
      <c r="O82"/>
      <c r="P82"/>
      <c r="Q82"/>
      <c r="R82">
        <v>0</v>
      </c>
    </row>
    <row r="83" spans="1:18" s="1" customFormat="1" x14ac:dyDescent="0.25">
      <c r="A83"/>
      <c r="B83" t="s">
        <v>25</v>
      </c>
      <c r="C83"/>
      <c r="D83"/>
      <c r="E83"/>
      <c r="F83"/>
      <c r="G83"/>
      <c r="H83"/>
      <c r="I83"/>
      <c r="J83"/>
      <c r="K83"/>
      <c r="L83"/>
      <c r="M83"/>
      <c r="N83"/>
      <c r="O83"/>
      <c r="P83"/>
      <c r="Q83"/>
      <c r="R83">
        <v>0</v>
      </c>
    </row>
    <row r="84" spans="1:18" s="1" customFormat="1" ht="15.75" thickBot="1" x14ac:dyDescent="0.3">
      <c r="A84"/>
      <c r="B84" t="s">
        <v>24</v>
      </c>
      <c r="C84"/>
      <c r="D84"/>
      <c r="E84"/>
      <c r="F84"/>
      <c r="G84"/>
      <c r="H84"/>
      <c r="I84"/>
      <c r="J84"/>
      <c r="K84"/>
      <c r="L84"/>
      <c r="M84"/>
      <c r="N84"/>
      <c r="O84"/>
      <c r="P84"/>
      <c r="Q84"/>
      <c r="R84"/>
    </row>
    <row r="85" spans="1:18" s="1" customFormat="1" ht="15.75" thickBot="1" x14ac:dyDescent="0.3">
      <c r="A85"/>
      <c r="B85" t="s">
        <v>23</v>
      </c>
      <c r="C85"/>
      <c r="D85"/>
      <c r="E85"/>
      <c r="F85"/>
      <c r="G85"/>
      <c r="H85"/>
      <c r="I85"/>
      <c r="J85"/>
      <c r="K85"/>
      <c r="L85"/>
      <c r="M85"/>
      <c r="N85"/>
      <c r="O85"/>
      <c r="P85"/>
      <c r="Q85"/>
      <c r="R85" s="4">
        <f>SUM(R80:R84)</f>
        <v>800962.98121753242</v>
      </c>
    </row>
    <row r="86" spans="1:18" s="1" customFormat="1" x14ac:dyDescent="0.25">
      <c r="A86"/>
      <c r="B86" t="s">
        <v>22</v>
      </c>
      <c r="C86"/>
      <c r="D86"/>
      <c r="E86"/>
      <c r="F86"/>
      <c r="G86"/>
      <c r="H86"/>
      <c r="I86"/>
      <c r="J86"/>
      <c r="K86"/>
      <c r="L86"/>
      <c r="M86"/>
      <c r="N86"/>
      <c r="O86"/>
      <c r="P86"/>
      <c r="Q86"/>
      <c r="R86" s="3"/>
    </row>
    <row r="87" spans="1:18" s="1" customFormat="1" x14ac:dyDescent="0.25">
      <c r="A87" t="s">
        <v>21</v>
      </c>
      <c r="B87" t="s">
        <v>20</v>
      </c>
      <c r="C87"/>
      <c r="D87"/>
      <c r="E87"/>
      <c r="F87"/>
      <c r="G87"/>
      <c r="H87"/>
      <c r="I87"/>
      <c r="J87"/>
      <c r="K87"/>
      <c r="L87"/>
      <c r="M87"/>
      <c r="N87"/>
      <c r="O87"/>
      <c r="P87"/>
      <c r="Q87"/>
      <c r="R87" s="3"/>
    </row>
    <row r="88" spans="1:18" s="1" customFormat="1" x14ac:dyDescent="0.25">
      <c r="A88"/>
      <c r="B88" t="s">
        <v>19</v>
      </c>
      <c r="C88"/>
      <c r="D88"/>
      <c r="E88"/>
      <c r="F88"/>
      <c r="G88"/>
      <c r="H88"/>
      <c r="I88"/>
      <c r="J88"/>
      <c r="K88"/>
      <c r="L88"/>
      <c r="M88"/>
      <c r="N88"/>
      <c r="O88"/>
      <c r="P88"/>
      <c r="Q88"/>
      <c r="R88"/>
    </row>
    <row r="93" spans="1:18" s="1" customFormat="1" x14ac:dyDescent="0.25">
      <c r="A93"/>
      <c r="B93" s="2" t="s">
        <v>18</v>
      </c>
      <c r="C93"/>
      <c r="D93"/>
      <c r="E93"/>
      <c r="F93"/>
      <c r="G93"/>
      <c r="H93"/>
      <c r="I93"/>
      <c r="J93"/>
      <c r="K93"/>
      <c r="L93"/>
      <c r="M93"/>
      <c r="N93"/>
      <c r="O93"/>
      <c r="P93"/>
      <c r="Q93"/>
      <c r="R93"/>
    </row>
    <row r="94" spans="1:18" s="1" customFormat="1" x14ac:dyDescent="0.25">
      <c r="A94"/>
      <c r="B94" t="s">
        <v>17</v>
      </c>
      <c r="C94"/>
      <c r="D94"/>
      <c r="E94"/>
      <c r="F94"/>
      <c r="G94"/>
      <c r="H94"/>
      <c r="I94"/>
      <c r="J94"/>
      <c r="K94"/>
      <c r="L94"/>
      <c r="M94"/>
      <c r="N94"/>
      <c r="O94"/>
      <c r="P94"/>
      <c r="Q94"/>
      <c r="R94"/>
    </row>
    <row r="95" spans="1:18" s="1" customFormat="1" x14ac:dyDescent="0.25">
      <c r="A95"/>
      <c r="B95" t="s">
        <v>16</v>
      </c>
      <c r="C95"/>
      <c r="D95"/>
      <c r="E95"/>
      <c r="F95"/>
      <c r="G95"/>
      <c r="H95"/>
      <c r="I95"/>
      <c r="J95"/>
      <c r="K95"/>
      <c r="L95"/>
      <c r="M95"/>
      <c r="N95"/>
      <c r="O95"/>
      <c r="P95"/>
      <c r="Q95"/>
      <c r="R95"/>
    </row>
    <row r="96" spans="1:18" s="1" customFormat="1" x14ac:dyDescent="0.25">
      <c r="A96"/>
      <c r="B96" t="s">
        <v>15</v>
      </c>
      <c r="C96"/>
      <c r="D96"/>
      <c r="E96"/>
      <c r="F96"/>
      <c r="G96"/>
      <c r="H96"/>
      <c r="I96"/>
      <c r="J96"/>
      <c r="K96"/>
      <c r="L96"/>
      <c r="M96"/>
      <c r="N96"/>
      <c r="O96"/>
      <c r="P96"/>
      <c r="Q96"/>
      <c r="R96"/>
    </row>
    <row r="97" spans="2:4" x14ac:dyDescent="0.25">
      <c r="B97" t="s">
        <v>14</v>
      </c>
    </row>
    <row r="98" spans="2:4" x14ac:dyDescent="0.25">
      <c r="B98" t="s">
        <v>13</v>
      </c>
    </row>
    <row r="99" spans="2:4" x14ac:dyDescent="0.25">
      <c r="B99" t="s">
        <v>12</v>
      </c>
    </row>
    <row r="100" spans="2:4" x14ac:dyDescent="0.25">
      <c r="B100" t="s">
        <v>11</v>
      </c>
    </row>
    <row r="101" spans="2:4" x14ac:dyDescent="0.25">
      <c r="B101" t="s">
        <v>10</v>
      </c>
    </row>
    <row r="102" spans="2:4" x14ac:dyDescent="0.25">
      <c r="B102" t="s">
        <v>9</v>
      </c>
    </row>
    <row r="103" spans="2:4" x14ac:dyDescent="0.25">
      <c r="B103" t="s">
        <v>8</v>
      </c>
    </row>
    <row r="104" spans="2:4" x14ac:dyDescent="0.25">
      <c r="B104" t="s">
        <v>7</v>
      </c>
    </row>
    <row r="106" spans="2:4" x14ac:dyDescent="0.25">
      <c r="B106" t="s">
        <v>6</v>
      </c>
    </row>
    <row r="107" spans="2:4" x14ac:dyDescent="0.25">
      <c r="B107" t="s">
        <v>5</v>
      </c>
      <c r="D107" t="s">
        <v>4</v>
      </c>
    </row>
    <row r="108" spans="2:4" x14ac:dyDescent="0.25">
      <c r="B108" t="s">
        <v>3</v>
      </c>
      <c r="D108" t="s">
        <v>2</v>
      </c>
    </row>
    <row r="109" spans="2:4" x14ac:dyDescent="0.25">
      <c r="B109" t="s">
        <v>1</v>
      </c>
      <c r="D109" t="s">
        <v>0</v>
      </c>
    </row>
  </sheetData>
  <mergeCells count="15">
    <mergeCell ref="E2:Q2"/>
    <mergeCell ref="E3:G3"/>
    <mergeCell ref="H3:J3"/>
    <mergeCell ref="K3:M3"/>
    <mergeCell ref="N3:P3"/>
    <mergeCell ref="E29:Q29"/>
    <mergeCell ref="E30:G30"/>
    <mergeCell ref="H30:J30"/>
    <mergeCell ref="K30:M30"/>
    <mergeCell ref="N30:P30"/>
    <mergeCell ref="E55:Q55"/>
    <mergeCell ref="E56:G56"/>
    <mergeCell ref="H56:J56"/>
    <mergeCell ref="K56:M56"/>
    <mergeCell ref="N56:P56"/>
  </mergeCells>
  <pageMargins left="0.25" right="0.25" top="0.75" bottom="0.75" header="0.3" footer="0.3"/>
  <pageSetup paperSize="9" scale="32" fitToHeight="0"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09"/>
  <sheetViews>
    <sheetView topLeftCell="A68" zoomScale="60" zoomScaleNormal="60" workbookViewId="0">
      <selection activeCell="Q61" sqref="Q61"/>
    </sheetView>
  </sheetViews>
  <sheetFormatPr defaultRowHeight="15" x14ac:dyDescent="0.25"/>
  <cols>
    <col min="2" max="2" width="47" customWidth="1"/>
    <col min="3" max="3" width="12.42578125" customWidth="1"/>
    <col min="4" max="4" width="10.5703125" customWidth="1"/>
    <col min="5" max="5" width="12.42578125" bestFit="1" customWidth="1"/>
    <col min="6" max="6" width="7.85546875" bestFit="1" customWidth="1"/>
    <col min="7" max="7" width="8.28515625" bestFit="1" customWidth="1"/>
    <col min="8" max="8" width="12.42578125" bestFit="1" customWidth="1"/>
    <col min="9" max="9" width="7.85546875" bestFit="1" customWidth="1"/>
    <col min="10" max="10" width="8.28515625" bestFit="1" customWidth="1"/>
    <col min="11" max="11" width="12.42578125" bestFit="1" customWidth="1"/>
    <col min="12" max="12" width="7.85546875" bestFit="1" customWidth="1"/>
    <col min="13" max="13" width="8.28515625" bestFit="1" customWidth="1"/>
    <col min="14" max="14" width="13.42578125" bestFit="1" customWidth="1"/>
    <col min="15" max="15" width="9" bestFit="1" customWidth="1"/>
    <col min="16" max="16" width="9.85546875" bestFit="1" customWidth="1"/>
    <col min="17" max="17" width="8.42578125" bestFit="1" customWidth="1"/>
    <col min="18" max="18" width="21.85546875" bestFit="1" customWidth="1"/>
    <col min="19" max="19" width="39.28515625" style="1" customWidth="1"/>
    <col min="20" max="20" width="53.85546875" style="1" customWidth="1"/>
    <col min="21" max="23" width="40" style="1" customWidth="1"/>
    <col min="258" max="258" width="47" customWidth="1"/>
    <col min="259" max="259" width="12.42578125" customWidth="1"/>
    <col min="260" max="260" width="10.5703125" customWidth="1"/>
    <col min="261" max="261" width="12.42578125" bestFit="1" customWidth="1"/>
    <col min="262" max="262" width="7.85546875" bestFit="1" customWidth="1"/>
    <col min="263" max="263" width="8.28515625" bestFit="1" customWidth="1"/>
    <col min="264" max="264" width="12.42578125" bestFit="1" customWidth="1"/>
    <col min="265" max="265" width="7.85546875" bestFit="1" customWidth="1"/>
    <col min="266" max="266" width="8.28515625" bestFit="1" customWidth="1"/>
    <col min="267" max="267" width="12.42578125" bestFit="1" customWidth="1"/>
    <col min="268" max="268" width="7.85546875" bestFit="1" customWidth="1"/>
    <col min="269" max="269" width="8.28515625" bestFit="1" customWidth="1"/>
    <col min="270" max="270" width="13.42578125" bestFit="1" customWidth="1"/>
    <col min="271" max="271" width="9" bestFit="1" customWidth="1"/>
    <col min="272" max="272" width="9.85546875" bestFit="1" customWidth="1"/>
    <col min="273" max="273" width="8.42578125" bestFit="1" customWidth="1"/>
    <col min="274" max="274" width="21.85546875" bestFit="1" customWidth="1"/>
    <col min="275" max="275" width="39.28515625" customWidth="1"/>
    <col min="276" max="276" width="53.85546875" customWidth="1"/>
    <col min="277" max="279" width="40" customWidth="1"/>
    <col min="514" max="514" width="47" customWidth="1"/>
    <col min="515" max="515" width="12.42578125" customWidth="1"/>
    <col min="516" max="516" width="10.5703125" customWidth="1"/>
    <col min="517" max="517" width="12.42578125" bestFit="1" customWidth="1"/>
    <col min="518" max="518" width="7.85546875" bestFit="1" customWidth="1"/>
    <col min="519" max="519" width="8.28515625" bestFit="1" customWidth="1"/>
    <col min="520" max="520" width="12.42578125" bestFit="1" customWidth="1"/>
    <col min="521" max="521" width="7.85546875" bestFit="1" customWidth="1"/>
    <col min="522" max="522" width="8.28515625" bestFit="1" customWidth="1"/>
    <col min="523" max="523" width="12.42578125" bestFit="1" customWidth="1"/>
    <col min="524" max="524" width="7.85546875" bestFit="1" customWidth="1"/>
    <col min="525" max="525" width="8.28515625" bestFit="1" customWidth="1"/>
    <col min="526" max="526" width="13.42578125" bestFit="1" customWidth="1"/>
    <col min="527" max="527" width="9" bestFit="1" customWidth="1"/>
    <col min="528" max="528" width="9.85546875" bestFit="1" customWidth="1"/>
    <col min="529" max="529" width="8.42578125" bestFit="1" customWidth="1"/>
    <col min="530" max="530" width="21.85546875" bestFit="1" customWidth="1"/>
    <col min="531" max="531" width="39.28515625" customWidth="1"/>
    <col min="532" max="532" width="53.85546875" customWidth="1"/>
    <col min="533" max="535" width="40" customWidth="1"/>
    <col min="770" max="770" width="47" customWidth="1"/>
    <col min="771" max="771" width="12.42578125" customWidth="1"/>
    <col min="772" max="772" width="10.5703125" customWidth="1"/>
    <col min="773" max="773" width="12.42578125" bestFit="1" customWidth="1"/>
    <col min="774" max="774" width="7.85546875" bestFit="1" customWidth="1"/>
    <col min="775" max="775" width="8.28515625" bestFit="1" customWidth="1"/>
    <col min="776" max="776" width="12.42578125" bestFit="1" customWidth="1"/>
    <col min="777" max="777" width="7.85546875" bestFit="1" customWidth="1"/>
    <col min="778" max="778" width="8.28515625" bestFit="1" customWidth="1"/>
    <col min="779" max="779" width="12.42578125" bestFit="1" customWidth="1"/>
    <col min="780" max="780" width="7.85546875" bestFit="1" customWidth="1"/>
    <col min="781" max="781" width="8.28515625" bestFit="1" customWidth="1"/>
    <col min="782" max="782" width="13.42578125" bestFit="1" customWidth="1"/>
    <col min="783" max="783" width="9" bestFit="1" customWidth="1"/>
    <col min="784" max="784" width="9.85546875" bestFit="1" customWidth="1"/>
    <col min="785" max="785" width="8.42578125" bestFit="1" customWidth="1"/>
    <col min="786" max="786" width="21.85546875" bestFit="1" customWidth="1"/>
    <col min="787" max="787" width="39.28515625" customWidth="1"/>
    <col min="788" max="788" width="53.85546875" customWidth="1"/>
    <col min="789" max="791" width="40" customWidth="1"/>
    <col min="1026" max="1026" width="47" customWidth="1"/>
    <col min="1027" max="1027" width="12.42578125" customWidth="1"/>
    <col min="1028" max="1028" width="10.5703125" customWidth="1"/>
    <col min="1029" max="1029" width="12.42578125" bestFit="1" customWidth="1"/>
    <col min="1030" max="1030" width="7.85546875" bestFit="1" customWidth="1"/>
    <col min="1031" max="1031" width="8.28515625" bestFit="1" customWidth="1"/>
    <col min="1032" max="1032" width="12.42578125" bestFit="1" customWidth="1"/>
    <col min="1033" max="1033" width="7.85546875" bestFit="1" customWidth="1"/>
    <col min="1034" max="1034" width="8.28515625" bestFit="1" customWidth="1"/>
    <col min="1035" max="1035" width="12.42578125" bestFit="1" customWidth="1"/>
    <col min="1036" max="1036" width="7.85546875" bestFit="1" customWidth="1"/>
    <col min="1037" max="1037" width="8.28515625" bestFit="1" customWidth="1"/>
    <col min="1038" max="1038" width="13.42578125" bestFit="1" customWidth="1"/>
    <col min="1039" max="1039" width="9" bestFit="1" customWidth="1"/>
    <col min="1040" max="1040" width="9.85546875" bestFit="1" customWidth="1"/>
    <col min="1041" max="1041" width="8.42578125" bestFit="1" customWidth="1"/>
    <col min="1042" max="1042" width="21.85546875" bestFit="1" customWidth="1"/>
    <col min="1043" max="1043" width="39.28515625" customWidth="1"/>
    <col min="1044" max="1044" width="53.85546875" customWidth="1"/>
    <col min="1045" max="1047" width="40" customWidth="1"/>
    <col min="1282" max="1282" width="47" customWidth="1"/>
    <col min="1283" max="1283" width="12.42578125" customWidth="1"/>
    <col min="1284" max="1284" width="10.5703125" customWidth="1"/>
    <col min="1285" max="1285" width="12.42578125" bestFit="1" customWidth="1"/>
    <col min="1286" max="1286" width="7.85546875" bestFit="1" customWidth="1"/>
    <col min="1287" max="1287" width="8.28515625" bestFit="1" customWidth="1"/>
    <col min="1288" max="1288" width="12.42578125" bestFit="1" customWidth="1"/>
    <col min="1289" max="1289" width="7.85546875" bestFit="1" customWidth="1"/>
    <col min="1290" max="1290" width="8.28515625" bestFit="1" customWidth="1"/>
    <col min="1291" max="1291" width="12.42578125" bestFit="1" customWidth="1"/>
    <col min="1292" max="1292" width="7.85546875" bestFit="1" customWidth="1"/>
    <col min="1293" max="1293" width="8.28515625" bestFit="1" customWidth="1"/>
    <col min="1294" max="1294" width="13.42578125" bestFit="1" customWidth="1"/>
    <col min="1295" max="1295" width="9" bestFit="1" customWidth="1"/>
    <col min="1296" max="1296" width="9.85546875" bestFit="1" customWidth="1"/>
    <col min="1297" max="1297" width="8.42578125" bestFit="1" customWidth="1"/>
    <col min="1298" max="1298" width="21.85546875" bestFit="1" customWidth="1"/>
    <col min="1299" max="1299" width="39.28515625" customWidth="1"/>
    <col min="1300" max="1300" width="53.85546875" customWidth="1"/>
    <col min="1301" max="1303" width="40" customWidth="1"/>
    <col min="1538" max="1538" width="47" customWidth="1"/>
    <col min="1539" max="1539" width="12.42578125" customWidth="1"/>
    <col min="1540" max="1540" width="10.5703125" customWidth="1"/>
    <col min="1541" max="1541" width="12.42578125" bestFit="1" customWidth="1"/>
    <col min="1542" max="1542" width="7.85546875" bestFit="1" customWidth="1"/>
    <col min="1543" max="1543" width="8.28515625" bestFit="1" customWidth="1"/>
    <col min="1544" max="1544" width="12.42578125" bestFit="1" customWidth="1"/>
    <col min="1545" max="1545" width="7.85546875" bestFit="1" customWidth="1"/>
    <col min="1546" max="1546" width="8.28515625" bestFit="1" customWidth="1"/>
    <col min="1547" max="1547" width="12.42578125" bestFit="1" customWidth="1"/>
    <col min="1548" max="1548" width="7.85546875" bestFit="1" customWidth="1"/>
    <col min="1549" max="1549" width="8.28515625" bestFit="1" customWidth="1"/>
    <col min="1550" max="1550" width="13.42578125" bestFit="1" customWidth="1"/>
    <col min="1551" max="1551" width="9" bestFit="1" customWidth="1"/>
    <col min="1552" max="1552" width="9.85546875" bestFit="1" customWidth="1"/>
    <col min="1553" max="1553" width="8.42578125" bestFit="1" customWidth="1"/>
    <col min="1554" max="1554" width="21.85546875" bestFit="1" customWidth="1"/>
    <col min="1555" max="1555" width="39.28515625" customWidth="1"/>
    <col min="1556" max="1556" width="53.85546875" customWidth="1"/>
    <col min="1557" max="1559" width="40" customWidth="1"/>
    <col min="1794" max="1794" width="47" customWidth="1"/>
    <col min="1795" max="1795" width="12.42578125" customWidth="1"/>
    <col min="1796" max="1796" width="10.5703125" customWidth="1"/>
    <col min="1797" max="1797" width="12.42578125" bestFit="1" customWidth="1"/>
    <col min="1798" max="1798" width="7.85546875" bestFit="1" customWidth="1"/>
    <col min="1799" max="1799" width="8.28515625" bestFit="1" customWidth="1"/>
    <col min="1800" max="1800" width="12.42578125" bestFit="1" customWidth="1"/>
    <col min="1801" max="1801" width="7.85546875" bestFit="1" customWidth="1"/>
    <col min="1802" max="1802" width="8.28515625" bestFit="1" customWidth="1"/>
    <col min="1803" max="1803" width="12.42578125" bestFit="1" customWidth="1"/>
    <col min="1804" max="1804" width="7.85546875" bestFit="1" customWidth="1"/>
    <col min="1805" max="1805" width="8.28515625" bestFit="1" customWidth="1"/>
    <col min="1806" max="1806" width="13.42578125" bestFit="1" customWidth="1"/>
    <col min="1807" max="1807" width="9" bestFit="1" customWidth="1"/>
    <col min="1808" max="1808" width="9.85546875" bestFit="1" customWidth="1"/>
    <col min="1809" max="1809" width="8.42578125" bestFit="1" customWidth="1"/>
    <col min="1810" max="1810" width="21.85546875" bestFit="1" customWidth="1"/>
    <col min="1811" max="1811" width="39.28515625" customWidth="1"/>
    <col min="1812" max="1812" width="53.85546875" customWidth="1"/>
    <col min="1813" max="1815" width="40" customWidth="1"/>
    <col min="2050" max="2050" width="47" customWidth="1"/>
    <col min="2051" max="2051" width="12.42578125" customWidth="1"/>
    <col min="2052" max="2052" width="10.5703125" customWidth="1"/>
    <col min="2053" max="2053" width="12.42578125" bestFit="1" customWidth="1"/>
    <col min="2054" max="2054" width="7.85546875" bestFit="1" customWidth="1"/>
    <col min="2055" max="2055" width="8.28515625" bestFit="1" customWidth="1"/>
    <col min="2056" max="2056" width="12.42578125" bestFit="1" customWidth="1"/>
    <col min="2057" max="2057" width="7.85546875" bestFit="1" customWidth="1"/>
    <col min="2058" max="2058" width="8.28515625" bestFit="1" customWidth="1"/>
    <col min="2059" max="2059" width="12.42578125" bestFit="1" customWidth="1"/>
    <col min="2060" max="2060" width="7.85546875" bestFit="1" customWidth="1"/>
    <col min="2061" max="2061" width="8.28515625" bestFit="1" customWidth="1"/>
    <col min="2062" max="2062" width="13.42578125" bestFit="1" customWidth="1"/>
    <col min="2063" max="2063" width="9" bestFit="1" customWidth="1"/>
    <col min="2064" max="2064" width="9.85546875" bestFit="1" customWidth="1"/>
    <col min="2065" max="2065" width="8.42578125" bestFit="1" customWidth="1"/>
    <col min="2066" max="2066" width="21.85546875" bestFit="1" customWidth="1"/>
    <col min="2067" max="2067" width="39.28515625" customWidth="1"/>
    <col min="2068" max="2068" width="53.85546875" customWidth="1"/>
    <col min="2069" max="2071" width="40" customWidth="1"/>
    <col min="2306" max="2306" width="47" customWidth="1"/>
    <col min="2307" max="2307" width="12.42578125" customWidth="1"/>
    <col min="2308" max="2308" width="10.5703125" customWidth="1"/>
    <col min="2309" max="2309" width="12.42578125" bestFit="1" customWidth="1"/>
    <col min="2310" max="2310" width="7.85546875" bestFit="1" customWidth="1"/>
    <col min="2311" max="2311" width="8.28515625" bestFit="1" customWidth="1"/>
    <col min="2312" max="2312" width="12.42578125" bestFit="1" customWidth="1"/>
    <col min="2313" max="2313" width="7.85546875" bestFit="1" customWidth="1"/>
    <col min="2314" max="2314" width="8.28515625" bestFit="1" customWidth="1"/>
    <col min="2315" max="2315" width="12.42578125" bestFit="1" customWidth="1"/>
    <col min="2316" max="2316" width="7.85546875" bestFit="1" customWidth="1"/>
    <col min="2317" max="2317" width="8.28515625" bestFit="1" customWidth="1"/>
    <col min="2318" max="2318" width="13.42578125" bestFit="1" customWidth="1"/>
    <col min="2319" max="2319" width="9" bestFit="1" customWidth="1"/>
    <col min="2320" max="2320" width="9.85546875" bestFit="1" customWidth="1"/>
    <col min="2321" max="2321" width="8.42578125" bestFit="1" customWidth="1"/>
    <col min="2322" max="2322" width="21.85546875" bestFit="1" customWidth="1"/>
    <col min="2323" max="2323" width="39.28515625" customWidth="1"/>
    <col min="2324" max="2324" width="53.85546875" customWidth="1"/>
    <col min="2325" max="2327" width="40" customWidth="1"/>
    <col min="2562" max="2562" width="47" customWidth="1"/>
    <col min="2563" max="2563" width="12.42578125" customWidth="1"/>
    <col min="2564" max="2564" width="10.5703125" customWidth="1"/>
    <col min="2565" max="2565" width="12.42578125" bestFit="1" customWidth="1"/>
    <col min="2566" max="2566" width="7.85546875" bestFit="1" customWidth="1"/>
    <col min="2567" max="2567" width="8.28515625" bestFit="1" customWidth="1"/>
    <col min="2568" max="2568" width="12.42578125" bestFit="1" customWidth="1"/>
    <col min="2569" max="2569" width="7.85546875" bestFit="1" customWidth="1"/>
    <col min="2570" max="2570" width="8.28515625" bestFit="1" customWidth="1"/>
    <col min="2571" max="2571" width="12.42578125" bestFit="1" customWidth="1"/>
    <col min="2572" max="2572" width="7.85546875" bestFit="1" customWidth="1"/>
    <col min="2573" max="2573" width="8.28515625" bestFit="1" customWidth="1"/>
    <col min="2574" max="2574" width="13.42578125" bestFit="1" customWidth="1"/>
    <col min="2575" max="2575" width="9" bestFit="1" customWidth="1"/>
    <col min="2576" max="2576" width="9.85546875" bestFit="1" customWidth="1"/>
    <col min="2577" max="2577" width="8.42578125" bestFit="1" customWidth="1"/>
    <col min="2578" max="2578" width="21.85546875" bestFit="1" customWidth="1"/>
    <col min="2579" max="2579" width="39.28515625" customWidth="1"/>
    <col min="2580" max="2580" width="53.85546875" customWidth="1"/>
    <col min="2581" max="2583" width="40" customWidth="1"/>
    <col min="2818" max="2818" width="47" customWidth="1"/>
    <col min="2819" max="2819" width="12.42578125" customWidth="1"/>
    <col min="2820" max="2820" width="10.5703125" customWidth="1"/>
    <col min="2821" max="2821" width="12.42578125" bestFit="1" customWidth="1"/>
    <col min="2822" max="2822" width="7.85546875" bestFit="1" customWidth="1"/>
    <col min="2823" max="2823" width="8.28515625" bestFit="1" customWidth="1"/>
    <col min="2824" max="2824" width="12.42578125" bestFit="1" customWidth="1"/>
    <col min="2825" max="2825" width="7.85546875" bestFit="1" customWidth="1"/>
    <col min="2826" max="2826" width="8.28515625" bestFit="1" customWidth="1"/>
    <col min="2827" max="2827" width="12.42578125" bestFit="1" customWidth="1"/>
    <col min="2828" max="2828" width="7.85546875" bestFit="1" customWidth="1"/>
    <col min="2829" max="2829" width="8.28515625" bestFit="1" customWidth="1"/>
    <col min="2830" max="2830" width="13.42578125" bestFit="1" customWidth="1"/>
    <col min="2831" max="2831" width="9" bestFit="1" customWidth="1"/>
    <col min="2832" max="2832" width="9.85546875" bestFit="1" customWidth="1"/>
    <col min="2833" max="2833" width="8.42578125" bestFit="1" customWidth="1"/>
    <col min="2834" max="2834" width="21.85546875" bestFit="1" customWidth="1"/>
    <col min="2835" max="2835" width="39.28515625" customWidth="1"/>
    <col min="2836" max="2836" width="53.85546875" customWidth="1"/>
    <col min="2837" max="2839" width="40" customWidth="1"/>
    <col min="3074" max="3074" width="47" customWidth="1"/>
    <col min="3075" max="3075" width="12.42578125" customWidth="1"/>
    <col min="3076" max="3076" width="10.5703125" customWidth="1"/>
    <col min="3077" max="3077" width="12.42578125" bestFit="1" customWidth="1"/>
    <col min="3078" max="3078" width="7.85546875" bestFit="1" customWidth="1"/>
    <col min="3079" max="3079" width="8.28515625" bestFit="1" customWidth="1"/>
    <col min="3080" max="3080" width="12.42578125" bestFit="1" customWidth="1"/>
    <col min="3081" max="3081" width="7.85546875" bestFit="1" customWidth="1"/>
    <col min="3082" max="3082" width="8.28515625" bestFit="1" customWidth="1"/>
    <col min="3083" max="3083" width="12.42578125" bestFit="1" customWidth="1"/>
    <col min="3084" max="3084" width="7.85546875" bestFit="1" customWidth="1"/>
    <col min="3085" max="3085" width="8.28515625" bestFit="1" customWidth="1"/>
    <col min="3086" max="3086" width="13.42578125" bestFit="1" customWidth="1"/>
    <col min="3087" max="3087" width="9" bestFit="1" customWidth="1"/>
    <col min="3088" max="3088" width="9.85546875" bestFit="1" customWidth="1"/>
    <col min="3089" max="3089" width="8.42578125" bestFit="1" customWidth="1"/>
    <col min="3090" max="3090" width="21.85546875" bestFit="1" customWidth="1"/>
    <col min="3091" max="3091" width="39.28515625" customWidth="1"/>
    <col min="3092" max="3092" width="53.85546875" customWidth="1"/>
    <col min="3093" max="3095" width="40" customWidth="1"/>
    <col min="3330" max="3330" width="47" customWidth="1"/>
    <col min="3331" max="3331" width="12.42578125" customWidth="1"/>
    <col min="3332" max="3332" width="10.5703125" customWidth="1"/>
    <col min="3333" max="3333" width="12.42578125" bestFit="1" customWidth="1"/>
    <col min="3334" max="3334" width="7.85546875" bestFit="1" customWidth="1"/>
    <col min="3335" max="3335" width="8.28515625" bestFit="1" customWidth="1"/>
    <col min="3336" max="3336" width="12.42578125" bestFit="1" customWidth="1"/>
    <col min="3337" max="3337" width="7.85546875" bestFit="1" customWidth="1"/>
    <col min="3338" max="3338" width="8.28515625" bestFit="1" customWidth="1"/>
    <col min="3339" max="3339" width="12.42578125" bestFit="1" customWidth="1"/>
    <col min="3340" max="3340" width="7.85546875" bestFit="1" customWidth="1"/>
    <col min="3341" max="3341" width="8.28515625" bestFit="1" customWidth="1"/>
    <col min="3342" max="3342" width="13.42578125" bestFit="1" customWidth="1"/>
    <col min="3343" max="3343" width="9" bestFit="1" customWidth="1"/>
    <col min="3344" max="3344" width="9.85546875" bestFit="1" customWidth="1"/>
    <col min="3345" max="3345" width="8.42578125" bestFit="1" customWidth="1"/>
    <col min="3346" max="3346" width="21.85546875" bestFit="1" customWidth="1"/>
    <col min="3347" max="3347" width="39.28515625" customWidth="1"/>
    <col min="3348" max="3348" width="53.85546875" customWidth="1"/>
    <col min="3349" max="3351" width="40" customWidth="1"/>
    <col min="3586" max="3586" width="47" customWidth="1"/>
    <col min="3587" max="3587" width="12.42578125" customWidth="1"/>
    <col min="3588" max="3588" width="10.5703125" customWidth="1"/>
    <col min="3589" max="3589" width="12.42578125" bestFit="1" customWidth="1"/>
    <col min="3590" max="3590" width="7.85546875" bestFit="1" customWidth="1"/>
    <col min="3591" max="3591" width="8.28515625" bestFit="1" customWidth="1"/>
    <col min="3592" max="3592" width="12.42578125" bestFit="1" customWidth="1"/>
    <col min="3593" max="3593" width="7.85546875" bestFit="1" customWidth="1"/>
    <col min="3594" max="3594" width="8.28515625" bestFit="1" customWidth="1"/>
    <col min="3595" max="3595" width="12.42578125" bestFit="1" customWidth="1"/>
    <col min="3596" max="3596" width="7.85546875" bestFit="1" customWidth="1"/>
    <col min="3597" max="3597" width="8.28515625" bestFit="1" customWidth="1"/>
    <col min="3598" max="3598" width="13.42578125" bestFit="1" customWidth="1"/>
    <col min="3599" max="3599" width="9" bestFit="1" customWidth="1"/>
    <col min="3600" max="3600" width="9.85546875" bestFit="1" customWidth="1"/>
    <col min="3601" max="3601" width="8.42578125" bestFit="1" customWidth="1"/>
    <col min="3602" max="3602" width="21.85546875" bestFit="1" customWidth="1"/>
    <col min="3603" max="3603" width="39.28515625" customWidth="1"/>
    <col min="3604" max="3604" width="53.85546875" customWidth="1"/>
    <col min="3605" max="3607" width="40" customWidth="1"/>
    <col min="3842" max="3842" width="47" customWidth="1"/>
    <col min="3843" max="3843" width="12.42578125" customWidth="1"/>
    <col min="3844" max="3844" width="10.5703125" customWidth="1"/>
    <col min="3845" max="3845" width="12.42578125" bestFit="1" customWidth="1"/>
    <col min="3846" max="3846" width="7.85546875" bestFit="1" customWidth="1"/>
    <col min="3847" max="3847" width="8.28515625" bestFit="1" customWidth="1"/>
    <col min="3848" max="3848" width="12.42578125" bestFit="1" customWidth="1"/>
    <col min="3849" max="3849" width="7.85546875" bestFit="1" customWidth="1"/>
    <col min="3850" max="3850" width="8.28515625" bestFit="1" customWidth="1"/>
    <col min="3851" max="3851" width="12.42578125" bestFit="1" customWidth="1"/>
    <col min="3852" max="3852" width="7.85546875" bestFit="1" customWidth="1"/>
    <col min="3853" max="3853" width="8.28515625" bestFit="1" customWidth="1"/>
    <col min="3854" max="3854" width="13.42578125" bestFit="1" customWidth="1"/>
    <col min="3855" max="3855" width="9" bestFit="1" customWidth="1"/>
    <col min="3856" max="3856" width="9.85546875" bestFit="1" customWidth="1"/>
    <col min="3857" max="3857" width="8.42578125" bestFit="1" customWidth="1"/>
    <col min="3858" max="3858" width="21.85546875" bestFit="1" customWidth="1"/>
    <col min="3859" max="3859" width="39.28515625" customWidth="1"/>
    <col min="3860" max="3860" width="53.85546875" customWidth="1"/>
    <col min="3861" max="3863" width="40" customWidth="1"/>
    <col min="4098" max="4098" width="47" customWidth="1"/>
    <col min="4099" max="4099" width="12.42578125" customWidth="1"/>
    <col min="4100" max="4100" width="10.5703125" customWidth="1"/>
    <col min="4101" max="4101" width="12.42578125" bestFit="1" customWidth="1"/>
    <col min="4102" max="4102" width="7.85546875" bestFit="1" customWidth="1"/>
    <col min="4103" max="4103" width="8.28515625" bestFit="1" customWidth="1"/>
    <col min="4104" max="4104" width="12.42578125" bestFit="1" customWidth="1"/>
    <col min="4105" max="4105" width="7.85546875" bestFit="1" customWidth="1"/>
    <col min="4106" max="4106" width="8.28515625" bestFit="1" customWidth="1"/>
    <col min="4107" max="4107" width="12.42578125" bestFit="1" customWidth="1"/>
    <col min="4108" max="4108" width="7.85546875" bestFit="1" customWidth="1"/>
    <col min="4109" max="4109" width="8.28515625" bestFit="1" customWidth="1"/>
    <col min="4110" max="4110" width="13.42578125" bestFit="1" customWidth="1"/>
    <col min="4111" max="4111" width="9" bestFit="1" customWidth="1"/>
    <col min="4112" max="4112" width="9.85546875" bestFit="1" customWidth="1"/>
    <col min="4113" max="4113" width="8.42578125" bestFit="1" customWidth="1"/>
    <col min="4114" max="4114" width="21.85546875" bestFit="1" customWidth="1"/>
    <col min="4115" max="4115" width="39.28515625" customWidth="1"/>
    <col min="4116" max="4116" width="53.85546875" customWidth="1"/>
    <col min="4117" max="4119" width="40" customWidth="1"/>
    <col min="4354" max="4354" width="47" customWidth="1"/>
    <col min="4355" max="4355" width="12.42578125" customWidth="1"/>
    <col min="4356" max="4356" width="10.5703125" customWidth="1"/>
    <col min="4357" max="4357" width="12.42578125" bestFit="1" customWidth="1"/>
    <col min="4358" max="4358" width="7.85546875" bestFit="1" customWidth="1"/>
    <col min="4359" max="4359" width="8.28515625" bestFit="1" customWidth="1"/>
    <col min="4360" max="4360" width="12.42578125" bestFit="1" customWidth="1"/>
    <col min="4361" max="4361" width="7.85546875" bestFit="1" customWidth="1"/>
    <col min="4362" max="4362" width="8.28515625" bestFit="1" customWidth="1"/>
    <col min="4363" max="4363" width="12.42578125" bestFit="1" customWidth="1"/>
    <col min="4364" max="4364" width="7.85546875" bestFit="1" customWidth="1"/>
    <col min="4365" max="4365" width="8.28515625" bestFit="1" customWidth="1"/>
    <col min="4366" max="4366" width="13.42578125" bestFit="1" customWidth="1"/>
    <col min="4367" max="4367" width="9" bestFit="1" customWidth="1"/>
    <col min="4368" max="4368" width="9.85546875" bestFit="1" customWidth="1"/>
    <col min="4369" max="4369" width="8.42578125" bestFit="1" customWidth="1"/>
    <col min="4370" max="4370" width="21.85546875" bestFit="1" customWidth="1"/>
    <col min="4371" max="4371" width="39.28515625" customWidth="1"/>
    <col min="4372" max="4372" width="53.85546875" customWidth="1"/>
    <col min="4373" max="4375" width="40" customWidth="1"/>
    <col min="4610" max="4610" width="47" customWidth="1"/>
    <col min="4611" max="4611" width="12.42578125" customWidth="1"/>
    <col min="4612" max="4612" width="10.5703125" customWidth="1"/>
    <col min="4613" max="4613" width="12.42578125" bestFit="1" customWidth="1"/>
    <col min="4614" max="4614" width="7.85546875" bestFit="1" customWidth="1"/>
    <col min="4615" max="4615" width="8.28515625" bestFit="1" customWidth="1"/>
    <col min="4616" max="4616" width="12.42578125" bestFit="1" customWidth="1"/>
    <col min="4617" max="4617" width="7.85546875" bestFit="1" customWidth="1"/>
    <col min="4618" max="4618" width="8.28515625" bestFit="1" customWidth="1"/>
    <col min="4619" max="4619" width="12.42578125" bestFit="1" customWidth="1"/>
    <col min="4620" max="4620" width="7.85546875" bestFit="1" customWidth="1"/>
    <col min="4621" max="4621" width="8.28515625" bestFit="1" customWidth="1"/>
    <col min="4622" max="4622" width="13.42578125" bestFit="1" customWidth="1"/>
    <col min="4623" max="4623" width="9" bestFit="1" customWidth="1"/>
    <col min="4624" max="4624" width="9.85546875" bestFit="1" customWidth="1"/>
    <col min="4625" max="4625" width="8.42578125" bestFit="1" customWidth="1"/>
    <col min="4626" max="4626" width="21.85546875" bestFit="1" customWidth="1"/>
    <col min="4627" max="4627" width="39.28515625" customWidth="1"/>
    <col min="4628" max="4628" width="53.85546875" customWidth="1"/>
    <col min="4629" max="4631" width="40" customWidth="1"/>
    <col min="4866" max="4866" width="47" customWidth="1"/>
    <col min="4867" max="4867" width="12.42578125" customWidth="1"/>
    <col min="4868" max="4868" width="10.5703125" customWidth="1"/>
    <col min="4869" max="4869" width="12.42578125" bestFit="1" customWidth="1"/>
    <col min="4870" max="4870" width="7.85546875" bestFit="1" customWidth="1"/>
    <col min="4871" max="4871" width="8.28515625" bestFit="1" customWidth="1"/>
    <col min="4872" max="4872" width="12.42578125" bestFit="1" customWidth="1"/>
    <col min="4873" max="4873" width="7.85546875" bestFit="1" customWidth="1"/>
    <col min="4874" max="4874" width="8.28515625" bestFit="1" customWidth="1"/>
    <col min="4875" max="4875" width="12.42578125" bestFit="1" customWidth="1"/>
    <col min="4876" max="4876" width="7.85546875" bestFit="1" customWidth="1"/>
    <col min="4877" max="4877" width="8.28515625" bestFit="1" customWidth="1"/>
    <col min="4878" max="4878" width="13.42578125" bestFit="1" customWidth="1"/>
    <col min="4879" max="4879" width="9" bestFit="1" customWidth="1"/>
    <col min="4880" max="4880" width="9.85546875" bestFit="1" customWidth="1"/>
    <col min="4881" max="4881" width="8.42578125" bestFit="1" customWidth="1"/>
    <col min="4882" max="4882" width="21.85546875" bestFit="1" customWidth="1"/>
    <col min="4883" max="4883" width="39.28515625" customWidth="1"/>
    <col min="4884" max="4884" width="53.85546875" customWidth="1"/>
    <col min="4885" max="4887" width="40" customWidth="1"/>
    <col min="5122" max="5122" width="47" customWidth="1"/>
    <col min="5123" max="5123" width="12.42578125" customWidth="1"/>
    <col min="5124" max="5124" width="10.5703125" customWidth="1"/>
    <col min="5125" max="5125" width="12.42578125" bestFit="1" customWidth="1"/>
    <col min="5126" max="5126" width="7.85546875" bestFit="1" customWidth="1"/>
    <col min="5127" max="5127" width="8.28515625" bestFit="1" customWidth="1"/>
    <col min="5128" max="5128" width="12.42578125" bestFit="1" customWidth="1"/>
    <col min="5129" max="5129" width="7.85546875" bestFit="1" customWidth="1"/>
    <col min="5130" max="5130" width="8.28515625" bestFit="1" customWidth="1"/>
    <col min="5131" max="5131" width="12.42578125" bestFit="1" customWidth="1"/>
    <col min="5132" max="5132" width="7.85546875" bestFit="1" customWidth="1"/>
    <col min="5133" max="5133" width="8.28515625" bestFit="1" customWidth="1"/>
    <col min="5134" max="5134" width="13.42578125" bestFit="1" customWidth="1"/>
    <col min="5135" max="5135" width="9" bestFit="1" customWidth="1"/>
    <col min="5136" max="5136" width="9.85546875" bestFit="1" customWidth="1"/>
    <col min="5137" max="5137" width="8.42578125" bestFit="1" customWidth="1"/>
    <col min="5138" max="5138" width="21.85546875" bestFit="1" customWidth="1"/>
    <col min="5139" max="5139" width="39.28515625" customWidth="1"/>
    <col min="5140" max="5140" width="53.85546875" customWidth="1"/>
    <col min="5141" max="5143" width="40" customWidth="1"/>
    <col min="5378" max="5378" width="47" customWidth="1"/>
    <col min="5379" max="5379" width="12.42578125" customWidth="1"/>
    <col min="5380" max="5380" width="10.5703125" customWidth="1"/>
    <col min="5381" max="5381" width="12.42578125" bestFit="1" customWidth="1"/>
    <col min="5382" max="5382" width="7.85546875" bestFit="1" customWidth="1"/>
    <col min="5383" max="5383" width="8.28515625" bestFit="1" customWidth="1"/>
    <col min="5384" max="5384" width="12.42578125" bestFit="1" customWidth="1"/>
    <col min="5385" max="5385" width="7.85546875" bestFit="1" customWidth="1"/>
    <col min="5386" max="5386" width="8.28515625" bestFit="1" customWidth="1"/>
    <col min="5387" max="5387" width="12.42578125" bestFit="1" customWidth="1"/>
    <col min="5388" max="5388" width="7.85546875" bestFit="1" customWidth="1"/>
    <col min="5389" max="5389" width="8.28515625" bestFit="1" customWidth="1"/>
    <col min="5390" max="5390" width="13.42578125" bestFit="1" customWidth="1"/>
    <col min="5391" max="5391" width="9" bestFit="1" customWidth="1"/>
    <col min="5392" max="5392" width="9.85546875" bestFit="1" customWidth="1"/>
    <col min="5393" max="5393" width="8.42578125" bestFit="1" customWidth="1"/>
    <col min="5394" max="5394" width="21.85546875" bestFit="1" customWidth="1"/>
    <col min="5395" max="5395" width="39.28515625" customWidth="1"/>
    <col min="5396" max="5396" width="53.85546875" customWidth="1"/>
    <col min="5397" max="5399" width="40" customWidth="1"/>
    <col min="5634" max="5634" width="47" customWidth="1"/>
    <col min="5635" max="5635" width="12.42578125" customWidth="1"/>
    <col min="5636" max="5636" width="10.5703125" customWidth="1"/>
    <col min="5637" max="5637" width="12.42578125" bestFit="1" customWidth="1"/>
    <col min="5638" max="5638" width="7.85546875" bestFit="1" customWidth="1"/>
    <col min="5639" max="5639" width="8.28515625" bestFit="1" customWidth="1"/>
    <col min="5640" max="5640" width="12.42578125" bestFit="1" customWidth="1"/>
    <col min="5641" max="5641" width="7.85546875" bestFit="1" customWidth="1"/>
    <col min="5642" max="5642" width="8.28515625" bestFit="1" customWidth="1"/>
    <col min="5643" max="5643" width="12.42578125" bestFit="1" customWidth="1"/>
    <col min="5644" max="5644" width="7.85546875" bestFit="1" customWidth="1"/>
    <col min="5645" max="5645" width="8.28515625" bestFit="1" customWidth="1"/>
    <col min="5646" max="5646" width="13.42578125" bestFit="1" customWidth="1"/>
    <col min="5647" max="5647" width="9" bestFit="1" customWidth="1"/>
    <col min="5648" max="5648" width="9.85546875" bestFit="1" customWidth="1"/>
    <col min="5649" max="5649" width="8.42578125" bestFit="1" customWidth="1"/>
    <col min="5650" max="5650" width="21.85546875" bestFit="1" customWidth="1"/>
    <col min="5651" max="5651" width="39.28515625" customWidth="1"/>
    <col min="5652" max="5652" width="53.85546875" customWidth="1"/>
    <col min="5653" max="5655" width="40" customWidth="1"/>
    <col min="5890" max="5890" width="47" customWidth="1"/>
    <col min="5891" max="5891" width="12.42578125" customWidth="1"/>
    <col min="5892" max="5892" width="10.5703125" customWidth="1"/>
    <col min="5893" max="5893" width="12.42578125" bestFit="1" customWidth="1"/>
    <col min="5894" max="5894" width="7.85546875" bestFit="1" customWidth="1"/>
    <col min="5895" max="5895" width="8.28515625" bestFit="1" customWidth="1"/>
    <col min="5896" max="5896" width="12.42578125" bestFit="1" customWidth="1"/>
    <col min="5897" max="5897" width="7.85546875" bestFit="1" customWidth="1"/>
    <col min="5898" max="5898" width="8.28515625" bestFit="1" customWidth="1"/>
    <col min="5899" max="5899" width="12.42578125" bestFit="1" customWidth="1"/>
    <col min="5900" max="5900" width="7.85546875" bestFit="1" customWidth="1"/>
    <col min="5901" max="5901" width="8.28515625" bestFit="1" customWidth="1"/>
    <col min="5902" max="5902" width="13.42578125" bestFit="1" customWidth="1"/>
    <col min="5903" max="5903" width="9" bestFit="1" customWidth="1"/>
    <col min="5904" max="5904" width="9.85546875" bestFit="1" customWidth="1"/>
    <col min="5905" max="5905" width="8.42578125" bestFit="1" customWidth="1"/>
    <col min="5906" max="5906" width="21.85546875" bestFit="1" customWidth="1"/>
    <col min="5907" max="5907" width="39.28515625" customWidth="1"/>
    <col min="5908" max="5908" width="53.85546875" customWidth="1"/>
    <col min="5909" max="5911" width="40" customWidth="1"/>
    <col min="6146" max="6146" width="47" customWidth="1"/>
    <col min="6147" max="6147" width="12.42578125" customWidth="1"/>
    <col min="6148" max="6148" width="10.5703125" customWidth="1"/>
    <col min="6149" max="6149" width="12.42578125" bestFit="1" customWidth="1"/>
    <col min="6150" max="6150" width="7.85546875" bestFit="1" customWidth="1"/>
    <col min="6151" max="6151" width="8.28515625" bestFit="1" customWidth="1"/>
    <col min="6152" max="6152" width="12.42578125" bestFit="1" customWidth="1"/>
    <col min="6153" max="6153" width="7.85546875" bestFit="1" customWidth="1"/>
    <col min="6154" max="6154" width="8.28515625" bestFit="1" customWidth="1"/>
    <col min="6155" max="6155" width="12.42578125" bestFit="1" customWidth="1"/>
    <col min="6156" max="6156" width="7.85546875" bestFit="1" customWidth="1"/>
    <col min="6157" max="6157" width="8.28515625" bestFit="1" customWidth="1"/>
    <col min="6158" max="6158" width="13.42578125" bestFit="1" customWidth="1"/>
    <col min="6159" max="6159" width="9" bestFit="1" customWidth="1"/>
    <col min="6160" max="6160" width="9.85546875" bestFit="1" customWidth="1"/>
    <col min="6161" max="6161" width="8.42578125" bestFit="1" customWidth="1"/>
    <col min="6162" max="6162" width="21.85546875" bestFit="1" customWidth="1"/>
    <col min="6163" max="6163" width="39.28515625" customWidth="1"/>
    <col min="6164" max="6164" width="53.85546875" customWidth="1"/>
    <col min="6165" max="6167" width="40" customWidth="1"/>
    <col min="6402" max="6402" width="47" customWidth="1"/>
    <col min="6403" max="6403" width="12.42578125" customWidth="1"/>
    <col min="6404" max="6404" width="10.5703125" customWidth="1"/>
    <col min="6405" max="6405" width="12.42578125" bestFit="1" customWidth="1"/>
    <col min="6406" max="6406" width="7.85546875" bestFit="1" customWidth="1"/>
    <col min="6407" max="6407" width="8.28515625" bestFit="1" customWidth="1"/>
    <col min="6408" max="6408" width="12.42578125" bestFit="1" customWidth="1"/>
    <col min="6409" max="6409" width="7.85546875" bestFit="1" customWidth="1"/>
    <col min="6410" max="6410" width="8.28515625" bestFit="1" customWidth="1"/>
    <col min="6411" max="6411" width="12.42578125" bestFit="1" customWidth="1"/>
    <col min="6412" max="6412" width="7.85546875" bestFit="1" customWidth="1"/>
    <col min="6413" max="6413" width="8.28515625" bestFit="1" customWidth="1"/>
    <col min="6414" max="6414" width="13.42578125" bestFit="1" customWidth="1"/>
    <col min="6415" max="6415" width="9" bestFit="1" customWidth="1"/>
    <col min="6416" max="6416" width="9.85546875" bestFit="1" customWidth="1"/>
    <col min="6417" max="6417" width="8.42578125" bestFit="1" customWidth="1"/>
    <col min="6418" max="6418" width="21.85546875" bestFit="1" customWidth="1"/>
    <col min="6419" max="6419" width="39.28515625" customWidth="1"/>
    <col min="6420" max="6420" width="53.85546875" customWidth="1"/>
    <col min="6421" max="6423" width="40" customWidth="1"/>
    <col min="6658" max="6658" width="47" customWidth="1"/>
    <col min="6659" max="6659" width="12.42578125" customWidth="1"/>
    <col min="6660" max="6660" width="10.5703125" customWidth="1"/>
    <col min="6661" max="6661" width="12.42578125" bestFit="1" customWidth="1"/>
    <col min="6662" max="6662" width="7.85546875" bestFit="1" customWidth="1"/>
    <col min="6663" max="6663" width="8.28515625" bestFit="1" customWidth="1"/>
    <col min="6664" max="6664" width="12.42578125" bestFit="1" customWidth="1"/>
    <col min="6665" max="6665" width="7.85546875" bestFit="1" customWidth="1"/>
    <col min="6666" max="6666" width="8.28515625" bestFit="1" customWidth="1"/>
    <col min="6667" max="6667" width="12.42578125" bestFit="1" customWidth="1"/>
    <col min="6668" max="6668" width="7.85546875" bestFit="1" customWidth="1"/>
    <col min="6669" max="6669" width="8.28515625" bestFit="1" customWidth="1"/>
    <col min="6670" max="6670" width="13.42578125" bestFit="1" customWidth="1"/>
    <col min="6671" max="6671" width="9" bestFit="1" customWidth="1"/>
    <col min="6672" max="6672" width="9.85546875" bestFit="1" customWidth="1"/>
    <col min="6673" max="6673" width="8.42578125" bestFit="1" customWidth="1"/>
    <col min="6674" max="6674" width="21.85546875" bestFit="1" customWidth="1"/>
    <col min="6675" max="6675" width="39.28515625" customWidth="1"/>
    <col min="6676" max="6676" width="53.85546875" customWidth="1"/>
    <col min="6677" max="6679" width="40" customWidth="1"/>
    <col min="6914" max="6914" width="47" customWidth="1"/>
    <col min="6915" max="6915" width="12.42578125" customWidth="1"/>
    <col min="6916" max="6916" width="10.5703125" customWidth="1"/>
    <col min="6917" max="6917" width="12.42578125" bestFit="1" customWidth="1"/>
    <col min="6918" max="6918" width="7.85546875" bestFit="1" customWidth="1"/>
    <col min="6919" max="6919" width="8.28515625" bestFit="1" customWidth="1"/>
    <col min="6920" max="6920" width="12.42578125" bestFit="1" customWidth="1"/>
    <col min="6921" max="6921" width="7.85546875" bestFit="1" customWidth="1"/>
    <col min="6922" max="6922" width="8.28515625" bestFit="1" customWidth="1"/>
    <col min="6923" max="6923" width="12.42578125" bestFit="1" customWidth="1"/>
    <col min="6924" max="6924" width="7.85546875" bestFit="1" customWidth="1"/>
    <col min="6925" max="6925" width="8.28515625" bestFit="1" customWidth="1"/>
    <col min="6926" max="6926" width="13.42578125" bestFit="1" customWidth="1"/>
    <col min="6927" max="6927" width="9" bestFit="1" customWidth="1"/>
    <col min="6928" max="6928" width="9.85546875" bestFit="1" customWidth="1"/>
    <col min="6929" max="6929" width="8.42578125" bestFit="1" customWidth="1"/>
    <col min="6930" max="6930" width="21.85546875" bestFit="1" customWidth="1"/>
    <col min="6931" max="6931" width="39.28515625" customWidth="1"/>
    <col min="6932" max="6932" width="53.85546875" customWidth="1"/>
    <col min="6933" max="6935" width="40" customWidth="1"/>
    <col min="7170" max="7170" width="47" customWidth="1"/>
    <col min="7171" max="7171" width="12.42578125" customWidth="1"/>
    <col min="7172" max="7172" width="10.5703125" customWidth="1"/>
    <col min="7173" max="7173" width="12.42578125" bestFit="1" customWidth="1"/>
    <col min="7174" max="7174" width="7.85546875" bestFit="1" customWidth="1"/>
    <col min="7175" max="7175" width="8.28515625" bestFit="1" customWidth="1"/>
    <col min="7176" max="7176" width="12.42578125" bestFit="1" customWidth="1"/>
    <col min="7177" max="7177" width="7.85546875" bestFit="1" customWidth="1"/>
    <col min="7178" max="7178" width="8.28515625" bestFit="1" customWidth="1"/>
    <col min="7179" max="7179" width="12.42578125" bestFit="1" customWidth="1"/>
    <col min="7180" max="7180" width="7.85546875" bestFit="1" customWidth="1"/>
    <col min="7181" max="7181" width="8.28515625" bestFit="1" customWidth="1"/>
    <col min="7182" max="7182" width="13.42578125" bestFit="1" customWidth="1"/>
    <col min="7183" max="7183" width="9" bestFit="1" customWidth="1"/>
    <col min="7184" max="7184" width="9.85546875" bestFit="1" customWidth="1"/>
    <col min="7185" max="7185" width="8.42578125" bestFit="1" customWidth="1"/>
    <col min="7186" max="7186" width="21.85546875" bestFit="1" customWidth="1"/>
    <col min="7187" max="7187" width="39.28515625" customWidth="1"/>
    <col min="7188" max="7188" width="53.85546875" customWidth="1"/>
    <col min="7189" max="7191" width="40" customWidth="1"/>
    <col min="7426" max="7426" width="47" customWidth="1"/>
    <col min="7427" max="7427" width="12.42578125" customWidth="1"/>
    <col min="7428" max="7428" width="10.5703125" customWidth="1"/>
    <col min="7429" max="7429" width="12.42578125" bestFit="1" customWidth="1"/>
    <col min="7430" max="7430" width="7.85546875" bestFit="1" customWidth="1"/>
    <col min="7431" max="7431" width="8.28515625" bestFit="1" customWidth="1"/>
    <col min="7432" max="7432" width="12.42578125" bestFit="1" customWidth="1"/>
    <col min="7433" max="7433" width="7.85546875" bestFit="1" customWidth="1"/>
    <col min="7434" max="7434" width="8.28515625" bestFit="1" customWidth="1"/>
    <col min="7435" max="7435" width="12.42578125" bestFit="1" customWidth="1"/>
    <col min="7436" max="7436" width="7.85546875" bestFit="1" customWidth="1"/>
    <col min="7437" max="7437" width="8.28515625" bestFit="1" customWidth="1"/>
    <col min="7438" max="7438" width="13.42578125" bestFit="1" customWidth="1"/>
    <col min="7439" max="7439" width="9" bestFit="1" customWidth="1"/>
    <col min="7440" max="7440" width="9.85546875" bestFit="1" customWidth="1"/>
    <col min="7441" max="7441" width="8.42578125" bestFit="1" customWidth="1"/>
    <col min="7442" max="7442" width="21.85546875" bestFit="1" customWidth="1"/>
    <col min="7443" max="7443" width="39.28515625" customWidth="1"/>
    <col min="7444" max="7444" width="53.85546875" customWidth="1"/>
    <col min="7445" max="7447" width="40" customWidth="1"/>
    <col min="7682" max="7682" width="47" customWidth="1"/>
    <col min="7683" max="7683" width="12.42578125" customWidth="1"/>
    <col min="7684" max="7684" width="10.5703125" customWidth="1"/>
    <col min="7685" max="7685" width="12.42578125" bestFit="1" customWidth="1"/>
    <col min="7686" max="7686" width="7.85546875" bestFit="1" customWidth="1"/>
    <col min="7687" max="7687" width="8.28515625" bestFit="1" customWidth="1"/>
    <col min="7688" max="7688" width="12.42578125" bestFit="1" customWidth="1"/>
    <col min="7689" max="7689" width="7.85546875" bestFit="1" customWidth="1"/>
    <col min="7690" max="7690" width="8.28515625" bestFit="1" customWidth="1"/>
    <col min="7691" max="7691" width="12.42578125" bestFit="1" customWidth="1"/>
    <col min="7692" max="7692" width="7.85546875" bestFit="1" customWidth="1"/>
    <col min="7693" max="7693" width="8.28515625" bestFit="1" customWidth="1"/>
    <col min="7694" max="7694" width="13.42578125" bestFit="1" customWidth="1"/>
    <col min="7695" max="7695" width="9" bestFit="1" customWidth="1"/>
    <col min="7696" max="7696" width="9.85546875" bestFit="1" customWidth="1"/>
    <col min="7697" max="7697" width="8.42578125" bestFit="1" customWidth="1"/>
    <col min="7698" max="7698" width="21.85546875" bestFit="1" customWidth="1"/>
    <col min="7699" max="7699" width="39.28515625" customWidth="1"/>
    <col min="7700" max="7700" width="53.85546875" customWidth="1"/>
    <col min="7701" max="7703" width="40" customWidth="1"/>
    <col min="7938" max="7938" width="47" customWidth="1"/>
    <col min="7939" max="7939" width="12.42578125" customWidth="1"/>
    <col min="7940" max="7940" width="10.5703125" customWidth="1"/>
    <col min="7941" max="7941" width="12.42578125" bestFit="1" customWidth="1"/>
    <col min="7942" max="7942" width="7.85546875" bestFit="1" customWidth="1"/>
    <col min="7943" max="7943" width="8.28515625" bestFit="1" customWidth="1"/>
    <col min="7944" max="7944" width="12.42578125" bestFit="1" customWidth="1"/>
    <col min="7945" max="7945" width="7.85546875" bestFit="1" customWidth="1"/>
    <col min="7946" max="7946" width="8.28515625" bestFit="1" customWidth="1"/>
    <col min="7947" max="7947" width="12.42578125" bestFit="1" customWidth="1"/>
    <col min="7948" max="7948" width="7.85546875" bestFit="1" customWidth="1"/>
    <col min="7949" max="7949" width="8.28515625" bestFit="1" customWidth="1"/>
    <col min="7950" max="7950" width="13.42578125" bestFit="1" customWidth="1"/>
    <col min="7951" max="7951" width="9" bestFit="1" customWidth="1"/>
    <col min="7952" max="7952" width="9.85546875" bestFit="1" customWidth="1"/>
    <col min="7953" max="7953" width="8.42578125" bestFit="1" customWidth="1"/>
    <col min="7954" max="7954" width="21.85546875" bestFit="1" customWidth="1"/>
    <col min="7955" max="7955" width="39.28515625" customWidth="1"/>
    <col min="7956" max="7956" width="53.85546875" customWidth="1"/>
    <col min="7957" max="7959" width="40" customWidth="1"/>
    <col min="8194" max="8194" width="47" customWidth="1"/>
    <col min="8195" max="8195" width="12.42578125" customWidth="1"/>
    <col min="8196" max="8196" width="10.5703125" customWidth="1"/>
    <col min="8197" max="8197" width="12.42578125" bestFit="1" customWidth="1"/>
    <col min="8198" max="8198" width="7.85546875" bestFit="1" customWidth="1"/>
    <col min="8199" max="8199" width="8.28515625" bestFit="1" customWidth="1"/>
    <col min="8200" max="8200" width="12.42578125" bestFit="1" customWidth="1"/>
    <col min="8201" max="8201" width="7.85546875" bestFit="1" customWidth="1"/>
    <col min="8202" max="8202" width="8.28515625" bestFit="1" customWidth="1"/>
    <col min="8203" max="8203" width="12.42578125" bestFit="1" customWidth="1"/>
    <col min="8204" max="8204" width="7.85546875" bestFit="1" customWidth="1"/>
    <col min="8205" max="8205" width="8.28515625" bestFit="1" customWidth="1"/>
    <col min="8206" max="8206" width="13.42578125" bestFit="1" customWidth="1"/>
    <col min="8207" max="8207" width="9" bestFit="1" customWidth="1"/>
    <col min="8208" max="8208" width="9.85546875" bestFit="1" customWidth="1"/>
    <col min="8209" max="8209" width="8.42578125" bestFit="1" customWidth="1"/>
    <col min="8210" max="8210" width="21.85546875" bestFit="1" customWidth="1"/>
    <col min="8211" max="8211" width="39.28515625" customWidth="1"/>
    <col min="8212" max="8212" width="53.85546875" customWidth="1"/>
    <col min="8213" max="8215" width="40" customWidth="1"/>
    <col min="8450" max="8450" width="47" customWidth="1"/>
    <col min="8451" max="8451" width="12.42578125" customWidth="1"/>
    <col min="8452" max="8452" width="10.5703125" customWidth="1"/>
    <col min="8453" max="8453" width="12.42578125" bestFit="1" customWidth="1"/>
    <col min="8454" max="8454" width="7.85546875" bestFit="1" customWidth="1"/>
    <col min="8455" max="8455" width="8.28515625" bestFit="1" customWidth="1"/>
    <col min="8456" max="8456" width="12.42578125" bestFit="1" customWidth="1"/>
    <col min="8457" max="8457" width="7.85546875" bestFit="1" customWidth="1"/>
    <col min="8458" max="8458" width="8.28515625" bestFit="1" customWidth="1"/>
    <col min="8459" max="8459" width="12.42578125" bestFit="1" customWidth="1"/>
    <col min="8460" max="8460" width="7.85546875" bestFit="1" customWidth="1"/>
    <col min="8461" max="8461" width="8.28515625" bestFit="1" customWidth="1"/>
    <col min="8462" max="8462" width="13.42578125" bestFit="1" customWidth="1"/>
    <col min="8463" max="8463" width="9" bestFit="1" customWidth="1"/>
    <col min="8464" max="8464" width="9.85546875" bestFit="1" customWidth="1"/>
    <col min="8465" max="8465" width="8.42578125" bestFit="1" customWidth="1"/>
    <col min="8466" max="8466" width="21.85546875" bestFit="1" customWidth="1"/>
    <col min="8467" max="8467" width="39.28515625" customWidth="1"/>
    <col min="8468" max="8468" width="53.85546875" customWidth="1"/>
    <col min="8469" max="8471" width="40" customWidth="1"/>
    <col min="8706" max="8706" width="47" customWidth="1"/>
    <col min="8707" max="8707" width="12.42578125" customWidth="1"/>
    <col min="8708" max="8708" width="10.5703125" customWidth="1"/>
    <col min="8709" max="8709" width="12.42578125" bestFit="1" customWidth="1"/>
    <col min="8710" max="8710" width="7.85546875" bestFit="1" customWidth="1"/>
    <col min="8711" max="8711" width="8.28515625" bestFit="1" customWidth="1"/>
    <col min="8712" max="8712" width="12.42578125" bestFit="1" customWidth="1"/>
    <col min="8713" max="8713" width="7.85546875" bestFit="1" customWidth="1"/>
    <col min="8714" max="8714" width="8.28515625" bestFit="1" customWidth="1"/>
    <col min="8715" max="8715" width="12.42578125" bestFit="1" customWidth="1"/>
    <col min="8716" max="8716" width="7.85546875" bestFit="1" customWidth="1"/>
    <col min="8717" max="8717" width="8.28515625" bestFit="1" customWidth="1"/>
    <col min="8718" max="8718" width="13.42578125" bestFit="1" customWidth="1"/>
    <col min="8719" max="8719" width="9" bestFit="1" customWidth="1"/>
    <col min="8720" max="8720" width="9.85546875" bestFit="1" customWidth="1"/>
    <col min="8721" max="8721" width="8.42578125" bestFit="1" customWidth="1"/>
    <col min="8722" max="8722" width="21.85546875" bestFit="1" customWidth="1"/>
    <col min="8723" max="8723" width="39.28515625" customWidth="1"/>
    <col min="8724" max="8724" width="53.85546875" customWidth="1"/>
    <col min="8725" max="8727" width="40" customWidth="1"/>
    <col min="8962" max="8962" width="47" customWidth="1"/>
    <col min="8963" max="8963" width="12.42578125" customWidth="1"/>
    <col min="8964" max="8964" width="10.5703125" customWidth="1"/>
    <col min="8965" max="8965" width="12.42578125" bestFit="1" customWidth="1"/>
    <col min="8966" max="8966" width="7.85546875" bestFit="1" customWidth="1"/>
    <col min="8967" max="8967" width="8.28515625" bestFit="1" customWidth="1"/>
    <col min="8968" max="8968" width="12.42578125" bestFit="1" customWidth="1"/>
    <col min="8969" max="8969" width="7.85546875" bestFit="1" customWidth="1"/>
    <col min="8970" max="8970" width="8.28515625" bestFit="1" customWidth="1"/>
    <col min="8971" max="8971" width="12.42578125" bestFit="1" customWidth="1"/>
    <col min="8972" max="8972" width="7.85546875" bestFit="1" customWidth="1"/>
    <col min="8973" max="8973" width="8.28515625" bestFit="1" customWidth="1"/>
    <col min="8974" max="8974" width="13.42578125" bestFit="1" customWidth="1"/>
    <col min="8975" max="8975" width="9" bestFit="1" customWidth="1"/>
    <col min="8976" max="8976" width="9.85546875" bestFit="1" customWidth="1"/>
    <col min="8977" max="8977" width="8.42578125" bestFit="1" customWidth="1"/>
    <col min="8978" max="8978" width="21.85546875" bestFit="1" customWidth="1"/>
    <col min="8979" max="8979" width="39.28515625" customWidth="1"/>
    <col min="8980" max="8980" width="53.85546875" customWidth="1"/>
    <col min="8981" max="8983" width="40" customWidth="1"/>
    <col min="9218" max="9218" width="47" customWidth="1"/>
    <col min="9219" max="9219" width="12.42578125" customWidth="1"/>
    <col min="9220" max="9220" width="10.5703125" customWidth="1"/>
    <col min="9221" max="9221" width="12.42578125" bestFit="1" customWidth="1"/>
    <col min="9222" max="9222" width="7.85546875" bestFit="1" customWidth="1"/>
    <col min="9223" max="9223" width="8.28515625" bestFit="1" customWidth="1"/>
    <col min="9224" max="9224" width="12.42578125" bestFit="1" customWidth="1"/>
    <col min="9225" max="9225" width="7.85546875" bestFit="1" customWidth="1"/>
    <col min="9226" max="9226" width="8.28515625" bestFit="1" customWidth="1"/>
    <col min="9227" max="9227" width="12.42578125" bestFit="1" customWidth="1"/>
    <col min="9228" max="9228" width="7.85546875" bestFit="1" customWidth="1"/>
    <col min="9229" max="9229" width="8.28515625" bestFit="1" customWidth="1"/>
    <col min="9230" max="9230" width="13.42578125" bestFit="1" customWidth="1"/>
    <col min="9231" max="9231" width="9" bestFit="1" customWidth="1"/>
    <col min="9232" max="9232" width="9.85546875" bestFit="1" customWidth="1"/>
    <col min="9233" max="9233" width="8.42578125" bestFit="1" customWidth="1"/>
    <col min="9234" max="9234" width="21.85546875" bestFit="1" customWidth="1"/>
    <col min="9235" max="9235" width="39.28515625" customWidth="1"/>
    <col min="9236" max="9236" width="53.85546875" customWidth="1"/>
    <col min="9237" max="9239" width="40" customWidth="1"/>
    <col min="9474" max="9474" width="47" customWidth="1"/>
    <col min="9475" max="9475" width="12.42578125" customWidth="1"/>
    <col min="9476" max="9476" width="10.5703125" customWidth="1"/>
    <col min="9477" max="9477" width="12.42578125" bestFit="1" customWidth="1"/>
    <col min="9478" max="9478" width="7.85546875" bestFit="1" customWidth="1"/>
    <col min="9479" max="9479" width="8.28515625" bestFit="1" customWidth="1"/>
    <col min="9480" max="9480" width="12.42578125" bestFit="1" customWidth="1"/>
    <col min="9481" max="9481" width="7.85546875" bestFit="1" customWidth="1"/>
    <col min="9482" max="9482" width="8.28515625" bestFit="1" customWidth="1"/>
    <col min="9483" max="9483" width="12.42578125" bestFit="1" customWidth="1"/>
    <col min="9484" max="9484" width="7.85546875" bestFit="1" customWidth="1"/>
    <col min="9485" max="9485" width="8.28515625" bestFit="1" customWidth="1"/>
    <col min="9486" max="9486" width="13.42578125" bestFit="1" customWidth="1"/>
    <col min="9487" max="9487" width="9" bestFit="1" customWidth="1"/>
    <col min="9488" max="9488" width="9.85546875" bestFit="1" customWidth="1"/>
    <col min="9489" max="9489" width="8.42578125" bestFit="1" customWidth="1"/>
    <col min="9490" max="9490" width="21.85546875" bestFit="1" customWidth="1"/>
    <col min="9491" max="9491" width="39.28515625" customWidth="1"/>
    <col min="9492" max="9492" width="53.85546875" customWidth="1"/>
    <col min="9493" max="9495" width="40" customWidth="1"/>
    <col min="9730" max="9730" width="47" customWidth="1"/>
    <col min="9731" max="9731" width="12.42578125" customWidth="1"/>
    <col min="9732" max="9732" width="10.5703125" customWidth="1"/>
    <col min="9733" max="9733" width="12.42578125" bestFit="1" customWidth="1"/>
    <col min="9734" max="9734" width="7.85546875" bestFit="1" customWidth="1"/>
    <col min="9735" max="9735" width="8.28515625" bestFit="1" customWidth="1"/>
    <col min="9736" max="9736" width="12.42578125" bestFit="1" customWidth="1"/>
    <col min="9737" max="9737" width="7.85546875" bestFit="1" customWidth="1"/>
    <col min="9738" max="9738" width="8.28515625" bestFit="1" customWidth="1"/>
    <col min="9739" max="9739" width="12.42578125" bestFit="1" customWidth="1"/>
    <col min="9740" max="9740" width="7.85546875" bestFit="1" customWidth="1"/>
    <col min="9741" max="9741" width="8.28515625" bestFit="1" customWidth="1"/>
    <col min="9742" max="9742" width="13.42578125" bestFit="1" customWidth="1"/>
    <col min="9743" max="9743" width="9" bestFit="1" customWidth="1"/>
    <col min="9744" max="9744" width="9.85546875" bestFit="1" customWidth="1"/>
    <col min="9745" max="9745" width="8.42578125" bestFit="1" customWidth="1"/>
    <col min="9746" max="9746" width="21.85546875" bestFit="1" customWidth="1"/>
    <col min="9747" max="9747" width="39.28515625" customWidth="1"/>
    <col min="9748" max="9748" width="53.85546875" customWidth="1"/>
    <col min="9749" max="9751" width="40" customWidth="1"/>
    <col min="9986" max="9986" width="47" customWidth="1"/>
    <col min="9987" max="9987" width="12.42578125" customWidth="1"/>
    <col min="9988" max="9988" width="10.5703125" customWidth="1"/>
    <col min="9989" max="9989" width="12.42578125" bestFit="1" customWidth="1"/>
    <col min="9990" max="9990" width="7.85546875" bestFit="1" customWidth="1"/>
    <col min="9991" max="9991" width="8.28515625" bestFit="1" customWidth="1"/>
    <col min="9992" max="9992" width="12.42578125" bestFit="1" customWidth="1"/>
    <col min="9993" max="9993" width="7.85546875" bestFit="1" customWidth="1"/>
    <col min="9994" max="9994" width="8.28515625" bestFit="1" customWidth="1"/>
    <col min="9995" max="9995" width="12.42578125" bestFit="1" customWidth="1"/>
    <col min="9996" max="9996" width="7.85546875" bestFit="1" customWidth="1"/>
    <col min="9997" max="9997" width="8.28515625" bestFit="1" customWidth="1"/>
    <col min="9998" max="9998" width="13.42578125" bestFit="1" customWidth="1"/>
    <col min="9999" max="9999" width="9" bestFit="1" customWidth="1"/>
    <col min="10000" max="10000" width="9.85546875" bestFit="1" customWidth="1"/>
    <col min="10001" max="10001" width="8.42578125" bestFit="1" customWidth="1"/>
    <col min="10002" max="10002" width="21.85546875" bestFit="1" customWidth="1"/>
    <col min="10003" max="10003" width="39.28515625" customWidth="1"/>
    <col min="10004" max="10004" width="53.85546875" customWidth="1"/>
    <col min="10005" max="10007" width="40" customWidth="1"/>
    <col min="10242" max="10242" width="47" customWidth="1"/>
    <col min="10243" max="10243" width="12.42578125" customWidth="1"/>
    <col min="10244" max="10244" width="10.5703125" customWidth="1"/>
    <col min="10245" max="10245" width="12.42578125" bestFit="1" customWidth="1"/>
    <col min="10246" max="10246" width="7.85546875" bestFit="1" customWidth="1"/>
    <col min="10247" max="10247" width="8.28515625" bestFit="1" customWidth="1"/>
    <col min="10248" max="10248" width="12.42578125" bestFit="1" customWidth="1"/>
    <col min="10249" max="10249" width="7.85546875" bestFit="1" customWidth="1"/>
    <col min="10250" max="10250" width="8.28515625" bestFit="1" customWidth="1"/>
    <col min="10251" max="10251" width="12.42578125" bestFit="1" customWidth="1"/>
    <col min="10252" max="10252" width="7.85546875" bestFit="1" customWidth="1"/>
    <col min="10253" max="10253" width="8.28515625" bestFit="1" customWidth="1"/>
    <col min="10254" max="10254" width="13.42578125" bestFit="1" customWidth="1"/>
    <col min="10255" max="10255" width="9" bestFit="1" customWidth="1"/>
    <col min="10256" max="10256" width="9.85546875" bestFit="1" customWidth="1"/>
    <col min="10257" max="10257" width="8.42578125" bestFit="1" customWidth="1"/>
    <col min="10258" max="10258" width="21.85546875" bestFit="1" customWidth="1"/>
    <col min="10259" max="10259" width="39.28515625" customWidth="1"/>
    <col min="10260" max="10260" width="53.85546875" customWidth="1"/>
    <col min="10261" max="10263" width="40" customWidth="1"/>
    <col min="10498" max="10498" width="47" customWidth="1"/>
    <col min="10499" max="10499" width="12.42578125" customWidth="1"/>
    <col min="10500" max="10500" width="10.5703125" customWidth="1"/>
    <col min="10501" max="10501" width="12.42578125" bestFit="1" customWidth="1"/>
    <col min="10502" max="10502" width="7.85546875" bestFit="1" customWidth="1"/>
    <col min="10503" max="10503" width="8.28515625" bestFit="1" customWidth="1"/>
    <col min="10504" max="10504" width="12.42578125" bestFit="1" customWidth="1"/>
    <col min="10505" max="10505" width="7.85546875" bestFit="1" customWidth="1"/>
    <col min="10506" max="10506" width="8.28515625" bestFit="1" customWidth="1"/>
    <col min="10507" max="10507" width="12.42578125" bestFit="1" customWidth="1"/>
    <col min="10508" max="10508" width="7.85546875" bestFit="1" customWidth="1"/>
    <col min="10509" max="10509" width="8.28515625" bestFit="1" customWidth="1"/>
    <col min="10510" max="10510" width="13.42578125" bestFit="1" customWidth="1"/>
    <col min="10511" max="10511" width="9" bestFit="1" customWidth="1"/>
    <col min="10512" max="10512" width="9.85546875" bestFit="1" customWidth="1"/>
    <col min="10513" max="10513" width="8.42578125" bestFit="1" customWidth="1"/>
    <col min="10514" max="10514" width="21.85546875" bestFit="1" customWidth="1"/>
    <col min="10515" max="10515" width="39.28515625" customWidth="1"/>
    <col min="10516" max="10516" width="53.85546875" customWidth="1"/>
    <col min="10517" max="10519" width="40" customWidth="1"/>
    <col min="10754" max="10754" width="47" customWidth="1"/>
    <col min="10755" max="10755" width="12.42578125" customWidth="1"/>
    <col min="10756" max="10756" width="10.5703125" customWidth="1"/>
    <col min="10757" max="10757" width="12.42578125" bestFit="1" customWidth="1"/>
    <col min="10758" max="10758" width="7.85546875" bestFit="1" customWidth="1"/>
    <col min="10759" max="10759" width="8.28515625" bestFit="1" customWidth="1"/>
    <col min="10760" max="10760" width="12.42578125" bestFit="1" customWidth="1"/>
    <col min="10761" max="10761" width="7.85546875" bestFit="1" customWidth="1"/>
    <col min="10762" max="10762" width="8.28515625" bestFit="1" customWidth="1"/>
    <col min="10763" max="10763" width="12.42578125" bestFit="1" customWidth="1"/>
    <col min="10764" max="10764" width="7.85546875" bestFit="1" customWidth="1"/>
    <col min="10765" max="10765" width="8.28515625" bestFit="1" customWidth="1"/>
    <col min="10766" max="10766" width="13.42578125" bestFit="1" customWidth="1"/>
    <col min="10767" max="10767" width="9" bestFit="1" customWidth="1"/>
    <col min="10768" max="10768" width="9.85546875" bestFit="1" customWidth="1"/>
    <col min="10769" max="10769" width="8.42578125" bestFit="1" customWidth="1"/>
    <col min="10770" max="10770" width="21.85546875" bestFit="1" customWidth="1"/>
    <col min="10771" max="10771" width="39.28515625" customWidth="1"/>
    <col min="10772" max="10772" width="53.85546875" customWidth="1"/>
    <col min="10773" max="10775" width="40" customWidth="1"/>
    <col min="11010" max="11010" width="47" customWidth="1"/>
    <col min="11011" max="11011" width="12.42578125" customWidth="1"/>
    <col min="11012" max="11012" width="10.5703125" customWidth="1"/>
    <col min="11013" max="11013" width="12.42578125" bestFit="1" customWidth="1"/>
    <col min="11014" max="11014" width="7.85546875" bestFit="1" customWidth="1"/>
    <col min="11015" max="11015" width="8.28515625" bestFit="1" customWidth="1"/>
    <col min="11016" max="11016" width="12.42578125" bestFit="1" customWidth="1"/>
    <col min="11017" max="11017" width="7.85546875" bestFit="1" customWidth="1"/>
    <col min="11018" max="11018" width="8.28515625" bestFit="1" customWidth="1"/>
    <col min="11019" max="11019" width="12.42578125" bestFit="1" customWidth="1"/>
    <col min="11020" max="11020" width="7.85546875" bestFit="1" customWidth="1"/>
    <col min="11021" max="11021" width="8.28515625" bestFit="1" customWidth="1"/>
    <col min="11022" max="11022" width="13.42578125" bestFit="1" customWidth="1"/>
    <col min="11023" max="11023" width="9" bestFit="1" customWidth="1"/>
    <col min="11024" max="11024" width="9.85546875" bestFit="1" customWidth="1"/>
    <col min="11025" max="11025" width="8.42578125" bestFit="1" customWidth="1"/>
    <col min="11026" max="11026" width="21.85546875" bestFit="1" customWidth="1"/>
    <col min="11027" max="11027" width="39.28515625" customWidth="1"/>
    <col min="11028" max="11028" width="53.85546875" customWidth="1"/>
    <col min="11029" max="11031" width="40" customWidth="1"/>
    <col min="11266" max="11266" width="47" customWidth="1"/>
    <col min="11267" max="11267" width="12.42578125" customWidth="1"/>
    <col min="11268" max="11268" width="10.5703125" customWidth="1"/>
    <col min="11269" max="11269" width="12.42578125" bestFit="1" customWidth="1"/>
    <col min="11270" max="11270" width="7.85546875" bestFit="1" customWidth="1"/>
    <col min="11271" max="11271" width="8.28515625" bestFit="1" customWidth="1"/>
    <col min="11272" max="11272" width="12.42578125" bestFit="1" customWidth="1"/>
    <col min="11273" max="11273" width="7.85546875" bestFit="1" customWidth="1"/>
    <col min="11274" max="11274" width="8.28515625" bestFit="1" customWidth="1"/>
    <col min="11275" max="11275" width="12.42578125" bestFit="1" customWidth="1"/>
    <col min="11276" max="11276" width="7.85546875" bestFit="1" customWidth="1"/>
    <col min="11277" max="11277" width="8.28515625" bestFit="1" customWidth="1"/>
    <col min="11278" max="11278" width="13.42578125" bestFit="1" customWidth="1"/>
    <col min="11279" max="11279" width="9" bestFit="1" customWidth="1"/>
    <col min="11280" max="11280" width="9.85546875" bestFit="1" customWidth="1"/>
    <col min="11281" max="11281" width="8.42578125" bestFit="1" customWidth="1"/>
    <col min="11282" max="11282" width="21.85546875" bestFit="1" customWidth="1"/>
    <col min="11283" max="11283" width="39.28515625" customWidth="1"/>
    <col min="11284" max="11284" width="53.85546875" customWidth="1"/>
    <col min="11285" max="11287" width="40" customWidth="1"/>
    <col min="11522" max="11522" width="47" customWidth="1"/>
    <col min="11523" max="11523" width="12.42578125" customWidth="1"/>
    <col min="11524" max="11524" width="10.5703125" customWidth="1"/>
    <col min="11525" max="11525" width="12.42578125" bestFit="1" customWidth="1"/>
    <col min="11526" max="11526" width="7.85546875" bestFit="1" customWidth="1"/>
    <col min="11527" max="11527" width="8.28515625" bestFit="1" customWidth="1"/>
    <col min="11528" max="11528" width="12.42578125" bestFit="1" customWidth="1"/>
    <col min="11529" max="11529" width="7.85546875" bestFit="1" customWidth="1"/>
    <col min="11530" max="11530" width="8.28515625" bestFit="1" customWidth="1"/>
    <col min="11531" max="11531" width="12.42578125" bestFit="1" customWidth="1"/>
    <col min="11532" max="11532" width="7.85546875" bestFit="1" customWidth="1"/>
    <col min="11533" max="11533" width="8.28515625" bestFit="1" customWidth="1"/>
    <col min="11534" max="11534" width="13.42578125" bestFit="1" customWidth="1"/>
    <col min="11535" max="11535" width="9" bestFit="1" customWidth="1"/>
    <col min="11536" max="11536" width="9.85546875" bestFit="1" customWidth="1"/>
    <col min="11537" max="11537" width="8.42578125" bestFit="1" customWidth="1"/>
    <col min="11538" max="11538" width="21.85546875" bestFit="1" customWidth="1"/>
    <col min="11539" max="11539" width="39.28515625" customWidth="1"/>
    <col min="11540" max="11540" width="53.85546875" customWidth="1"/>
    <col min="11541" max="11543" width="40" customWidth="1"/>
    <col min="11778" max="11778" width="47" customWidth="1"/>
    <col min="11779" max="11779" width="12.42578125" customWidth="1"/>
    <col min="11780" max="11780" width="10.5703125" customWidth="1"/>
    <col min="11781" max="11781" width="12.42578125" bestFit="1" customWidth="1"/>
    <col min="11782" max="11782" width="7.85546875" bestFit="1" customWidth="1"/>
    <col min="11783" max="11783" width="8.28515625" bestFit="1" customWidth="1"/>
    <col min="11784" max="11784" width="12.42578125" bestFit="1" customWidth="1"/>
    <col min="11785" max="11785" width="7.85546875" bestFit="1" customWidth="1"/>
    <col min="11786" max="11786" width="8.28515625" bestFit="1" customWidth="1"/>
    <col min="11787" max="11787" width="12.42578125" bestFit="1" customWidth="1"/>
    <col min="11788" max="11788" width="7.85546875" bestFit="1" customWidth="1"/>
    <col min="11789" max="11789" width="8.28515625" bestFit="1" customWidth="1"/>
    <col min="11790" max="11790" width="13.42578125" bestFit="1" customWidth="1"/>
    <col min="11791" max="11791" width="9" bestFit="1" customWidth="1"/>
    <col min="11792" max="11792" width="9.85546875" bestFit="1" customWidth="1"/>
    <col min="11793" max="11793" width="8.42578125" bestFit="1" customWidth="1"/>
    <col min="11794" max="11794" width="21.85546875" bestFit="1" customWidth="1"/>
    <col min="11795" max="11795" width="39.28515625" customWidth="1"/>
    <col min="11796" max="11796" width="53.85546875" customWidth="1"/>
    <col min="11797" max="11799" width="40" customWidth="1"/>
    <col min="12034" max="12034" width="47" customWidth="1"/>
    <col min="12035" max="12035" width="12.42578125" customWidth="1"/>
    <col min="12036" max="12036" width="10.5703125" customWidth="1"/>
    <col min="12037" max="12037" width="12.42578125" bestFit="1" customWidth="1"/>
    <col min="12038" max="12038" width="7.85546875" bestFit="1" customWidth="1"/>
    <col min="12039" max="12039" width="8.28515625" bestFit="1" customWidth="1"/>
    <col min="12040" max="12040" width="12.42578125" bestFit="1" customWidth="1"/>
    <col min="12041" max="12041" width="7.85546875" bestFit="1" customWidth="1"/>
    <col min="12042" max="12042" width="8.28515625" bestFit="1" customWidth="1"/>
    <col min="12043" max="12043" width="12.42578125" bestFit="1" customWidth="1"/>
    <col min="12044" max="12044" width="7.85546875" bestFit="1" customWidth="1"/>
    <col min="12045" max="12045" width="8.28515625" bestFit="1" customWidth="1"/>
    <col min="12046" max="12046" width="13.42578125" bestFit="1" customWidth="1"/>
    <col min="12047" max="12047" width="9" bestFit="1" customWidth="1"/>
    <col min="12048" max="12048" width="9.85546875" bestFit="1" customWidth="1"/>
    <col min="12049" max="12049" width="8.42578125" bestFit="1" customWidth="1"/>
    <col min="12050" max="12050" width="21.85546875" bestFit="1" customWidth="1"/>
    <col min="12051" max="12051" width="39.28515625" customWidth="1"/>
    <col min="12052" max="12052" width="53.85546875" customWidth="1"/>
    <col min="12053" max="12055" width="40" customWidth="1"/>
    <col min="12290" max="12290" width="47" customWidth="1"/>
    <col min="12291" max="12291" width="12.42578125" customWidth="1"/>
    <col min="12292" max="12292" width="10.5703125" customWidth="1"/>
    <col min="12293" max="12293" width="12.42578125" bestFit="1" customWidth="1"/>
    <col min="12294" max="12294" width="7.85546875" bestFit="1" customWidth="1"/>
    <col min="12295" max="12295" width="8.28515625" bestFit="1" customWidth="1"/>
    <col min="12296" max="12296" width="12.42578125" bestFit="1" customWidth="1"/>
    <col min="12297" max="12297" width="7.85546875" bestFit="1" customWidth="1"/>
    <col min="12298" max="12298" width="8.28515625" bestFit="1" customWidth="1"/>
    <col min="12299" max="12299" width="12.42578125" bestFit="1" customWidth="1"/>
    <col min="12300" max="12300" width="7.85546875" bestFit="1" customWidth="1"/>
    <col min="12301" max="12301" width="8.28515625" bestFit="1" customWidth="1"/>
    <col min="12302" max="12302" width="13.42578125" bestFit="1" customWidth="1"/>
    <col min="12303" max="12303" width="9" bestFit="1" customWidth="1"/>
    <col min="12304" max="12304" width="9.85546875" bestFit="1" customWidth="1"/>
    <col min="12305" max="12305" width="8.42578125" bestFit="1" customWidth="1"/>
    <col min="12306" max="12306" width="21.85546875" bestFit="1" customWidth="1"/>
    <col min="12307" max="12307" width="39.28515625" customWidth="1"/>
    <col min="12308" max="12308" width="53.85546875" customWidth="1"/>
    <col min="12309" max="12311" width="40" customWidth="1"/>
    <col min="12546" max="12546" width="47" customWidth="1"/>
    <col min="12547" max="12547" width="12.42578125" customWidth="1"/>
    <col min="12548" max="12548" width="10.5703125" customWidth="1"/>
    <col min="12549" max="12549" width="12.42578125" bestFit="1" customWidth="1"/>
    <col min="12550" max="12550" width="7.85546875" bestFit="1" customWidth="1"/>
    <col min="12551" max="12551" width="8.28515625" bestFit="1" customWidth="1"/>
    <col min="12552" max="12552" width="12.42578125" bestFit="1" customWidth="1"/>
    <col min="12553" max="12553" width="7.85546875" bestFit="1" customWidth="1"/>
    <col min="12554" max="12554" width="8.28515625" bestFit="1" customWidth="1"/>
    <col min="12555" max="12555" width="12.42578125" bestFit="1" customWidth="1"/>
    <col min="12556" max="12556" width="7.85546875" bestFit="1" customWidth="1"/>
    <col min="12557" max="12557" width="8.28515625" bestFit="1" customWidth="1"/>
    <col min="12558" max="12558" width="13.42578125" bestFit="1" customWidth="1"/>
    <col min="12559" max="12559" width="9" bestFit="1" customWidth="1"/>
    <col min="12560" max="12560" width="9.85546875" bestFit="1" customWidth="1"/>
    <col min="12561" max="12561" width="8.42578125" bestFit="1" customWidth="1"/>
    <col min="12562" max="12562" width="21.85546875" bestFit="1" customWidth="1"/>
    <col min="12563" max="12563" width="39.28515625" customWidth="1"/>
    <col min="12564" max="12564" width="53.85546875" customWidth="1"/>
    <col min="12565" max="12567" width="40" customWidth="1"/>
    <col min="12802" max="12802" width="47" customWidth="1"/>
    <col min="12803" max="12803" width="12.42578125" customWidth="1"/>
    <col min="12804" max="12804" width="10.5703125" customWidth="1"/>
    <col min="12805" max="12805" width="12.42578125" bestFit="1" customWidth="1"/>
    <col min="12806" max="12806" width="7.85546875" bestFit="1" customWidth="1"/>
    <col min="12807" max="12807" width="8.28515625" bestFit="1" customWidth="1"/>
    <col min="12808" max="12808" width="12.42578125" bestFit="1" customWidth="1"/>
    <col min="12809" max="12809" width="7.85546875" bestFit="1" customWidth="1"/>
    <col min="12810" max="12810" width="8.28515625" bestFit="1" customWidth="1"/>
    <col min="12811" max="12811" width="12.42578125" bestFit="1" customWidth="1"/>
    <col min="12812" max="12812" width="7.85546875" bestFit="1" customWidth="1"/>
    <col min="12813" max="12813" width="8.28515625" bestFit="1" customWidth="1"/>
    <col min="12814" max="12814" width="13.42578125" bestFit="1" customWidth="1"/>
    <col min="12815" max="12815" width="9" bestFit="1" customWidth="1"/>
    <col min="12816" max="12816" width="9.85546875" bestFit="1" customWidth="1"/>
    <col min="12817" max="12817" width="8.42578125" bestFit="1" customWidth="1"/>
    <col min="12818" max="12818" width="21.85546875" bestFit="1" customWidth="1"/>
    <col min="12819" max="12819" width="39.28515625" customWidth="1"/>
    <col min="12820" max="12820" width="53.85546875" customWidth="1"/>
    <col min="12821" max="12823" width="40" customWidth="1"/>
    <col min="13058" max="13058" width="47" customWidth="1"/>
    <col min="13059" max="13059" width="12.42578125" customWidth="1"/>
    <col min="13060" max="13060" width="10.5703125" customWidth="1"/>
    <col min="13061" max="13061" width="12.42578125" bestFit="1" customWidth="1"/>
    <col min="13062" max="13062" width="7.85546875" bestFit="1" customWidth="1"/>
    <col min="13063" max="13063" width="8.28515625" bestFit="1" customWidth="1"/>
    <col min="13064" max="13064" width="12.42578125" bestFit="1" customWidth="1"/>
    <col min="13065" max="13065" width="7.85546875" bestFit="1" customWidth="1"/>
    <col min="13066" max="13066" width="8.28515625" bestFit="1" customWidth="1"/>
    <col min="13067" max="13067" width="12.42578125" bestFit="1" customWidth="1"/>
    <col min="13068" max="13068" width="7.85546875" bestFit="1" customWidth="1"/>
    <col min="13069" max="13069" width="8.28515625" bestFit="1" customWidth="1"/>
    <col min="13070" max="13070" width="13.42578125" bestFit="1" customWidth="1"/>
    <col min="13071" max="13071" width="9" bestFit="1" customWidth="1"/>
    <col min="13072" max="13072" width="9.85546875" bestFit="1" customWidth="1"/>
    <col min="13073" max="13073" width="8.42578125" bestFit="1" customWidth="1"/>
    <col min="13074" max="13074" width="21.85546875" bestFit="1" customWidth="1"/>
    <col min="13075" max="13075" width="39.28515625" customWidth="1"/>
    <col min="13076" max="13076" width="53.85546875" customWidth="1"/>
    <col min="13077" max="13079" width="40" customWidth="1"/>
    <col min="13314" max="13314" width="47" customWidth="1"/>
    <col min="13315" max="13315" width="12.42578125" customWidth="1"/>
    <col min="13316" max="13316" width="10.5703125" customWidth="1"/>
    <col min="13317" max="13317" width="12.42578125" bestFit="1" customWidth="1"/>
    <col min="13318" max="13318" width="7.85546875" bestFit="1" customWidth="1"/>
    <col min="13319" max="13319" width="8.28515625" bestFit="1" customWidth="1"/>
    <col min="13320" max="13320" width="12.42578125" bestFit="1" customWidth="1"/>
    <col min="13321" max="13321" width="7.85546875" bestFit="1" customWidth="1"/>
    <col min="13322" max="13322" width="8.28515625" bestFit="1" customWidth="1"/>
    <col min="13323" max="13323" width="12.42578125" bestFit="1" customWidth="1"/>
    <col min="13324" max="13324" width="7.85546875" bestFit="1" customWidth="1"/>
    <col min="13325" max="13325" width="8.28515625" bestFit="1" customWidth="1"/>
    <col min="13326" max="13326" width="13.42578125" bestFit="1" customWidth="1"/>
    <col min="13327" max="13327" width="9" bestFit="1" customWidth="1"/>
    <col min="13328" max="13328" width="9.85546875" bestFit="1" customWidth="1"/>
    <col min="13329" max="13329" width="8.42578125" bestFit="1" customWidth="1"/>
    <col min="13330" max="13330" width="21.85546875" bestFit="1" customWidth="1"/>
    <col min="13331" max="13331" width="39.28515625" customWidth="1"/>
    <col min="13332" max="13332" width="53.85546875" customWidth="1"/>
    <col min="13333" max="13335" width="40" customWidth="1"/>
    <col min="13570" max="13570" width="47" customWidth="1"/>
    <col min="13571" max="13571" width="12.42578125" customWidth="1"/>
    <col min="13572" max="13572" width="10.5703125" customWidth="1"/>
    <col min="13573" max="13573" width="12.42578125" bestFit="1" customWidth="1"/>
    <col min="13574" max="13574" width="7.85546875" bestFit="1" customWidth="1"/>
    <col min="13575" max="13575" width="8.28515625" bestFit="1" customWidth="1"/>
    <col min="13576" max="13576" width="12.42578125" bestFit="1" customWidth="1"/>
    <col min="13577" max="13577" width="7.85546875" bestFit="1" customWidth="1"/>
    <col min="13578" max="13578" width="8.28515625" bestFit="1" customWidth="1"/>
    <col min="13579" max="13579" width="12.42578125" bestFit="1" customWidth="1"/>
    <col min="13580" max="13580" width="7.85546875" bestFit="1" customWidth="1"/>
    <col min="13581" max="13581" width="8.28515625" bestFit="1" customWidth="1"/>
    <col min="13582" max="13582" width="13.42578125" bestFit="1" customWidth="1"/>
    <col min="13583" max="13583" width="9" bestFit="1" customWidth="1"/>
    <col min="13584" max="13584" width="9.85546875" bestFit="1" customWidth="1"/>
    <col min="13585" max="13585" width="8.42578125" bestFit="1" customWidth="1"/>
    <col min="13586" max="13586" width="21.85546875" bestFit="1" customWidth="1"/>
    <col min="13587" max="13587" width="39.28515625" customWidth="1"/>
    <col min="13588" max="13588" width="53.85546875" customWidth="1"/>
    <col min="13589" max="13591" width="40" customWidth="1"/>
    <col min="13826" max="13826" width="47" customWidth="1"/>
    <col min="13827" max="13827" width="12.42578125" customWidth="1"/>
    <col min="13828" max="13828" width="10.5703125" customWidth="1"/>
    <col min="13829" max="13829" width="12.42578125" bestFit="1" customWidth="1"/>
    <col min="13830" max="13830" width="7.85546875" bestFit="1" customWidth="1"/>
    <col min="13831" max="13831" width="8.28515625" bestFit="1" customWidth="1"/>
    <col min="13832" max="13832" width="12.42578125" bestFit="1" customWidth="1"/>
    <col min="13833" max="13833" width="7.85546875" bestFit="1" customWidth="1"/>
    <col min="13834" max="13834" width="8.28515625" bestFit="1" customWidth="1"/>
    <col min="13835" max="13835" width="12.42578125" bestFit="1" customWidth="1"/>
    <col min="13836" max="13836" width="7.85546875" bestFit="1" customWidth="1"/>
    <col min="13837" max="13837" width="8.28515625" bestFit="1" customWidth="1"/>
    <col min="13838" max="13838" width="13.42578125" bestFit="1" customWidth="1"/>
    <col min="13839" max="13839" width="9" bestFit="1" customWidth="1"/>
    <col min="13840" max="13840" width="9.85546875" bestFit="1" customWidth="1"/>
    <col min="13841" max="13841" width="8.42578125" bestFit="1" customWidth="1"/>
    <col min="13842" max="13842" width="21.85546875" bestFit="1" customWidth="1"/>
    <col min="13843" max="13843" width="39.28515625" customWidth="1"/>
    <col min="13844" max="13844" width="53.85546875" customWidth="1"/>
    <col min="13845" max="13847" width="40" customWidth="1"/>
    <col min="14082" max="14082" width="47" customWidth="1"/>
    <col min="14083" max="14083" width="12.42578125" customWidth="1"/>
    <col min="14084" max="14084" width="10.5703125" customWidth="1"/>
    <col min="14085" max="14085" width="12.42578125" bestFit="1" customWidth="1"/>
    <col min="14086" max="14086" width="7.85546875" bestFit="1" customWidth="1"/>
    <col min="14087" max="14087" width="8.28515625" bestFit="1" customWidth="1"/>
    <col min="14088" max="14088" width="12.42578125" bestFit="1" customWidth="1"/>
    <col min="14089" max="14089" width="7.85546875" bestFit="1" customWidth="1"/>
    <col min="14090" max="14090" width="8.28515625" bestFit="1" customWidth="1"/>
    <col min="14091" max="14091" width="12.42578125" bestFit="1" customWidth="1"/>
    <col min="14092" max="14092" width="7.85546875" bestFit="1" customWidth="1"/>
    <col min="14093" max="14093" width="8.28515625" bestFit="1" customWidth="1"/>
    <col min="14094" max="14094" width="13.42578125" bestFit="1" customWidth="1"/>
    <col min="14095" max="14095" width="9" bestFit="1" customWidth="1"/>
    <col min="14096" max="14096" width="9.85546875" bestFit="1" customWidth="1"/>
    <col min="14097" max="14097" width="8.42578125" bestFit="1" customWidth="1"/>
    <col min="14098" max="14098" width="21.85546875" bestFit="1" customWidth="1"/>
    <col min="14099" max="14099" width="39.28515625" customWidth="1"/>
    <col min="14100" max="14100" width="53.85546875" customWidth="1"/>
    <col min="14101" max="14103" width="40" customWidth="1"/>
    <col min="14338" max="14338" width="47" customWidth="1"/>
    <col min="14339" max="14339" width="12.42578125" customWidth="1"/>
    <col min="14340" max="14340" width="10.5703125" customWidth="1"/>
    <col min="14341" max="14341" width="12.42578125" bestFit="1" customWidth="1"/>
    <col min="14342" max="14342" width="7.85546875" bestFit="1" customWidth="1"/>
    <col min="14343" max="14343" width="8.28515625" bestFit="1" customWidth="1"/>
    <col min="14344" max="14344" width="12.42578125" bestFit="1" customWidth="1"/>
    <col min="14345" max="14345" width="7.85546875" bestFit="1" customWidth="1"/>
    <col min="14346" max="14346" width="8.28515625" bestFit="1" customWidth="1"/>
    <col min="14347" max="14347" width="12.42578125" bestFit="1" customWidth="1"/>
    <col min="14348" max="14348" width="7.85546875" bestFit="1" customWidth="1"/>
    <col min="14349" max="14349" width="8.28515625" bestFit="1" customWidth="1"/>
    <col min="14350" max="14350" width="13.42578125" bestFit="1" customWidth="1"/>
    <col min="14351" max="14351" width="9" bestFit="1" customWidth="1"/>
    <col min="14352" max="14352" width="9.85546875" bestFit="1" customWidth="1"/>
    <col min="14353" max="14353" width="8.42578125" bestFit="1" customWidth="1"/>
    <col min="14354" max="14354" width="21.85546875" bestFit="1" customWidth="1"/>
    <col min="14355" max="14355" width="39.28515625" customWidth="1"/>
    <col min="14356" max="14356" width="53.85546875" customWidth="1"/>
    <col min="14357" max="14359" width="40" customWidth="1"/>
    <col min="14594" max="14594" width="47" customWidth="1"/>
    <col min="14595" max="14595" width="12.42578125" customWidth="1"/>
    <col min="14596" max="14596" width="10.5703125" customWidth="1"/>
    <col min="14597" max="14597" width="12.42578125" bestFit="1" customWidth="1"/>
    <col min="14598" max="14598" width="7.85546875" bestFit="1" customWidth="1"/>
    <col min="14599" max="14599" width="8.28515625" bestFit="1" customWidth="1"/>
    <col min="14600" max="14600" width="12.42578125" bestFit="1" customWidth="1"/>
    <col min="14601" max="14601" width="7.85546875" bestFit="1" customWidth="1"/>
    <col min="14602" max="14602" width="8.28515625" bestFit="1" customWidth="1"/>
    <col min="14603" max="14603" width="12.42578125" bestFit="1" customWidth="1"/>
    <col min="14604" max="14604" width="7.85546875" bestFit="1" customWidth="1"/>
    <col min="14605" max="14605" width="8.28515625" bestFit="1" customWidth="1"/>
    <col min="14606" max="14606" width="13.42578125" bestFit="1" customWidth="1"/>
    <col min="14607" max="14607" width="9" bestFit="1" customWidth="1"/>
    <col min="14608" max="14608" width="9.85546875" bestFit="1" customWidth="1"/>
    <col min="14609" max="14609" width="8.42578125" bestFit="1" customWidth="1"/>
    <col min="14610" max="14610" width="21.85546875" bestFit="1" customWidth="1"/>
    <col min="14611" max="14611" width="39.28515625" customWidth="1"/>
    <col min="14612" max="14612" width="53.85546875" customWidth="1"/>
    <col min="14613" max="14615" width="40" customWidth="1"/>
    <col min="14850" max="14850" width="47" customWidth="1"/>
    <col min="14851" max="14851" width="12.42578125" customWidth="1"/>
    <col min="14852" max="14852" width="10.5703125" customWidth="1"/>
    <col min="14853" max="14853" width="12.42578125" bestFit="1" customWidth="1"/>
    <col min="14854" max="14854" width="7.85546875" bestFit="1" customWidth="1"/>
    <col min="14855" max="14855" width="8.28515625" bestFit="1" customWidth="1"/>
    <col min="14856" max="14856" width="12.42578125" bestFit="1" customWidth="1"/>
    <col min="14857" max="14857" width="7.85546875" bestFit="1" customWidth="1"/>
    <col min="14858" max="14858" width="8.28515625" bestFit="1" customWidth="1"/>
    <col min="14859" max="14859" width="12.42578125" bestFit="1" customWidth="1"/>
    <col min="14860" max="14860" width="7.85546875" bestFit="1" customWidth="1"/>
    <col min="14861" max="14861" width="8.28515625" bestFit="1" customWidth="1"/>
    <col min="14862" max="14862" width="13.42578125" bestFit="1" customWidth="1"/>
    <col min="14863" max="14863" width="9" bestFit="1" customWidth="1"/>
    <col min="14864" max="14864" width="9.85546875" bestFit="1" customWidth="1"/>
    <col min="14865" max="14865" width="8.42578125" bestFit="1" customWidth="1"/>
    <col min="14866" max="14866" width="21.85546875" bestFit="1" customWidth="1"/>
    <col min="14867" max="14867" width="39.28515625" customWidth="1"/>
    <col min="14868" max="14868" width="53.85546875" customWidth="1"/>
    <col min="14869" max="14871" width="40" customWidth="1"/>
    <col min="15106" max="15106" width="47" customWidth="1"/>
    <col min="15107" max="15107" width="12.42578125" customWidth="1"/>
    <col min="15108" max="15108" width="10.5703125" customWidth="1"/>
    <col min="15109" max="15109" width="12.42578125" bestFit="1" customWidth="1"/>
    <col min="15110" max="15110" width="7.85546875" bestFit="1" customWidth="1"/>
    <col min="15111" max="15111" width="8.28515625" bestFit="1" customWidth="1"/>
    <col min="15112" max="15112" width="12.42578125" bestFit="1" customWidth="1"/>
    <col min="15113" max="15113" width="7.85546875" bestFit="1" customWidth="1"/>
    <col min="15114" max="15114" width="8.28515625" bestFit="1" customWidth="1"/>
    <col min="15115" max="15115" width="12.42578125" bestFit="1" customWidth="1"/>
    <col min="15116" max="15116" width="7.85546875" bestFit="1" customWidth="1"/>
    <col min="15117" max="15117" width="8.28515625" bestFit="1" customWidth="1"/>
    <col min="15118" max="15118" width="13.42578125" bestFit="1" customWidth="1"/>
    <col min="15119" max="15119" width="9" bestFit="1" customWidth="1"/>
    <col min="15120" max="15120" width="9.85546875" bestFit="1" customWidth="1"/>
    <col min="15121" max="15121" width="8.42578125" bestFit="1" customWidth="1"/>
    <col min="15122" max="15122" width="21.85546875" bestFit="1" customWidth="1"/>
    <col min="15123" max="15123" width="39.28515625" customWidth="1"/>
    <col min="15124" max="15124" width="53.85546875" customWidth="1"/>
    <col min="15125" max="15127" width="40" customWidth="1"/>
    <col min="15362" max="15362" width="47" customWidth="1"/>
    <col min="15363" max="15363" width="12.42578125" customWidth="1"/>
    <col min="15364" max="15364" width="10.5703125" customWidth="1"/>
    <col min="15365" max="15365" width="12.42578125" bestFit="1" customWidth="1"/>
    <col min="15366" max="15366" width="7.85546875" bestFit="1" customWidth="1"/>
    <col min="15367" max="15367" width="8.28515625" bestFit="1" customWidth="1"/>
    <col min="15368" max="15368" width="12.42578125" bestFit="1" customWidth="1"/>
    <col min="15369" max="15369" width="7.85546875" bestFit="1" customWidth="1"/>
    <col min="15370" max="15370" width="8.28515625" bestFit="1" customWidth="1"/>
    <col min="15371" max="15371" width="12.42578125" bestFit="1" customWidth="1"/>
    <col min="15372" max="15372" width="7.85546875" bestFit="1" customWidth="1"/>
    <col min="15373" max="15373" width="8.28515625" bestFit="1" customWidth="1"/>
    <col min="15374" max="15374" width="13.42578125" bestFit="1" customWidth="1"/>
    <col min="15375" max="15375" width="9" bestFit="1" customWidth="1"/>
    <col min="15376" max="15376" width="9.85546875" bestFit="1" customWidth="1"/>
    <col min="15377" max="15377" width="8.42578125" bestFit="1" customWidth="1"/>
    <col min="15378" max="15378" width="21.85546875" bestFit="1" customWidth="1"/>
    <col min="15379" max="15379" width="39.28515625" customWidth="1"/>
    <col min="15380" max="15380" width="53.85546875" customWidth="1"/>
    <col min="15381" max="15383" width="40" customWidth="1"/>
    <col min="15618" max="15618" width="47" customWidth="1"/>
    <col min="15619" max="15619" width="12.42578125" customWidth="1"/>
    <col min="15620" max="15620" width="10.5703125" customWidth="1"/>
    <col min="15621" max="15621" width="12.42578125" bestFit="1" customWidth="1"/>
    <col min="15622" max="15622" width="7.85546875" bestFit="1" customWidth="1"/>
    <col min="15623" max="15623" width="8.28515625" bestFit="1" customWidth="1"/>
    <col min="15624" max="15624" width="12.42578125" bestFit="1" customWidth="1"/>
    <col min="15625" max="15625" width="7.85546875" bestFit="1" customWidth="1"/>
    <col min="15626" max="15626" width="8.28515625" bestFit="1" customWidth="1"/>
    <col min="15627" max="15627" width="12.42578125" bestFit="1" customWidth="1"/>
    <col min="15628" max="15628" width="7.85546875" bestFit="1" customWidth="1"/>
    <col min="15629" max="15629" width="8.28515625" bestFit="1" customWidth="1"/>
    <col min="15630" max="15630" width="13.42578125" bestFit="1" customWidth="1"/>
    <col min="15631" max="15631" width="9" bestFit="1" customWidth="1"/>
    <col min="15632" max="15632" width="9.85546875" bestFit="1" customWidth="1"/>
    <col min="15633" max="15633" width="8.42578125" bestFit="1" customWidth="1"/>
    <col min="15634" max="15634" width="21.85546875" bestFit="1" customWidth="1"/>
    <col min="15635" max="15635" width="39.28515625" customWidth="1"/>
    <col min="15636" max="15636" width="53.85546875" customWidth="1"/>
    <col min="15637" max="15639" width="40" customWidth="1"/>
    <col min="15874" max="15874" width="47" customWidth="1"/>
    <col min="15875" max="15875" width="12.42578125" customWidth="1"/>
    <col min="15876" max="15876" width="10.5703125" customWidth="1"/>
    <col min="15877" max="15877" width="12.42578125" bestFit="1" customWidth="1"/>
    <col min="15878" max="15878" width="7.85546875" bestFit="1" customWidth="1"/>
    <col min="15879" max="15879" width="8.28515625" bestFit="1" customWidth="1"/>
    <col min="15880" max="15880" width="12.42578125" bestFit="1" customWidth="1"/>
    <col min="15881" max="15881" width="7.85546875" bestFit="1" customWidth="1"/>
    <col min="15882" max="15882" width="8.28515625" bestFit="1" customWidth="1"/>
    <col min="15883" max="15883" width="12.42578125" bestFit="1" customWidth="1"/>
    <col min="15884" max="15884" width="7.85546875" bestFit="1" customWidth="1"/>
    <col min="15885" max="15885" width="8.28515625" bestFit="1" customWidth="1"/>
    <col min="15886" max="15886" width="13.42578125" bestFit="1" customWidth="1"/>
    <col min="15887" max="15887" width="9" bestFit="1" customWidth="1"/>
    <col min="15888" max="15888" width="9.85546875" bestFit="1" customWidth="1"/>
    <col min="15889" max="15889" width="8.42578125" bestFit="1" customWidth="1"/>
    <col min="15890" max="15890" width="21.85546875" bestFit="1" customWidth="1"/>
    <col min="15891" max="15891" width="39.28515625" customWidth="1"/>
    <col min="15892" max="15892" width="53.85546875" customWidth="1"/>
    <col min="15893" max="15895" width="40" customWidth="1"/>
    <col min="16130" max="16130" width="47" customWidth="1"/>
    <col min="16131" max="16131" width="12.42578125" customWidth="1"/>
    <col min="16132" max="16132" width="10.5703125" customWidth="1"/>
    <col min="16133" max="16133" width="12.42578125" bestFit="1" customWidth="1"/>
    <col min="16134" max="16134" width="7.85546875" bestFit="1" customWidth="1"/>
    <col min="16135" max="16135" width="8.28515625" bestFit="1" customWidth="1"/>
    <col min="16136" max="16136" width="12.42578125" bestFit="1" customWidth="1"/>
    <col min="16137" max="16137" width="7.85546875" bestFit="1" customWidth="1"/>
    <col min="16138" max="16138" width="8.28515625" bestFit="1" customWidth="1"/>
    <col min="16139" max="16139" width="12.42578125" bestFit="1" customWidth="1"/>
    <col min="16140" max="16140" width="7.85546875" bestFit="1" customWidth="1"/>
    <col min="16141" max="16141" width="8.28515625" bestFit="1" customWidth="1"/>
    <col min="16142" max="16142" width="13.42578125" bestFit="1" customWidth="1"/>
    <col min="16143" max="16143" width="9" bestFit="1" customWidth="1"/>
    <col min="16144" max="16144" width="9.85546875" bestFit="1" customWidth="1"/>
    <col min="16145" max="16145" width="8.42578125" bestFit="1" customWidth="1"/>
    <col min="16146" max="16146" width="21.85546875" bestFit="1" customWidth="1"/>
    <col min="16147" max="16147" width="39.28515625" customWidth="1"/>
    <col min="16148" max="16148" width="53.85546875" customWidth="1"/>
    <col min="16149" max="16151" width="40" customWidth="1"/>
  </cols>
  <sheetData>
    <row r="1" spans="1:23" ht="15.75" thickBot="1" x14ac:dyDescent="0.3">
      <c r="B1" s="9" t="s">
        <v>127</v>
      </c>
    </row>
    <row r="2" spans="1:23" ht="15.75" thickBot="1" x14ac:dyDescent="0.3">
      <c r="E2" s="154"/>
      <c r="F2" s="154"/>
      <c r="G2" s="154"/>
      <c r="H2" s="154"/>
      <c r="I2" s="154"/>
      <c r="J2" s="154"/>
      <c r="K2" s="154"/>
      <c r="L2" s="154"/>
      <c r="M2" s="154"/>
      <c r="N2" s="154"/>
      <c r="O2" s="154"/>
      <c r="P2" s="154"/>
      <c r="Q2" s="154"/>
      <c r="R2" s="24"/>
      <c r="S2" s="78"/>
      <c r="T2" s="78"/>
      <c r="U2" s="78"/>
      <c r="V2" s="78"/>
      <c r="W2" s="78"/>
    </row>
    <row r="3" spans="1:23" ht="44.25" customHeight="1" x14ac:dyDescent="0.25">
      <c r="A3" s="24" t="s">
        <v>107</v>
      </c>
      <c r="B3" s="23" t="s">
        <v>106</v>
      </c>
      <c r="C3" s="77" t="s">
        <v>105</v>
      </c>
      <c r="D3" s="76" t="s">
        <v>104</v>
      </c>
      <c r="E3" s="155" t="s">
        <v>103</v>
      </c>
      <c r="F3" s="156"/>
      <c r="G3" s="157"/>
      <c r="H3" s="158" t="s">
        <v>102</v>
      </c>
      <c r="I3" s="159"/>
      <c r="J3" s="160"/>
      <c r="K3" s="161" t="s">
        <v>101</v>
      </c>
      <c r="L3" s="162"/>
      <c r="M3" s="162"/>
      <c r="N3" s="163" t="s">
        <v>100</v>
      </c>
      <c r="O3" s="159"/>
      <c r="P3" s="164"/>
      <c r="Q3" s="75" t="s">
        <v>29</v>
      </c>
      <c r="R3" s="90" t="s">
        <v>99</v>
      </c>
      <c r="S3" s="73" t="s">
        <v>98</v>
      </c>
      <c r="T3" s="73" t="s">
        <v>113</v>
      </c>
      <c r="U3" s="73" t="s">
        <v>112</v>
      </c>
      <c r="V3" s="73" t="s">
        <v>111</v>
      </c>
      <c r="W3" s="73" t="s">
        <v>110</v>
      </c>
    </row>
    <row r="4" spans="1:23" ht="15.75" thickBot="1" x14ac:dyDescent="0.3">
      <c r="A4" s="24"/>
      <c r="B4" s="23"/>
      <c r="C4" s="72" t="s">
        <v>96</v>
      </c>
      <c r="D4" s="72"/>
      <c r="E4" s="72" t="s">
        <v>95</v>
      </c>
      <c r="F4" s="24" t="s">
        <v>94</v>
      </c>
      <c r="G4" s="24" t="s">
        <v>93</v>
      </c>
      <c r="H4" s="72" t="s">
        <v>95</v>
      </c>
      <c r="I4" s="24" t="s">
        <v>94</v>
      </c>
      <c r="J4" s="24" t="s">
        <v>93</v>
      </c>
      <c r="K4" s="72" t="s">
        <v>95</v>
      </c>
      <c r="L4" s="24" t="s">
        <v>94</v>
      </c>
      <c r="M4" s="24" t="s">
        <v>93</v>
      </c>
      <c r="N4" s="72" t="s">
        <v>95</v>
      </c>
      <c r="O4" s="24" t="s">
        <v>94</v>
      </c>
      <c r="P4" s="24" t="s">
        <v>93</v>
      </c>
      <c r="Q4" s="71"/>
      <c r="R4" s="90" t="s">
        <v>92</v>
      </c>
      <c r="S4" s="69"/>
      <c r="T4" s="69"/>
      <c r="U4" s="69"/>
      <c r="V4" s="69"/>
      <c r="W4" s="69"/>
    </row>
    <row r="5" spans="1:23" ht="105" x14ac:dyDescent="0.25">
      <c r="A5" s="101">
        <v>1</v>
      </c>
      <c r="B5" s="100" t="s">
        <v>91</v>
      </c>
      <c r="C5" s="99"/>
      <c r="D5" s="99"/>
      <c r="E5" s="124">
        <f t="shared" ref="E5:P5" si="0">SUM(E6:E12)</f>
        <v>0.26589285714285715</v>
      </c>
      <c r="F5" s="124">
        <f t="shared" si="0"/>
        <v>0.26589285714285715</v>
      </c>
      <c r="G5" s="124">
        <f t="shared" si="0"/>
        <v>0.26589285714285715</v>
      </c>
      <c r="H5" s="124">
        <f t="shared" si="0"/>
        <v>0.17142857142857143</v>
      </c>
      <c r="I5" s="124">
        <f t="shared" si="0"/>
        <v>0.17142857142857143</v>
      </c>
      <c r="J5" s="124">
        <f t="shared" si="0"/>
        <v>0.17142857142857143</v>
      </c>
      <c r="K5" s="124">
        <f t="shared" si="0"/>
        <v>0.3973214285714286</v>
      </c>
      <c r="L5" s="124">
        <f t="shared" si="0"/>
        <v>0.3973214285714286</v>
      </c>
      <c r="M5" s="124">
        <f t="shared" si="0"/>
        <v>0.3973214285714286</v>
      </c>
      <c r="N5" s="124">
        <f t="shared" si="0"/>
        <v>0.4285714285714286</v>
      </c>
      <c r="O5" s="124">
        <f t="shared" si="0"/>
        <v>0.4285714285714286</v>
      </c>
      <c r="P5" s="124">
        <f t="shared" si="0"/>
        <v>0.4285714285714286</v>
      </c>
      <c r="Q5" s="95">
        <f>G5+J5+M5+P5</f>
        <v>1.2632142857142858</v>
      </c>
      <c r="R5" s="94">
        <f>Q5*55000</f>
        <v>69476.785714285725</v>
      </c>
      <c r="S5" s="123"/>
      <c r="T5" s="15" t="s">
        <v>109</v>
      </c>
      <c r="U5" s="65" t="s">
        <v>88</v>
      </c>
      <c r="V5" s="65" t="s">
        <v>88</v>
      </c>
      <c r="W5" s="67" t="s">
        <v>88</v>
      </c>
    </row>
    <row r="6" spans="1:23" ht="111" customHeight="1" x14ac:dyDescent="0.25">
      <c r="A6" s="101"/>
      <c r="B6" s="122" t="s">
        <v>87</v>
      </c>
      <c r="C6" s="144">
        <f>+[1]OI_2014!P16</f>
        <v>660</v>
      </c>
      <c r="D6" s="119"/>
      <c r="E6" s="116">
        <f>C6*10/420/220</f>
        <v>7.1428571428571425E-2</v>
      </c>
      <c r="F6" s="115">
        <f>C6*10/420/220</f>
        <v>7.1428571428571425E-2</v>
      </c>
      <c r="G6" s="96">
        <f>AVERAGE(E6:F6)</f>
        <v>7.1428571428571425E-2</v>
      </c>
      <c r="H6" s="116">
        <f>C6*30*0.8/420/220</f>
        <v>0.17142857142857143</v>
      </c>
      <c r="I6" s="115">
        <f>C6*30*0.8/420/220</f>
        <v>0.17142857142857143</v>
      </c>
      <c r="J6" s="115">
        <f>C6*30*0.8/420/220</f>
        <v>0.17142857142857143</v>
      </c>
      <c r="K6" s="116">
        <v>0.25</v>
      </c>
      <c r="L6" s="116">
        <v>0.25</v>
      </c>
      <c r="M6" s="96">
        <f>AVERAGE(K6:L6)</f>
        <v>0.25</v>
      </c>
      <c r="N6" s="116">
        <f>C6*2*30/420/220</f>
        <v>0.4285714285714286</v>
      </c>
      <c r="O6" s="116">
        <f>C6*2*30/420/220</f>
        <v>0.4285714285714286</v>
      </c>
      <c r="P6" s="96">
        <f>AVERAGE(N6:O6)</f>
        <v>0.4285714285714286</v>
      </c>
      <c r="Q6" s="95"/>
      <c r="R6" s="94"/>
      <c r="S6" s="51" t="s">
        <v>126</v>
      </c>
      <c r="T6" s="15" t="s">
        <v>125</v>
      </c>
      <c r="U6" s="14" t="s">
        <v>84</v>
      </c>
      <c r="V6" s="65" t="s">
        <v>83</v>
      </c>
      <c r="W6" s="67" t="s">
        <v>82</v>
      </c>
    </row>
    <row r="7" spans="1:23" ht="105" x14ac:dyDescent="0.25">
      <c r="A7" s="101"/>
      <c r="B7" s="122" t="s">
        <v>81</v>
      </c>
      <c r="C7" s="102">
        <v>3400</v>
      </c>
      <c r="D7" s="119"/>
      <c r="E7" s="118">
        <v>0</v>
      </c>
      <c r="F7" s="115">
        <v>0</v>
      </c>
      <c r="G7" s="96">
        <v>0</v>
      </c>
      <c r="H7" s="116">
        <v>0</v>
      </c>
      <c r="I7" s="115">
        <v>0</v>
      </c>
      <c r="J7" s="115">
        <v>0</v>
      </c>
      <c r="K7" s="116">
        <v>0</v>
      </c>
      <c r="L7" s="117">
        <v>0</v>
      </c>
      <c r="M7" s="117">
        <v>0</v>
      </c>
      <c r="N7" s="116">
        <v>0</v>
      </c>
      <c r="O7" s="115">
        <v>0</v>
      </c>
      <c r="P7" s="115">
        <v>0</v>
      </c>
      <c r="Q7" s="95"/>
      <c r="R7" s="94"/>
      <c r="S7" s="51" t="s">
        <v>124</v>
      </c>
      <c r="T7" s="15" t="s">
        <v>30</v>
      </c>
      <c r="U7" s="14" t="s">
        <v>30</v>
      </c>
      <c r="V7" s="14" t="s">
        <v>80</v>
      </c>
      <c r="W7" s="67" t="s">
        <v>79</v>
      </c>
    </row>
    <row r="8" spans="1:23" ht="30" x14ac:dyDescent="0.25">
      <c r="A8" s="101"/>
      <c r="B8" s="122" t="s">
        <v>78</v>
      </c>
      <c r="C8" s="102">
        <v>3400</v>
      </c>
      <c r="D8" s="119"/>
      <c r="E8" s="118">
        <v>0</v>
      </c>
      <c r="F8" s="115">
        <v>0</v>
      </c>
      <c r="G8" s="96">
        <v>0</v>
      </c>
      <c r="H8" s="116">
        <v>0</v>
      </c>
      <c r="I8" s="115">
        <v>0</v>
      </c>
      <c r="J8" s="115">
        <v>0</v>
      </c>
      <c r="K8" s="116">
        <v>0</v>
      </c>
      <c r="L8" s="117">
        <v>0</v>
      </c>
      <c r="M8" s="117">
        <v>0</v>
      </c>
      <c r="N8" s="116">
        <v>0</v>
      </c>
      <c r="O8" s="115">
        <v>0</v>
      </c>
      <c r="P8" s="115">
        <v>0</v>
      </c>
      <c r="Q8" s="95"/>
      <c r="R8" s="94"/>
      <c r="S8" s="51" t="s">
        <v>123</v>
      </c>
      <c r="T8" s="15" t="s">
        <v>30</v>
      </c>
      <c r="U8" s="14" t="s">
        <v>30</v>
      </c>
      <c r="V8" s="65" t="s">
        <v>30</v>
      </c>
      <c r="W8" s="13" t="s">
        <v>30</v>
      </c>
    </row>
    <row r="9" spans="1:23" ht="93.75" customHeight="1" x14ac:dyDescent="0.25">
      <c r="A9" s="101"/>
      <c r="B9" s="122" t="s">
        <v>76</v>
      </c>
      <c r="C9" s="102">
        <v>3400</v>
      </c>
      <c r="D9" s="119"/>
      <c r="E9" s="118">
        <v>0</v>
      </c>
      <c r="F9" s="115">
        <v>0</v>
      </c>
      <c r="G9" s="96">
        <v>0</v>
      </c>
      <c r="H9" s="116">
        <v>0</v>
      </c>
      <c r="I9" s="115">
        <v>0</v>
      </c>
      <c r="J9" s="115">
        <v>0</v>
      </c>
      <c r="K9" s="116">
        <v>0</v>
      </c>
      <c r="L9" s="117">
        <v>0</v>
      </c>
      <c r="M9" s="117">
        <v>0</v>
      </c>
      <c r="N9" s="116">
        <v>0</v>
      </c>
      <c r="O9" s="115">
        <v>0</v>
      </c>
      <c r="P9" s="115">
        <v>0</v>
      </c>
      <c r="Q9" s="95"/>
      <c r="R9" s="94"/>
      <c r="S9" s="51" t="s">
        <v>122</v>
      </c>
      <c r="T9" s="15" t="s">
        <v>75</v>
      </c>
      <c r="U9" s="66" t="s">
        <v>30</v>
      </c>
      <c r="V9" s="65" t="s">
        <v>30</v>
      </c>
      <c r="W9" s="13" t="s">
        <v>30</v>
      </c>
    </row>
    <row r="10" spans="1:23" x14ac:dyDescent="0.25">
      <c r="A10" s="101"/>
      <c r="B10" s="122" t="s">
        <v>74</v>
      </c>
      <c r="C10" s="144">
        <f>+C6</f>
        <v>660</v>
      </c>
      <c r="D10" s="119"/>
      <c r="E10" s="118">
        <v>0</v>
      </c>
      <c r="F10" s="115">
        <v>0</v>
      </c>
      <c r="G10" s="96">
        <v>0</v>
      </c>
      <c r="H10" s="116">
        <v>0</v>
      </c>
      <c r="I10" s="115">
        <v>0</v>
      </c>
      <c r="J10" s="115">
        <v>0</v>
      </c>
      <c r="K10" s="116">
        <v>0</v>
      </c>
      <c r="L10" s="117">
        <v>0</v>
      </c>
      <c r="M10" s="117">
        <v>0</v>
      </c>
      <c r="N10" s="116">
        <v>0</v>
      </c>
      <c r="O10" s="115">
        <v>0</v>
      </c>
      <c r="P10" s="115">
        <v>0</v>
      </c>
      <c r="Q10" s="95"/>
      <c r="R10" s="94"/>
      <c r="S10" s="51" t="s">
        <v>122</v>
      </c>
      <c r="T10" s="15" t="s">
        <v>30</v>
      </c>
      <c r="U10" s="14" t="s">
        <v>30</v>
      </c>
      <c r="V10" s="14" t="s">
        <v>30</v>
      </c>
      <c r="W10" s="13" t="s">
        <v>30</v>
      </c>
    </row>
    <row r="11" spans="1:23" ht="30" x14ac:dyDescent="0.25">
      <c r="A11" s="101"/>
      <c r="B11" s="121" t="s">
        <v>71</v>
      </c>
      <c r="C11" s="99">
        <v>21000</v>
      </c>
      <c r="D11" s="119"/>
      <c r="E11" s="118">
        <v>0</v>
      </c>
      <c r="F11" s="115">
        <v>0</v>
      </c>
      <c r="G11" s="96">
        <v>0</v>
      </c>
      <c r="H11" s="116">
        <v>0</v>
      </c>
      <c r="I11" s="116">
        <v>0</v>
      </c>
      <c r="J11" s="96">
        <f>AVERAGE(H11:I11)</f>
        <v>0</v>
      </c>
      <c r="K11" s="116">
        <v>0</v>
      </c>
      <c r="L11" s="117">
        <v>0</v>
      </c>
      <c r="M11" s="117">
        <v>0</v>
      </c>
      <c r="N11" s="116">
        <v>0</v>
      </c>
      <c r="O11" s="115">
        <v>0</v>
      </c>
      <c r="P11" s="115">
        <v>0</v>
      </c>
      <c r="Q11" s="95"/>
      <c r="R11" s="94"/>
      <c r="S11" s="51" t="s">
        <v>70</v>
      </c>
      <c r="T11" s="15" t="s">
        <v>69</v>
      </c>
      <c r="U11" s="14" t="s">
        <v>121</v>
      </c>
      <c r="V11" s="14" t="s">
        <v>69</v>
      </c>
      <c r="W11" s="13" t="s">
        <v>30</v>
      </c>
    </row>
    <row r="12" spans="1:23" ht="150" x14ac:dyDescent="0.25">
      <c r="A12" s="101"/>
      <c r="B12" s="121" t="s">
        <v>68</v>
      </c>
      <c r="C12" s="120">
        <f>+'[1]MS Reb tables'!E7</f>
        <v>3630</v>
      </c>
      <c r="D12" s="119"/>
      <c r="E12" s="118">
        <f>C12*0.33*15/420/220</f>
        <v>0.19446428571428573</v>
      </c>
      <c r="F12" s="118">
        <f>C12*0.33*15/420/220</f>
        <v>0.19446428571428573</v>
      </c>
      <c r="G12" s="96">
        <f>AVERAGE(E12:F12)</f>
        <v>0.19446428571428573</v>
      </c>
      <c r="H12" s="116">
        <v>0</v>
      </c>
      <c r="I12" s="117">
        <v>0</v>
      </c>
      <c r="J12" s="96">
        <v>0</v>
      </c>
      <c r="K12" s="117">
        <f>C12*15*0.25/420/220</f>
        <v>0.14732142857142858</v>
      </c>
      <c r="L12" s="117">
        <f>C12*15*0.25/420/220</f>
        <v>0.14732142857142858</v>
      </c>
      <c r="M12" s="96">
        <f>AVERAGE(K12:L12)</f>
        <v>0.14732142857142858</v>
      </c>
      <c r="N12" s="116">
        <v>0</v>
      </c>
      <c r="O12" s="115">
        <v>0</v>
      </c>
      <c r="P12" s="115">
        <v>0</v>
      </c>
      <c r="Q12" s="95"/>
      <c r="R12" s="94"/>
      <c r="S12" s="16"/>
      <c r="T12" s="15" t="s">
        <v>67</v>
      </c>
      <c r="U12" s="14" t="s">
        <v>30</v>
      </c>
      <c r="V12" s="14" t="s">
        <v>66</v>
      </c>
      <c r="W12" s="13" t="s">
        <v>30</v>
      </c>
    </row>
    <row r="13" spans="1:23" ht="75" x14ac:dyDescent="0.25">
      <c r="A13" s="104">
        <v>2</v>
      </c>
      <c r="B13" s="114" t="s">
        <v>65</v>
      </c>
      <c r="C13" s="144">
        <f>+[1]OI_2014!P8</f>
        <v>425</v>
      </c>
      <c r="D13" s="113"/>
      <c r="E13" s="112">
        <f t="shared" ref="E13:M13" si="1">SUM(E14:E16)</f>
        <v>0.20353084415584416</v>
      </c>
      <c r="F13" s="110">
        <f t="shared" si="1"/>
        <v>0.27482413419913421</v>
      </c>
      <c r="G13" s="110">
        <f t="shared" si="1"/>
        <v>0.23917748917748918</v>
      </c>
      <c r="H13" s="111">
        <f t="shared" si="1"/>
        <v>0.41784192370129869</v>
      </c>
      <c r="I13" s="110">
        <f t="shared" si="1"/>
        <v>0.41784192370129869</v>
      </c>
      <c r="J13" s="110">
        <f t="shared" si="1"/>
        <v>0.41784192370129869</v>
      </c>
      <c r="K13" s="110">
        <f t="shared" si="1"/>
        <v>0.62827211850649356</v>
      </c>
      <c r="L13" s="110">
        <f t="shared" si="1"/>
        <v>0.62827211850649356</v>
      </c>
      <c r="M13" s="110">
        <f t="shared" si="1"/>
        <v>0.62827211850649356</v>
      </c>
      <c r="N13" s="111">
        <v>0</v>
      </c>
      <c r="O13" s="110">
        <f>C13*2*15/420/220</f>
        <v>0.13798701298701299</v>
      </c>
      <c r="P13" s="110">
        <f>AVERAGE(N13:O13)</f>
        <v>6.8993506493506496E-2</v>
      </c>
      <c r="Q13" s="95">
        <f>G13+J13+M13+P13</f>
        <v>1.3542850378787881</v>
      </c>
      <c r="R13" s="94">
        <f>Q13*55000</f>
        <v>74485.677083333343</v>
      </c>
      <c r="S13" s="39" t="s">
        <v>120</v>
      </c>
      <c r="T13" s="15" t="s">
        <v>63</v>
      </c>
      <c r="U13" s="44"/>
      <c r="V13" s="44"/>
      <c r="W13" s="43"/>
    </row>
    <row r="14" spans="1:23" ht="105" x14ac:dyDescent="0.25">
      <c r="A14" s="104"/>
      <c r="B14" s="109" t="s">
        <v>62</v>
      </c>
      <c r="C14" s="102">
        <f>0.75*C13</f>
        <v>318.75</v>
      </c>
      <c r="D14" s="108">
        <f>[2]Volumes!F6</f>
        <v>6.8000000000000007</v>
      </c>
      <c r="E14" s="107">
        <f>C14*15/420/220</f>
        <v>5.1745129870129872E-2</v>
      </c>
      <c r="F14" s="96">
        <f>C14*30/420/220</f>
        <v>0.10349025974025974</v>
      </c>
      <c r="G14" s="96">
        <f t="shared" ref="G14:G20" si="2">AVERAGE(E14:F14)</f>
        <v>7.7617694805194815E-2</v>
      </c>
      <c r="H14" s="97">
        <v>0</v>
      </c>
      <c r="I14" s="96">
        <v>0</v>
      </c>
      <c r="J14" s="96">
        <v>0</v>
      </c>
      <c r="K14" s="97">
        <f>C14*(D14-1)*15/420/220</f>
        <v>0.30012175324675328</v>
      </c>
      <c r="L14" s="97">
        <f>C14*(D14-1)*15/420/220</f>
        <v>0.30012175324675328</v>
      </c>
      <c r="M14" s="96">
        <f>AVERAGE(K14:L14)</f>
        <v>0.30012175324675328</v>
      </c>
      <c r="N14" s="97"/>
      <c r="O14" s="96"/>
      <c r="P14" s="96"/>
      <c r="Q14" s="105"/>
      <c r="R14" s="94"/>
      <c r="S14" s="39"/>
      <c r="T14" s="15" t="s">
        <v>61</v>
      </c>
      <c r="U14" s="14" t="s">
        <v>30</v>
      </c>
      <c r="V14" s="38" t="s">
        <v>60</v>
      </c>
      <c r="W14" s="30" t="s">
        <v>30</v>
      </c>
    </row>
    <row r="15" spans="1:23" ht="150" x14ac:dyDescent="0.25">
      <c r="A15" s="104"/>
      <c r="B15" s="109" t="s">
        <v>59</v>
      </c>
      <c r="C15" s="102">
        <f>0.15*C13</f>
        <v>63.75</v>
      </c>
      <c r="D15" s="108">
        <f>[2]Volumes!F11</f>
        <v>7.125</v>
      </c>
      <c r="E15" s="107">
        <f>C15*120/420/220</f>
        <v>8.2792207792207792E-2</v>
      </c>
      <c r="F15" s="96">
        <f>C15*15/420/220+E15</f>
        <v>9.3141233766233761E-2</v>
      </c>
      <c r="G15" s="96">
        <f t="shared" si="2"/>
        <v>8.7966720779220769E-2</v>
      </c>
      <c r="H15" s="106">
        <f>$C$15*(D15*0.75)*60/420/220</f>
        <v>0.22121043019480521</v>
      </c>
      <c r="I15" s="96">
        <f>$C$15*(D15*0.75)*60/420/220</f>
        <v>0.22121043019480521</v>
      </c>
      <c r="J15" s="96">
        <f>AVERAGE(H15:I15)</f>
        <v>0.22121043019480521</v>
      </c>
      <c r="K15" s="97">
        <f>C15*(D15-1)*60*0.75/420/220</f>
        <v>0.19016335227272727</v>
      </c>
      <c r="L15" s="97">
        <f>C15*(D15-1)*60*0.75/420/220</f>
        <v>0.19016335227272727</v>
      </c>
      <c r="M15" s="96">
        <f>AVERAGE(K15:L15)</f>
        <v>0.19016335227272727</v>
      </c>
      <c r="N15" s="106"/>
      <c r="O15" s="96"/>
      <c r="P15" s="96"/>
      <c r="Q15" s="105"/>
      <c r="R15" s="94"/>
      <c r="S15" s="39" t="s">
        <v>119</v>
      </c>
      <c r="T15" s="15" t="s">
        <v>58</v>
      </c>
      <c r="U15" s="38" t="s">
        <v>57</v>
      </c>
      <c r="V15" s="38" t="s">
        <v>56</v>
      </c>
      <c r="W15" s="30" t="s">
        <v>30</v>
      </c>
    </row>
    <row r="16" spans="1:23" ht="135" x14ac:dyDescent="0.25">
      <c r="A16" s="104"/>
      <c r="B16" s="109" t="s">
        <v>55</v>
      </c>
      <c r="C16" s="144">
        <f>+C13-C14-C15</f>
        <v>42.5</v>
      </c>
      <c r="D16" s="108">
        <f>[2]Volumes!F16</f>
        <v>6.3333333333333339</v>
      </c>
      <c r="E16" s="107">
        <f>C16*(120+30)/420/220</f>
        <v>6.8993506493506496E-2</v>
      </c>
      <c r="F16" s="96">
        <f>(C16*20)/420/220+E16</f>
        <v>7.8192640692640689E-2</v>
      </c>
      <c r="G16" s="96">
        <f t="shared" si="2"/>
        <v>7.3593073593073599E-2</v>
      </c>
      <c r="H16" s="106">
        <f>$C$16*90*(D16*0.75)/420/220</f>
        <v>0.1966314935064935</v>
      </c>
      <c r="I16" s="106">
        <f>$C$16*90*(D16*0.75)/420/220</f>
        <v>0.1966314935064935</v>
      </c>
      <c r="J16" s="96">
        <f>AVERAGE(H16:I16)</f>
        <v>0.1966314935064935</v>
      </c>
      <c r="K16" s="97">
        <f>C16*(D16-1)*75*0.75/420/220</f>
        <v>0.13798701298701299</v>
      </c>
      <c r="L16" s="97">
        <f>C16*(D16-1)*75*0.75/420/220</f>
        <v>0.13798701298701299</v>
      </c>
      <c r="M16" s="96">
        <f>AVERAGE(K16:L16)</f>
        <v>0.13798701298701299</v>
      </c>
      <c r="N16" s="106"/>
      <c r="O16" s="106"/>
      <c r="P16" s="96"/>
      <c r="Q16" s="105"/>
      <c r="R16" s="94"/>
      <c r="S16" s="39" t="s">
        <v>118</v>
      </c>
      <c r="T16" s="15" t="s">
        <v>53</v>
      </c>
      <c r="U16" s="38" t="s">
        <v>52</v>
      </c>
      <c r="V16" s="38" t="s">
        <v>51</v>
      </c>
      <c r="W16" s="30" t="s">
        <v>30</v>
      </c>
    </row>
    <row r="17" spans="1:23" ht="166.5" customHeight="1" x14ac:dyDescent="0.25">
      <c r="A17" s="104">
        <v>3</v>
      </c>
      <c r="B17" s="103" t="s">
        <v>50</v>
      </c>
      <c r="C17" s="144">
        <f>+[1]OI_2014!P4</f>
        <v>814.32</v>
      </c>
      <c r="D17" s="102"/>
      <c r="E17" s="97">
        <f>$C$17*10/420/220</f>
        <v>8.8129870129870141E-2</v>
      </c>
      <c r="F17" s="96">
        <f>$C$17*45/420/220</f>
        <v>0.39658441558441565</v>
      </c>
      <c r="G17" s="96">
        <f t="shared" si="2"/>
        <v>0.24235714285714288</v>
      </c>
      <c r="H17" s="97">
        <f>$C$17*60/420/220</f>
        <v>0.5287792207792209</v>
      </c>
      <c r="I17" s="96">
        <f>$C$17*90/420/220</f>
        <v>0.7931688311688313</v>
      </c>
      <c r="J17" s="96">
        <f>$C$17*60/420/220</f>
        <v>0.5287792207792209</v>
      </c>
      <c r="K17" s="97">
        <v>0</v>
      </c>
      <c r="L17" s="97">
        <v>0</v>
      </c>
      <c r="M17" s="96">
        <f>AVERAGE(K17:L17)</f>
        <v>0</v>
      </c>
      <c r="N17" s="97"/>
      <c r="O17" s="96"/>
      <c r="P17" s="96"/>
      <c r="Q17" s="95">
        <f t="shared" ref="Q17:Q22" si="3">G17+J17+M17</f>
        <v>0.77113636363636373</v>
      </c>
      <c r="R17" s="94">
        <f t="shared" ref="R17:R23" si="4">Q17*55000</f>
        <v>42412.500000000007</v>
      </c>
      <c r="S17" s="39" t="s">
        <v>117</v>
      </c>
      <c r="T17" s="15" t="s">
        <v>48</v>
      </c>
      <c r="U17" s="14" t="s">
        <v>47</v>
      </c>
      <c r="V17" s="31" t="s">
        <v>42</v>
      </c>
      <c r="W17" s="30" t="s">
        <v>30</v>
      </c>
    </row>
    <row r="18" spans="1:23" ht="159" customHeight="1" x14ac:dyDescent="0.25">
      <c r="A18" s="101">
        <v>4</v>
      </c>
      <c r="B18" s="100" t="s">
        <v>46</v>
      </c>
      <c r="C18" s="120">
        <f>+[1]OI_2014!P12</f>
        <v>842.84800000000007</v>
      </c>
      <c r="D18" s="98"/>
      <c r="E18" s="97">
        <f>C18*10/420/220</f>
        <v>9.121731601731603E-2</v>
      </c>
      <c r="F18" s="96">
        <f>C18*30/420/220</f>
        <v>0.27365194805194809</v>
      </c>
      <c r="G18" s="96">
        <f t="shared" si="2"/>
        <v>0.18243463203463206</v>
      </c>
      <c r="H18" s="97">
        <f>C18*60/420/220</f>
        <v>0.54730389610389618</v>
      </c>
      <c r="I18" s="96">
        <f>C18*90/420/220</f>
        <v>0.82095584415584422</v>
      </c>
      <c r="J18" s="96">
        <f>$C$17*60/420/220</f>
        <v>0.5287792207792209</v>
      </c>
      <c r="K18" s="97">
        <v>0</v>
      </c>
      <c r="L18" s="97">
        <v>0</v>
      </c>
      <c r="M18" s="96">
        <f>AVERAGE(K18:L18)</f>
        <v>0</v>
      </c>
      <c r="N18" s="97"/>
      <c r="O18" s="96"/>
      <c r="P18" s="96"/>
      <c r="Q18" s="95">
        <f t="shared" si="3"/>
        <v>0.71121385281385296</v>
      </c>
      <c r="R18" s="94">
        <f t="shared" si="4"/>
        <v>39116.761904761916</v>
      </c>
      <c r="S18" s="16" t="s">
        <v>45</v>
      </c>
      <c r="T18" s="15" t="s">
        <v>44</v>
      </c>
      <c r="U18" s="14" t="s">
        <v>43</v>
      </c>
      <c r="V18" s="31" t="s">
        <v>42</v>
      </c>
      <c r="W18" s="30" t="s">
        <v>30</v>
      </c>
    </row>
    <row r="19" spans="1:23" s="125" customFormat="1" ht="45" x14ac:dyDescent="0.25">
      <c r="A19" s="153">
        <v>5</v>
      </c>
      <c r="B19" s="152" t="s">
        <v>41</v>
      </c>
      <c r="C19" s="151">
        <v>1080</v>
      </c>
      <c r="D19" s="150"/>
      <c r="E19" s="149">
        <v>0</v>
      </c>
      <c r="F19" s="148">
        <f>C19*10/420/220</f>
        <v>0.11688311688311689</v>
      </c>
      <c r="G19" s="148">
        <f t="shared" si="2"/>
        <v>5.8441558441558447E-2</v>
      </c>
      <c r="H19" s="149">
        <v>0</v>
      </c>
      <c r="I19" s="148">
        <v>0</v>
      </c>
      <c r="J19" s="148">
        <v>0</v>
      </c>
      <c r="K19" s="149">
        <v>0</v>
      </c>
      <c r="L19" s="149">
        <v>0</v>
      </c>
      <c r="M19" s="148">
        <v>0</v>
      </c>
      <c r="N19" s="149"/>
      <c r="O19" s="148"/>
      <c r="P19" s="148"/>
      <c r="Q19" s="147">
        <f t="shared" si="3"/>
        <v>5.8441558441558447E-2</v>
      </c>
      <c r="R19" s="146">
        <f t="shared" si="4"/>
        <v>3214.2857142857147</v>
      </c>
      <c r="S19" s="129" t="s">
        <v>40</v>
      </c>
      <c r="T19" s="128" t="s">
        <v>36</v>
      </c>
      <c r="U19" s="127" t="s">
        <v>30</v>
      </c>
      <c r="V19" s="127" t="s">
        <v>39</v>
      </c>
      <c r="W19" s="126" t="s">
        <v>30</v>
      </c>
    </row>
    <row r="20" spans="1:23" s="125" customFormat="1" ht="105" x14ac:dyDescent="0.25">
      <c r="A20" s="153"/>
      <c r="B20" s="152" t="s">
        <v>38</v>
      </c>
      <c r="C20" s="151">
        <v>180</v>
      </c>
      <c r="D20" s="150"/>
      <c r="E20" s="149">
        <v>0</v>
      </c>
      <c r="F20" s="148">
        <f>C20*10/420/220</f>
        <v>1.948051948051948E-2</v>
      </c>
      <c r="G20" s="148">
        <f t="shared" si="2"/>
        <v>9.74025974025974E-3</v>
      </c>
      <c r="H20" s="149">
        <v>0</v>
      </c>
      <c r="I20" s="148">
        <v>0</v>
      </c>
      <c r="J20" s="148">
        <v>0</v>
      </c>
      <c r="K20" s="149">
        <f>C20*50/420/220</f>
        <v>9.7402597402597393E-2</v>
      </c>
      <c r="L20" s="149">
        <f>C20*70/420/220</f>
        <v>0.13636363636363635</v>
      </c>
      <c r="M20" s="148">
        <f>AVERAGE(K20:L20)</f>
        <v>0.11688311688311687</v>
      </c>
      <c r="N20" s="149"/>
      <c r="O20" s="148"/>
      <c r="P20" s="148"/>
      <c r="Q20" s="147">
        <f t="shared" si="3"/>
        <v>0.12662337662337661</v>
      </c>
      <c r="R20" s="146">
        <f t="shared" si="4"/>
        <v>6964.2857142857138</v>
      </c>
      <c r="S20" s="129" t="s">
        <v>37</v>
      </c>
      <c r="T20" s="128" t="s">
        <v>36</v>
      </c>
      <c r="U20" s="127" t="s">
        <v>30</v>
      </c>
      <c r="V20" s="127" t="s">
        <v>35</v>
      </c>
      <c r="W20" s="126" t="s">
        <v>30</v>
      </c>
    </row>
    <row r="21" spans="1:23" s="125" customFormat="1" ht="112.5" customHeight="1" x14ac:dyDescent="0.25">
      <c r="A21" s="153">
        <v>6</v>
      </c>
      <c r="B21" s="152" t="s">
        <v>34</v>
      </c>
      <c r="C21" s="151">
        <f>+[1]MS_Support_tables!H21</f>
        <v>4564.7700000000004</v>
      </c>
      <c r="D21" s="150"/>
      <c r="E21" s="149"/>
      <c r="F21" s="148"/>
      <c r="G21" s="148"/>
      <c r="H21" s="149"/>
      <c r="I21" s="148"/>
      <c r="J21" s="148"/>
      <c r="K21" s="149">
        <f>C21*30*2*0.8/420/220</f>
        <v>2.3713090909090915</v>
      </c>
      <c r="L21" s="149">
        <f>C21*30*2*0.8/420/220</f>
        <v>2.3713090909090915</v>
      </c>
      <c r="M21" s="148">
        <f>AVERAGE(K21:L21)</f>
        <v>2.3713090909090915</v>
      </c>
      <c r="N21" s="149"/>
      <c r="O21" s="148"/>
      <c r="P21" s="148"/>
      <c r="Q21" s="147">
        <f t="shared" si="3"/>
        <v>2.3713090909090915</v>
      </c>
      <c r="R21" s="146">
        <f t="shared" si="4"/>
        <v>130422.00000000003</v>
      </c>
      <c r="S21" s="129" t="s">
        <v>116</v>
      </c>
      <c r="T21" s="128" t="s">
        <v>30</v>
      </c>
      <c r="U21" s="127" t="s">
        <v>30</v>
      </c>
      <c r="V21" s="127" t="s">
        <v>115</v>
      </c>
      <c r="W21" s="126" t="s">
        <v>30</v>
      </c>
    </row>
    <row r="22" spans="1:23" s="125" customFormat="1" ht="195" x14ac:dyDescent="0.25">
      <c r="A22" s="153">
        <v>7</v>
      </c>
      <c r="B22" s="152" t="s">
        <v>33</v>
      </c>
      <c r="C22" s="151"/>
      <c r="D22" s="150"/>
      <c r="E22" s="149"/>
      <c r="F22" s="148"/>
      <c r="G22" s="148"/>
      <c r="H22" s="149"/>
      <c r="I22" s="148"/>
      <c r="J22" s="148"/>
      <c r="K22" s="149">
        <f>C22*15/420/220</f>
        <v>0</v>
      </c>
      <c r="L22" s="149">
        <f>C22*25/420/220</f>
        <v>0</v>
      </c>
      <c r="M22" s="148">
        <f>AVERAGE(K22:L22)</f>
        <v>0</v>
      </c>
      <c r="N22" s="149"/>
      <c r="O22" s="148"/>
      <c r="P22" s="148"/>
      <c r="Q22" s="147">
        <f t="shared" si="3"/>
        <v>0</v>
      </c>
      <c r="R22" s="146">
        <f t="shared" si="4"/>
        <v>0</v>
      </c>
      <c r="S22" s="129" t="s">
        <v>32</v>
      </c>
      <c r="T22" s="128" t="s">
        <v>30</v>
      </c>
      <c r="U22" s="127" t="s">
        <v>30</v>
      </c>
      <c r="V22" s="127" t="s">
        <v>31</v>
      </c>
      <c r="W22" s="126" t="s">
        <v>30</v>
      </c>
    </row>
    <row r="23" spans="1:23" x14ac:dyDescent="0.25">
      <c r="A23" t="s">
        <v>21</v>
      </c>
      <c r="C23" s="12"/>
      <c r="D23" s="12"/>
      <c r="E23" s="12"/>
      <c r="F23" s="12"/>
      <c r="G23" s="12"/>
      <c r="H23" s="12"/>
      <c r="I23" s="12"/>
      <c r="J23" s="12"/>
      <c r="K23" s="12"/>
      <c r="L23" s="12"/>
      <c r="M23" s="12"/>
      <c r="N23" s="12"/>
      <c r="O23" s="12"/>
      <c r="P23" s="12"/>
      <c r="Q23" s="18">
        <f>Q5+Q13+Q17+Q18+Q19+Q20+Q21+Q22</f>
        <v>6.6562235660173172</v>
      </c>
      <c r="R23" s="26">
        <f t="shared" si="4"/>
        <v>366092.29613095243</v>
      </c>
    </row>
    <row r="24" spans="1:23" x14ac:dyDescent="0.25">
      <c r="C24" s="12"/>
      <c r="D24" s="12"/>
      <c r="E24" s="12"/>
      <c r="F24" s="12"/>
      <c r="G24" s="12"/>
      <c r="H24" s="12"/>
      <c r="I24" s="12"/>
      <c r="J24" s="12"/>
      <c r="K24" s="12"/>
      <c r="L24" s="12"/>
      <c r="M24" s="12"/>
      <c r="N24" s="12"/>
      <c r="O24" s="12"/>
      <c r="P24" s="12"/>
      <c r="Q24" s="81"/>
      <c r="R24" s="80"/>
    </row>
    <row r="25" spans="1:23" x14ac:dyDescent="0.25">
      <c r="C25" s="12"/>
      <c r="D25" s="12"/>
      <c r="E25" s="12"/>
      <c r="F25" s="12"/>
      <c r="G25" s="12"/>
      <c r="H25" s="12"/>
      <c r="I25" s="12"/>
      <c r="J25" s="12"/>
      <c r="K25" s="12"/>
      <c r="L25" s="12"/>
      <c r="M25" s="12"/>
      <c r="N25" s="12"/>
      <c r="O25" s="12"/>
      <c r="P25" s="12"/>
      <c r="Q25" s="81"/>
      <c r="R25" s="80"/>
    </row>
    <row r="26" spans="1:23" x14ac:dyDescent="0.25">
      <c r="C26" s="12"/>
      <c r="D26" s="12"/>
      <c r="E26" s="12"/>
      <c r="F26" s="12"/>
      <c r="G26" s="12"/>
      <c r="H26" s="12"/>
      <c r="I26" s="12"/>
      <c r="J26" s="12"/>
      <c r="K26" s="12"/>
      <c r="L26" s="12"/>
      <c r="M26" s="12"/>
      <c r="N26" s="12"/>
      <c r="O26" s="12"/>
      <c r="P26" s="12"/>
      <c r="Q26" s="81"/>
      <c r="R26" s="80"/>
    </row>
    <row r="27" spans="1:23" x14ac:dyDescent="0.25">
      <c r="C27" s="12"/>
      <c r="D27" s="12"/>
      <c r="E27" s="12"/>
      <c r="F27" s="12"/>
      <c r="G27" s="12"/>
      <c r="H27" s="12"/>
      <c r="I27" s="12"/>
      <c r="J27" s="12"/>
      <c r="K27" s="12"/>
      <c r="L27" s="12"/>
      <c r="M27" s="12"/>
      <c r="N27" s="12"/>
      <c r="O27" s="12"/>
      <c r="P27" s="12"/>
      <c r="Q27" s="81"/>
      <c r="R27" s="80"/>
    </row>
    <row r="28" spans="1:23" ht="15.75" thickBot="1" x14ac:dyDescent="0.3">
      <c r="B28" s="9" t="s">
        <v>114</v>
      </c>
    </row>
    <row r="29" spans="1:23" ht="15.75" thickBot="1" x14ac:dyDescent="0.3">
      <c r="E29" s="154"/>
      <c r="F29" s="154"/>
      <c r="G29" s="154"/>
      <c r="H29" s="154"/>
      <c r="I29" s="154"/>
      <c r="J29" s="154"/>
      <c r="K29" s="154"/>
      <c r="L29" s="154"/>
      <c r="M29" s="154"/>
      <c r="N29" s="154"/>
      <c r="O29" s="154"/>
      <c r="P29" s="154"/>
      <c r="Q29" s="154"/>
      <c r="R29" s="24"/>
      <c r="S29" s="93"/>
      <c r="T29" s="92"/>
      <c r="U29" s="78"/>
      <c r="V29" s="78"/>
      <c r="W29" s="78"/>
    </row>
    <row r="30" spans="1:23" ht="45" x14ac:dyDescent="0.25">
      <c r="A30" s="24" t="s">
        <v>107</v>
      </c>
      <c r="B30" s="23" t="s">
        <v>106</v>
      </c>
      <c r="C30" s="77" t="s">
        <v>105</v>
      </c>
      <c r="D30" s="76" t="s">
        <v>104</v>
      </c>
      <c r="E30" s="155" t="s">
        <v>103</v>
      </c>
      <c r="F30" s="156"/>
      <c r="G30" s="157"/>
      <c r="H30" s="158" t="s">
        <v>102</v>
      </c>
      <c r="I30" s="159"/>
      <c r="J30" s="160"/>
      <c r="K30" s="161" t="s">
        <v>101</v>
      </c>
      <c r="L30" s="162"/>
      <c r="M30" s="162"/>
      <c r="N30" s="163" t="s">
        <v>100</v>
      </c>
      <c r="O30" s="159"/>
      <c r="P30" s="164"/>
      <c r="Q30" s="75" t="s">
        <v>29</v>
      </c>
      <c r="R30" s="90" t="s">
        <v>99</v>
      </c>
      <c r="S30" s="73" t="s">
        <v>98</v>
      </c>
      <c r="T30" s="91" t="s">
        <v>113</v>
      </c>
      <c r="U30" s="73" t="s">
        <v>112</v>
      </c>
      <c r="V30" s="73" t="s">
        <v>111</v>
      </c>
      <c r="W30" s="73" t="s">
        <v>110</v>
      </c>
    </row>
    <row r="31" spans="1:23" x14ac:dyDescent="0.25">
      <c r="A31" s="24"/>
      <c r="B31" s="23"/>
      <c r="C31" s="72" t="s">
        <v>96</v>
      </c>
      <c r="D31" s="72"/>
      <c r="E31" s="72" t="s">
        <v>95</v>
      </c>
      <c r="F31" s="24" t="s">
        <v>94</v>
      </c>
      <c r="G31" s="24" t="s">
        <v>93</v>
      </c>
      <c r="H31" s="72" t="s">
        <v>95</v>
      </c>
      <c r="I31" s="24" t="s">
        <v>94</v>
      </c>
      <c r="J31" s="24" t="s">
        <v>93</v>
      </c>
      <c r="K31" s="72" t="s">
        <v>95</v>
      </c>
      <c r="L31" s="24" t="s">
        <v>94</v>
      </c>
      <c r="M31" s="24" t="s">
        <v>93</v>
      </c>
      <c r="N31" s="72" t="s">
        <v>95</v>
      </c>
      <c r="O31" s="24" t="s">
        <v>94</v>
      </c>
      <c r="P31" s="24" t="s">
        <v>93</v>
      </c>
      <c r="Q31" s="71"/>
      <c r="R31" s="90" t="s">
        <v>92</v>
      </c>
      <c r="S31" s="89"/>
      <c r="T31" s="88"/>
      <c r="U31" s="87"/>
      <c r="V31" s="87"/>
      <c r="W31" s="87"/>
    </row>
    <row r="32" spans="1:23" ht="105" x14ac:dyDescent="0.25">
      <c r="A32" s="24">
        <v>1</v>
      </c>
      <c r="B32" s="23" t="s">
        <v>91</v>
      </c>
      <c r="C32" s="22"/>
      <c r="D32" s="22"/>
      <c r="E32" s="68">
        <f t="shared" ref="E32:P32" si="5">SUM(E33:E39)</f>
        <v>0.23360632034632034</v>
      </c>
      <c r="F32" s="68">
        <f t="shared" si="5"/>
        <v>0.2403617748917749</v>
      </c>
      <c r="G32" s="68">
        <f t="shared" si="5"/>
        <v>0.23698404761904762</v>
      </c>
      <c r="H32" s="68">
        <f t="shared" si="5"/>
        <v>0.50392316017316019</v>
      </c>
      <c r="I32" s="68">
        <f t="shared" si="5"/>
        <v>0.50392316017316019</v>
      </c>
      <c r="J32" s="68">
        <f t="shared" si="5"/>
        <v>0.50392316017316019</v>
      </c>
      <c r="K32" s="68">
        <f t="shared" si="5"/>
        <v>3.8251519480519476</v>
      </c>
      <c r="L32" s="68">
        <f t="shared" si="5"/>
        <v>3.8251519480519476</v>
      </c>
      <c r="M32" s="68">
        <f t="shared" si="5"/>
        <v>3.8251519480519476</v>
      </c>
      <c r="N32" s="68">
        <f t="shared" si="5"/>
        <v>0.12987012987012989</v>
      </c>
      <c r="O32" s="68">
        <f t="shared" si="5"/>
        <v>0.16364740259740262</v>
      </c>
      <c r="P32" s="68">
        <f t="shared" si="5"/>
        <v>0.14675876623376624</v>
      </c>
      <c r="Q32" s="18">
        <f>G32+J32+M32+P32</f>
        <v>4.7128179220779218</v>
      </c>
      <c r="R32" s="26">
        <f>Q32*30000</f>
        <v>141384.53766233765</v>
      </c>
      <c r="S32" s="51" t="s">
        <v>90</v>
      </c>
      <c r="T32" s="15" t="s">
        <v>109</v>
      </c>
      <c r="U32" s="65" t="s">
        <v>88</v>
      </c>
      <c r="V32" s="65" t="s">
        <v>88</v>
      </c>
      <c r="W32" s="67" t="s">
        <v>88</v>
      </c>
    </row>
    <row r="33" spans="1:23" ht="114" customHeight="1" x14ac:dyDescent="0.25">
      <c r="A33" s="24"/>
      <c r="B33" s="64" t="s">
        <v>87</v>
      </c>
      <c r="C33" s="35">
        <f>+[1]IE_MY_SITE!H11</f>
        <v>200</v>
      </c>
      <c r="D33" s="56"/>
      <c r="E33" s="53">
        <f>C33*10/420/220</f>
        <v>2.1645021645021644E-2</v>
      </c>
      <c r="F33" s="52">
        <f>C33*10/420/220</f>
        <v>2.1645021645021644E-2</v>
      </c>
      <c r="G33" s="19">
        <f>AVERAGE(E33:F33)</f>
        <v>2.1645021645021644E-2</v>
      </c>
      <c r="H33" s="53">
        <f>C33*30*0.8/420/220</f>
        <v>5.1948051948051951E-2</v>
      </c>
      <c r="I33" s="52">
        <f>C33*30*0.8/420/220</f>
        <v>5.1948051948051951E-2</v>
      </c>
      <c r="J33" s="52">
        <f>C33*30*0.8/420/220</f>
        <v>5.1948051948051951E-2</v>
      </c>
      <c r="K33" s="53">
        <v>0.25</v>
      </c>
      <c r="L33" s="54">
        <v>0.25</v>
      </c>
      <c r="M33" s="54">
        <v>0.25</v>
      </c>
      <c r="N33" s="53">
        <f>C33*2*30/420/220</f>
        <v>0.12987012987012989</v>
      </c>
      <c r="O33" s="53">
        <f>C33*2*30/420/220</f>
        <v>0.12987012987012989</v>
      </c>
      <c r="P33" s="19">
        <f>AVERAGE(N33:O33)</f>
        <v>0.12987012987012989</v>
      </c>
      <c r="Q33" s="18"/>
      <c r="R33" s="26"/>
      <c r="S33" s="51" t="s">
        <v>86</v>
      </c>
      <c r="T33" s="15" t="s">
        <v>85</v>
      </c>
      <c r="U33" s="14" t="s">
        <v>84</v>
      </c>
      <c r="V33" s="65" t="s">
        <v>83</v>
      </c>
      <c r="W33" s="67" t="s">
        <v>82</v>
      </c>
    </row>
    <row r="34" spans="1:23" ht="105" x14ac:dyDescent="0.25">
      <c r="A34" s="24"/>
      <c r="B34" s="64" t="s">
        <v>81</v>
      </c>
      <c r="C34" s="145">
        <f>+[1]IE_MY_SITE!H23</f>
        <v>1248.4079999999999</v>
      </c>
      <c r="D34" s="56"/>
      <c r="E34" s="55">
        <v>0</v>
      </c>
      <c r="F34" s="52">
        <v>0</v>
      </c>
      <c r="G34" s="19">
        <v>0</v>
      </c>
      <c r="H34" s="53">
        <v>0</v>
      </c>
      <c r="I34" s="52">
        <v>0</v>
      </c>
      <c r="J34" s="52">
        <v>0</v>
      </c>
      <c r="K34" s="53">
        <f>C34*5*60*0.75/420/220</f>
        <v>3.0399545454545454</v>
      </c>
      <c r="L34" s="53">
        <f>C34*5*60*0.75/420/220</f>
        <v>3.0399545454545454</v>
      </c>
      <c r="M34" s="19">
        <f>AVERAGE(K34:L34)</f>
        <v>3.0399545454545454</v>
      </c>
      <c r="N34" s="53">
        <v>0</v>
      </c>
      <c r="O34" s="52">
        <f>C34*10*0.25/420/220</f>
        <v>3.3777272727272725E-2</v>
      </c>
      <c r="P34" s="19">
        <f>AVERAGE(N34:O34)</f>
        <v>1.6888636363636363E-2</v>
      </c>
      <c r="Q34" s="18"/>
      <c r="R34" s="26"/>
      <c r="S34" s="51" t="s">
        <v>73</v>
      </c>
      <c r="T34" s="15" t="s">
        <v>30</v>
      </c>
      <c r="U34" s="14" t="s">
        <v>30</v>
      </c>
      <c r="V34" s="14" t="s">
        <v>80</v>
      </c>
      <c r="W34" s="67" t="s">
        <v>79</v>
      </c>
    </row>
    <row r="35" spans="1:23" ht="45" x14ac:dyDescent="0.25">
      <c r="A35" s="24"/>
      <c r="B35" s="64" t="s">
        <v>78</v>
      </c>
      <c r="C35" s="145">
        <f>+C34</f>
        <v>1248.4079999999999</v>
      </c>
      <c r="D35" s="56"/>
      <c r="E35" s="55">
        <v>0</v>
      </c>
      <c r="F35" s="52">
        <v>0</v>
      </c>
      <c r="G35" s="19">
        <v>0</v>
      </c>
      <c r="H35" s="53">
        <v>0</v>
      </c>
      <c r="I35" s="52">
        <v>0</v>
      </c>
      <c r="J35" s="52">
        <v>0</v>
      </c>
      <c r="K35" s="53">
        <f>C35*30/420/220</f>
        <v>0.4053272727272727</v>
      </c>
      <c r="L35" s="53">
        <f>C35*30/420/220</f>
        <v>0.4053272727272727</v>
      </c>
      <c r="M35" s="19">
        <f>AVERAGE(K35:L35)</f>
        <v>0.4053272727272727</v>
      </c>
      <c r="N35" s="53">
        <v>0</v>
      </c>
      <c r="O35" s="52">
        <v>0</v>
      </c>
      <c r="P35" s="52">
        <v>0</v>
      </c>
      <c r="Q35" s="18"/>
      <c r="R35" s="26"/>
      <c r="S35" s="51" t="s">
        <v>73</v>
      </c>
      <c r="T35" s="15" t="s">
        <v>30</v>
      </c>
      <c r="U35" s="14" t="s">
        <v>30</v>
      </c>
      <c r="V35" s="65" t="s">
        <v>77</v>
      </c>
      <c r="W35" s="13" t="s">
        <v>30</v>
      </c>
    </row>
    <row r="36" spans="1:23" ht="90" x14ac:dyDescent="0.25">
      <c r="A36" s="24"/>
      <c r="B36" s="64" t="s">
        <v>76</v>
      </c>
      <c r="C36" s="145">
        <f>+C35</f>
        <v>1248.4079999999999</v>
      </c>
      <c r="D36" s="56"/>
      <c r="E36" s="55">
        <f>C36*0.05*60/420/220</f>
        <v>4.0532727272727276E-2</v>
      </c>
      <c r="F36" s="55">
        <f>C36*0.05*70/420/220</f>
        <v>4.7288181818181819E-2</v>
      </c>
      <c r="G36" s="19">
        <f>AVERAGE(E36:F36)</f>
        <v>4.3910454545454544E-2</v>
      </c>
      <c r="H36" s="53">
        <v>0</v>
      </c>
      <c r="I36" s="52">
        <v>0</v>
      </c>
      <c r="J36" s="52">
        <v>0</v>
      </c>
      <c r="K36" s="53">
        <v>0</v>
      </c>
      <c r="L36" s="54">
        <v>0</v>
      </c>
      <c r="M36" s="54">
        <v>0</v>
      </c>
      <c r="N36" s="53">
        <v>0</v>
      </c>
      <c r="O36" s="52">
        <v>0</v>
      </c>
      <c r="P36" s="52">
        <v>0</v>
      </c>
      <c r="Q36" s="18"/>
      <c r="R36" s="26"/>
      <c r="S36" s="51" t="s">
        <v>73</v>
      </c>
      <c r="T36" s="15" t="s">
        <v>75</v>
      </c>
      <c r="U36" s="66" t="s">
        <v>30</v>
      </c>
      <c r="V36" s="65" t="s">
        <v>30</v>
      </c>
      <c r="W36" s="13" t="s">
        <v>30</v>
      </c>
    </row>
    <row r="37" spans="1:23" ht="105" customHeight="1" x14ac:dyDescent="0.25">
      <c r="A37" s="24"/>
      <c r="B37" s="64" t="s">
        <v>74</v>
      </c>
      <c r="C37" s="35">
        <v>1245</v>
      </c>
      <c r="D37" s="56"/>
      <c r="E37" s="55">
        <v>0</v>
      </c>
      <c r="F37" s="52">
        <v>0</v>
      </c>
      <c r="G37" s="19">
        <v>0</v>
      </c>
      <c r="H37" s="53">
        <f>C37*30*0.75/420/220</f>
        <v>0.30316558441558439</v>
      </c>
      <c r="I37" s="53">
        <f>C37*30*0.75/420/220</f>
        <v>0.30316558441558439</v>
      </c>
      <c r="J37" s="19">
        <f>AVERAGE(H37:I37)</f>
        <v>0.30316558441558439</v>
      </c>
      <c r="K37" s="53">
        <v>0</v>
      </c>
      <c r="L37" s="54">
        <v>0</v>
      </c>
      <c r="M37" s="54">
        <v>0</v>
      </c>
      <c r="N37" s="53">
        <v>0</v>
      </c>
      <c r="O37" s="52">
        <v>0</v>
      </c>
      <c r="P37" s="52">
        <v>0</v>
      </c>
      <c r="Q37" s="18"/>
      <c r="R37" s="26"/>
      <c r="S37" s="51" t="s">
        <v>73</v>
      </c>
      <c r="T37" s="15" t="s">
        <v>30</v>
      </c>
      <c r="U37" s="14" t="s">
        <v>72</v>
      </c>
      <c r="V37" s="14" t="s">
        <v>30</v>
      </c>
      <c r="W37" s="13" t="s">
        <v>30</v>
      </c>
    </row>
    <row r="38" spans="1:23" ht="30" x14ac:dyDescent="0.25">
      <c r="A38" s="24"/>
      <c r="B38" s="57" t="s">
        <v>71</v>
      </c>
      <c r="C38" s="22">
        <v>5500</v>
      </c>
      <c r="D38" s="56"/>
      <c r="E38" s="55">
        <v>0</v>
      </c>
      <c r="F38" s="52">
        <v>0</v>
      </c>
      <c r="G38" s="19">
        <v>0</v>
      </c>
      <c r="H38" s="53">
        <f>C38*5*0.5/420/220</f>
        <v>0.14880952380952381</v>
      </c>
      <c r="I38" s="53">
        <f>C38*5*0.5/420/220</f>
        <v>0.14880952380952381</v>
      </c>
      <c r="J38" s="19">
        <f>AVERAGE(H38:I38)</f>
        <v>0.14880952380952381</v>
      </c>
      <c r="K38" s="53">
        <v>0</v>
      </c>
      <c r="L38" s="54">
        <v>0</v>
      </c>
      <c r="M38" s="54">
        <v>0</v>
      </c>
      <c r="N38" s="53">
        <v>0</v>
      </c>
      <c r="O38" s="52">
        <v>0</v>
      </c>
      <c r="P38" s="52">
        <v>0</v>
      </c>
      <c r="Q38" s="18"/>
      <c r="R38" s="26"/>
      <c r="S38" s="51" t="s">
        <v>70</v>
      </c>
      <c r="T38" s="15" t="s">
        <v>69</v>
      </c>
      <c r="U38" s="14" t="s">
        <v>69</v>
      </c>
      <c r="V38" s="14" t="s">
        <v>69</v>
      </c>
      <c r="W38" s="13" t="s">
        <v>30</v>
      </c>
    </row>
    <row r="39" spans="1:23" ht="169.5" customHeight="1" x14ac:dyDescent="0.25">
      <c r="A39" s="24"/>
      <c r="B39" s="57" t="s">
        <v>68</v>
      </c>
      <c r="C39" s="86">
        <f>+'[1]MS Reb tables'!E16</f>
        <v>3200</v>
      </c>
      <c r="D39" s="56"/>
      <c r="E39" s="55">
        <f>C39*0.33*15/420/220</f>
        <v>0.17142857142857143</v>
      </c>
      <c r="F39" s="55">
        <f>C39*0.33*15/420/220</f>
        <v>0.17142857142857143</v>
      </c>
      <c r="G39" s="19">
        <f>AVERAGE(E39:F39)</f>
        <v>0.17142857142857143</v>
      </c>
      <c r="H39" s="53">
        <v>0</v>
      </c>
      <c r="I39" s="54">
        <v>0</v>
      </c>
      <c r="J39" s="19">
        <v>0</v>
      </c>
      <c r="K39" s="54">
        <f>C39*15*0.25/420/220</f>
        <v>0.12987012987012989</v>
      </c>
      <c r="L39" s="54">
        <f>C39*15*0.25/420/220</f>
        <v>0.12987012987012989</v>
      </c>
      <c r="M39" s="19">
        <f>AVERAGE(K39:L39)</f>
        <v>0.12987012987012989</v>
      </c>
      <c r="N39" s="53">
        <v>0</v>
      </c>
      <c r="O39" s="52">
        <v>0</v>
      </c>
      <c r="P39" s="52">
        <v>0</v>
      </c>
      <c r="Q39" s="18"/>
      <c r="R39" s="26"/>
      <c r="S39" s="51"/>
      <c r="T39" s="15" t="s">
        <v>67</v>
      </c>
      <c r="U39" s="14" t="s">
        <v>30</v>
      </c>
      <c r="V39" s="14" t="s">
        <v>66</v>
      </c>
      <c r="W39" s="13" t="s">
        <v>30</v>
      </c>
    </row>
    <row r="40" spans="1:23" ht="75" x14ac:dyDescent="0.25">
      <c r="A40" s="37">
        <v>2</v>
      </c>
      <c r="B40" s="36" t="s">
        <v>65</v>
      </c>
      <c r="C40" s="35">
        <f>2.2*[1]OI_2014!P9</f>
        <v>407.00000000000006</v>
      </c>
      <c r="D40" s="85"/>
      <c r="E40" s="49">
        <f t="shared" ref="E40:M40" si="6">SUM(E41:E43)</f>
        <v>0.1949107142857143</v>
      </c>
      <c r="F40" s="46">
        <f t="shared" si="6"/>
        <v>0.26318452380952384</v>
      </c>
      <c r="G40" s="46">
        <f t="shared" si="6"/>
        <v>0.22904761904761908</v>
      </c>
      <c r="H40" s="84">
        <f t="shared" si="6"/>
        <v>0.41603084415584413</v>
      </c>
      <c r="I40" s="46">
        <f t="shared" si="6"/>
        <v>0.41603084415584413</v>
      </c>
      <c r="J40" s="46">
        <f t="shared" si="6"/>
        <v>0.41603084415584413</v>
      </c>
      <c r="K40" s="46">
        <f t="shared" si="6"/>
        <v>0.60009375000000009</v>
      </c>
      <c r="L40" s="46">
        <f t="shared" si="6"/>
        <v>0.60009375000000009</v>
      </c>
      <c r="M40" s="46">
        <f t="shared" si="6"/>
        <v>0.60009375000000009</v>
      </c>
      <c r="N40" s="84">
        <v>0</v>
      </c>
      <c r="O40" s="46">
        <f>C40*2*15/420/220</f>
        <v>0.13214285714285717</v>
      </c>
      <c r="P40" s="46">
        <f>AVERAGE(N40:O40)</f>
        <v>6.6071428571428586E-2</v>
      </c>
      <c r="Q40" s="18">
        <f>G40+J40+M40+P40</f>
        <v>1.3112436417748918</v>
      </c>
      <c r="R40" s="26">
        <f>Q40*30000</f>
        <v>39337.309253246756</v>
      </c>
      <c r="S40" s="39" t="s">
        <v>64</v>
      </c>
      <c r="T40" s="15" t="s">
        <v>63</v>
      </c>
      <c r="U40" s="44"/>
      <c r="V40" s="44"/>
      <c r="W40" s="43"/>
    </row>
    <row r="41" spans="1:23" ht="105" x14ac:dyDescent="0.25">
      <c r="A41" s="37"/>
      <c r="B41" s="36" t="s">
        <v>62</v>
      </c>
      <c r="C41" s="102">
        <f>0.75*C40</f>
        <v>305.25000000000006</v>
      </c>
      <c r="D41" s="83">
        <v>6.8</v>
      </c>
      <c r="E41" s="41">
        <f>C41*15/420/220</f>
        <v>4.955357142857144E-2</v>
      </c>
      <c r="F41" s="19">
        <f>C41*30/420/220</f>
        <v>9.910714285714288E-2</v>
      </c>
      <c r="G41" s="19">
        <f t="shared" ref="G41:G47" si="7">AVERAGE(E41:F41)</f>
        <v>7.4330357142857156E-2</v>
      </c>
      <c r="H41" s="20">
        <v>0</v>
      </c>
      <c r="I41" s="19">
        <v>0</v>
      </c>
      <c r="J41" s="19">
        <v>0</v>
      </c>
      <c r="K41" s="20">
        <f>C41*(D41-1)*15/420/220</f>
        <v>0.28741071428571435</v>
      </c>
      <c r="L41" s="20">
        <f>C41*(D41-1)*15/420/220</f>
        <v>0.28741071428571435</v>
      </c>
      <c r="M41" s="19">
        <f>AVERAGE(K41:L41)</f>
        <v>0.28741071428571435</v>
      </c>
      <c r="N41" s="20"/>
      <c r="O41" s="19"/>
      <c r="P41" s="19"/>
      <c r="Q41" s="40"/>
      <c r="R41" s="26"/>
      <c r="S41" s="39" t="s">
        <v>54</v>
      </c>
      <c r="T41" s="15" t="s">
        <v>61</v>
      </c>
      <c r="U41" s="14" t="s">
        <v>30</v>
      </c>
      <c r="V41" s="38" t="s">
        <v>60</v>
      </c>
      <c r="W41" s="30" t="s">
        <v>30</v>
      </c>
    </row>
    <row r="42" spans="1:23" ht="150" x14ac:dyDescent="0.25">
      <c r="A42" s="37"/>
      <c r="B42" s="36" t="s">
        <v>59</v>
      </c>
      <c r="C42" s="102">
        <f>0.15*C40</f>
        <v>61.050000000000004</v>
      </c>
      <c r="D42" s="83">
        <v>7.1</v>
      </c>
      <c r="E42" s="41">
        <f>C42*120/420/220</f>
        <v>7.9285714285714307E-2</v>
      </c>
      <c r="F42" s="19">
        <f>C42*15/420/220+E42</f>
        <v>8.9196428571428593E-2</v>
      </c>
      <c r="G42" s="19">
        <f t="shared" si="7"/>
        <v>8.4241071428571457E-2</v>
      </c>
      <c r="H42" s="82">
        <f>$C$15*(D42*0.75)*60/420/220</f>
        <v>0.22043425324675323</v>
      </c>
      <c r="I42" s="19">
        <f>$C$15*(D42*0.75)*60/420/220</f>
        <v>0.22043425324675323</v>
      </c>
      <c r="J42" s="19">
        <f>AVERAGE(H42:I42)</f>
        <v>0.22043425324675323</v>
      </c>
      <c r="K42" s="20">
        <f>C42*(D42-1)*60*0.75/420/220</f>
        <v>0.18136607142857145</v>
      </c>
      <c r="L42" s="20">
        <f>C42*(D42-1)*60*0.75/420/220</f>
        <v>0.18136607142857145</v>
      </c>
      <c r="M42" s="19">
        <f>AVERAGE(K42:L42)</f>
        <v>0.18136607142857145</v>
      </c>
      <c r="N42" s="82"/>
      <c r="O42" s="19"/>
      <c r="P42" s="19"/>
      <c r="Q42" s="40"/>
      <c r="R42" s="26"/>
      <c r="S42" s="39" t="s">
        <v>54</v>
      </c>
      <c r="T42" s="15" t="s">
        <v>58</v>
      </c>
      <c r="U42" s="38" t="s">
        <v>57</v>
      </c>
      <c r="V42" s="38" t="s">
        <v>56</v>
      </c>
      <c r="W42" s="30" t="s">
        <v>30</v>
      </c>
    </row>
    <row r="43" spans="1:23" ht="125.25" customHeight="1" x14ac:dyDescent="0.25">
      <c r="A43" s="37"/>
      <c r="B43" s="36" t="s">
        <v>55</v>
      </c>
      <c r="C43" s="144">
        <f>+C40-C41-C42</f>
        <v>40.699999999999996</v>
      </c>
      <c r="D43" s="83">
        <v>6.3</v>
      </c>
      <c r="E43" s="41">
        <f>C43*(120+30)/420/220</f>
        <v>6.6071428571428559E-2</v>
      </c>
      <c r="F43" s="19">
        <f>(C43*20)/420/220+E43</f>
        <v>7.4880952380952367E-2</v>
      </c>
      <c r="G43" s="19">
        <f t="shared" si="7"/>
        <v>7.047619047619047E-2</v>
      </c>
      <c r="H43" s="82">
        <f>$C$16*90*(D43*0.75)/420/220</f>
        <v>0.1955965909090909</v>
      </c>
      <c r="I43" s="82">
        <f>$C$16*90*(D43*0.75)/420/220</f>
        <v>0.1955965909090909</v>
      </c>
      <c r="J43" s="19">
        <f>AVERAGE(H43:I43)</f>
        <v>0.1955965909090909</v>
      </c>
      <c r="K43" s="20">
        <f>C43*(D43-1)*75*0.75/420/220</f>
        <v>0.13131696428571427</v>
      </c>
      <c r="L43" s="20">
        <f>C43*(D43-1)*75*0.75/420/220</f>
        <v>0.13131696428571427</v>
      </c>
      <c r="M43" s="19">
        <f>AVERAGE(K43:L43)</f>
        <v>0.13131696428571427</v>
      </c>
      <c r="N43" s="82"/>
      <c r="O43" s="82"/>
      <c r="P43" s="19"/>
      <c r="Q43" s="40"/>
      <c r="R43" s="26"/>
      <c r="S43" s="39" t="s">
        <v>54</v>
      </c>
      <c r="T43" s="15" t="s">
        <v>53</v>
      </c>
      <c r="U43" s="38" t="s">
        <v>52</v>
      </c>
      <c r="V43" s="38" t="s">
        <v>51</v>
      </c>
      <c r="W43" s="30" t="s">
        <v>30</v>
      </c>
    </row>
    <row r="44" spans="1:23" ht="143.25" customHeight="1" x14ac:dyDescent="0.25">
      <c r="A44" s="37">
        <v>3</v>
      </c>
      <c r="B44" s="36" t="s">
        <v>50</v>
      </c>
      <c r="C44" s="143">
        <f>+[1]OI_2014!P5</f>
        <v>74</v>
      </c>
      <c r="D44" s="35"/>
      <c r="E44" s="20">
        <f>$C$17*10/420/220</f>
        <v>8.8129870129870141E-2</v>
      </c>
      <c r="F44" s="19">
        <f>$C$17*45/420/220</f>
        <v>0.39658441558441565</v>
      </c>
      <c r="G44" s="19">
        <f t="shared" si="7"/>
        <v>0.24235714285714288</v>
      </c>
      <c r="H44" s="20">
        <f>$C$17*60/420/220</f>
        <v>0.5287792207792209</v>
      </c>
      <c r="I44" s="19">
        <f>$C$17*90/420/220</f>
        <v>0.7931688311688313</v>
      </c>
      <c r="J44" s="19">
        <f>$C$17*60/420/220</f>
        <v>0.5287792207792209</v>
      </c>
      <c r="K44" s="20">
        <f>C44*10*1.25/420/220</f>
        <v>1.0010822510822512E-2</v>
      </c>
      <c r="L44" s="20">
        <f>C44*10*1.25/420/220</f>
        <v>1.0010822510822512E-2</v>
      </c>
      <c r="M44" s="19">
        <f>AVERAGE(K44:L44)</f>
        <v>1.0010822510822512E-2</v>
      </c>
      <c r="N44" s="20"/>
      <c r="O44" s="19"/>
      <c r="P44" s="19"/>
      <c r="Q44" s="18">
        <f t="shared" ref="Q44:Q49" si="8">G44+J44+M44</f>
        <v>0.78114718614718626</v>
      </c>
      <c r="R44" s="26">
        <f>Q44*30000</f>
        <v>23434.415584415587</v>
      </c>
      <c r="S44" s="33" t="s">
        <v>49</v>
      </c>
      <c r="T44" s="15" t="s">
        <v>48</v>
      </c>
      <c r="U44" s="14" t="s">
        <v>47</v>
      </c>
      <c r="V44" s="31" t="s">
        <v>42</v>
      </c>
      <c r="W44" s="30" t="s">
        <v>30</v>
      </c>
    </row>
    <row r="45" spans="1:23" ht="210" customHeight="1" x14ac:dyDescent="0.25">
      <c r="A45" s="24">
        <v>4</v>
      </c>
      <c r="B45" s="23" t="s">
        <v>46</v>
      </c>
      <c r="C45" s="86">
        <f>+[1]OI_2014!P13</f>
        <v>313.5</v>
      </c>
      <c r="D45" s="21"/>
      <c r="E45" s="20">
        <f>C45*10/420/220</f>
        <v>3.3928571428571426E-2</v>
      </c>
      <c r="F45" s="19">
        <f>C45*30/420/220</f>
        <v>0.10178571428571428</v>
      </c>
      <c r="G45" s="19">
        <f t="shared" si="7"/>
        <v>6.7857142857142852E-2</v>
      </c>
      <c r="H45" s="20">
        <f>C45*60/420/220</f>
        <v>0.20357142857142857</v>
      </c>
      <c r="I45" s="19">
        <f>C45*90/420/220</f>
        <v>0.30535714285714288</v>
      </c>
      <c r="J45" s="19">
        <f>$C$17*60/420/220</f>
        <v>0.5287792207792209</v>
      </c>
      <c r="K45" s="20">
        <f>C45*10*1.25/420/220</f>
        <v>4.2410714285714281E-2</v>
      </c>
      <c r="L45" s="20">
        <f>C45*10*1.25/420/220</f>
        <v>4.2410714285714281E-2</v>
      </c>
      <c r="M45" s="19">
        <f>AVERAGE(K45:L45)</f>
        <v>4.2410714285714281E-2</v>
      </c>
      <c r="N45" s="20"/>
      <c r="O45" s="19"/>
      <c r="P45" s="19"/>
      <c r="Q45" s="18">
        <f t="shared" si="8"/>
        <v>0.63904707792207804</v>
      </c>
      <c r="R45" s="26">
        <f>Q45*30000</f>
        <v>19171.412337662343</v>
      </c>
      <c r="S45" s="32" t="s">
        <v>45</v>
      </c>
      <c r="T45" s="15" t="s">
        <v>44</v>
      </c>
      <c r="U45" s="14" t="s">
        <v>43</v>
      </c>
      <c r="V45" s="31" t="s">
        <v>42</v>
      </c>
      <c r="W45" s="30" t="s">
        <v>30</v>
      </c>
    </row>
    <row r="46" spans="1:23" s="125" customFormat="1" ht="45" x14ac:dyDescent="0.25">
      <c r="A46" s="137">
        <v>5</v>
      </c>
      <c r="B46" s="136" t="s">
        <v>41</v>
      </c>
      <c r="C46" s="135">
        <v>0</v>
      </c>
      <c r="D46" s="134"/>
      <c r="E46" s="133">
        <v>0</v>
      </c>
      <c r="F46" s="132">
        <f>C46*10/420/220</f>
        <v>0</v>
      </c>
      <c r="G46" s="132">
        <f t="shared" si="7"/>
        <v>0</v>
      </c>
      <c r="H46" s="133">
        <v>0</v>
      </c>
      <c r="I46" s="132">
        <v>0</v>
      </c>
      <c r="J46" s="132">
        <v>0</v>
      </c>
      <c r="K46" s="133">
        <v>0</v>
      </c>
      <c r="L46" s="133">
        <v>0</v>
      </c>
      <c r="M46" s="132">
        <v>0</v>
      </c>
      <c r="N46" s="133"/>
      <c r="O46" s="132"/>
      <c r="P46" s="132"/>
      <c r="Q46" s="131">
        <f t="shared" si="8"/>
        <v>0</v>
      </c>
      <c r="R46" s="139"/>
      <c r="S46" s="129"/>
      <c r="T46" s="128" t="s">
        <v>36</v>
      </c>
      <c r="U46" s="127" t="s">
        <v>30</v>
      </c>
      <c r="V46" s="127" t="s">
        <v>39</v>
      </c>
      <c r="W46" s="126" t="s">
        <v>30</v>
      </c>
    </row>
    <row r="47" spans="1:23" s="125" customFormat="1" x14ac:dyDescent="0.25">
      <c r="A47" s="137"/>
      <c r="B47" s="136" t="s">
        <v>38</v>
      </c>
      <c r="C47" s="135">
        <v>0</v>
      </c>
      <c r="D47" s="134"/>
      <c r="E47" s="133">
        <v>0</v>
      </c>
      <c r="F47" s="132">
        <f>C47*10/420/220</f>
        <v>0</v>
      </c>
      <c r="G47" s="132">
        <f t="shared" si="7"/>
        <v>0</v>
      </c>
      <c r="H47" s="133">
        <v>0</v>
      </c>
      <c r="I47" s="132">
        <v>0</v>
      </c>
      <c r="J47" s="132">
        <v>0</v>
      </c>
      <c r="K47" s="133">
        <f>C47*50/420/220</f>
        <v>0</v>
      </c>
      <c r="L47" s="133">
        <f>C47*70/420/220</f>
        <v>0</v>
      </c>
      <c r="M47" s="132">
        <f>AVERAGE(K47:L47)</f>
        <v>0</v>
      </c>
      <c r="N47" s="133"/>
      <c r="O47" s="132"/>
      <c r="P47" s="132"/>
      <c r="Q47" s="131">
        <f t="shared" si="8"/>
        <v>0</v>
      </c>
      <c r="R47" s="139"/>
      <c r="S47" s="129" t="s">
        <v>21</v>
      </c>
      <c r="T47" s="128" t="s">
        <v>30</v>
      </c>
      <c r="U47" s="127" t="s">
        <v>30</v>
      </c>
      <c r="V47" s="127" t="s">
        <v>30</v>
      </c>
      <c r="W47" s="126" t="s">
        <v>30</v>
      </c>
    </row>
    <row r="48" spans="1:23" s="125" customFormat="1" x14ac:dyDescent="0.25">
      <c r="A48" s="137">
        <v>6</v>
      </c>
      <c r="B48" s="136" t="s">
        <v>34</v>
      </c>
      <c r="C48" s="135">
        <v>0</v>
      </c>
      <c r="D48" s="134"/>
      <c r="E48" s="133"/>
      <c r="F48" s="132"/>
      <c r="G48" s="132"/>
      <c r="H48" s="133"/>
      <c r="I48" s="132"/>
      <c r="J48" s="132"/>
      <c r="K48" s="133">
        <f>C48*30*0.75/420/220</f>
        <v>0</v>
      </c>
      <c r="L48" s="133">
        <f>C48*30*0.75/420/220</f>
        <v>0</v>
      </c>
      <c r="M48" s="132">
        <f>AVERAGE(K48:L48)</f>
        <v>0</v>
      </c>
      <c r="N48" s="133"/>
      <c r="O48" s="132"/>
      <c r="P48" s="132"/>
      <c r="Q48" s="131">
        <f t="shared" si="8"/>
        <v>0</v>
      </c>
      <c r="R48" s="139"/>
      <c r="S48" s="129"/>
      <c r="T48" s="128" t="s">
        <v>30</v>
      </c>
      <c r="U48" s="127" t="s">
        <v>30</v>
      </c>
      <c r="V48" s="127" t="s">
        <v>30</v>
      </c>
      <c r="W48" s="126" t="s">
        <v>30</v>
      </c>
    </row>
    <row r="49" spans="1:23" s="125" customFormat="1" ht="212.25" customHeight="1" thickBot="1" x14ac:dyDescent="0.3">
      <c r="A49" s="137">
        <v>7</v>
      </c>
      <c r="B49" s="136" t="s">
        <v>33</v>
      </c>
      <c r="C49" s="135"/>
      <c r="D49" s="134"/>
      <c r="E49" s="133"/>
      <c r="F49" s="132"/>
      <c r="G49" s="132"/>
      <c r="H49" s="133"/>
      <c r="I49" s="132"/>
      <c r="J49" s="132"/>
      <c r="K49" s="133">
        <f>C49*15/420/220</f>
        <v>0</v>
      </c>
      <c r="L49" s="133">
        <f>C49*25/420/220</f>
        <v>0</v>
      </c>
      <c r="M49" s="132">
        <f>AVERAGE(K49:L49)</f>
        <v>0</v>
      </c>
      <c r="N49" s="133"/>
      <c r="O49" s="132"/>
      <c r="P49" s="132"/>
      <c r="Q49" s="131">
        <f t="shared" si="8"/>
        <v>0</v>
      </c>
      <c r="R49" s="139">
        <f>Q49*30000</f>
        <v>0</v>
      </c>
      <c r="S49" s="129" t="s">
        <v>32</v>
      </c>
      <c r="T49" s="128" t="s">
        <v>30</v>
      </c>
      <c r="U49" s="127" t="s">
        <v>30</v>
      </c>
      <c r="V49" s="127" t="s">
        <v>31</v>
      </c>
      <c r="W49" s="126" t="s">
        <v>30</v>
      </c>
    </row>
    <row r="50" spans="1:23" ht="15.75" thickBot="1" x14ac:dyDescent="0.3">
      <c r="A50" t="s">
        <v>21</v>
      </c>
      <c r="C50" s="12"/>
      <c r="D50" s="12"/>
      <c r="E50" s="12"/>
      <c r="F50" s="12"/>
      <c r="G50" s="12"/>
      <c r="H50" s="12"/>
      <c r="I50" s="12"/>
      <c r="J50" s="12"/>
      <c r="K50" s="12"/>
      <c r="L50" s="12"/>
      <c r="M50" s="12"/>
      <c r="N50" s="12"/>
      <c r="O50" s="12"/>
      <c r="P50" s="12"/>
      <c r="Q50" s="11">
        <f>SUM(Q32+Q40+Q44+Q45+Q46+Q47+Q48+Q49)</f>
        <v>7.4442558279220785</v>
      </c>
      <c r="R50" s="26">
        <f>Q50*30000</f>
        <v>223327.67483766234</v>
      </c>
    </row>
    <row r="51" spans="1:23" x14ac:dyDescent="0.25">
      <c r="C51" s="12"/>
      <c r="D51" s="12"/>
      <c r="E51" s="12"/>
      <c r="F51" s="12"/>
      <c r="G51" s="12"/>
      <c r="H51" s="12"/>
      <c r="I51" s="12"/>
      <c r="J51" s="12"/>
      <c r="K51" s="12"/>
      <c r="L51" s="12"/>
      <c r="M51" s="12"/>
      <c r="N51" s="12"/>
      <c r="O51" s="12"/>
      <c r="P51" s="12"/>
      <c r="Q51" s="81"/>
      <c r="R51" s="80"/>
    </row>
    <row r="52" spans="1:23" x14ac:dyDescent="0.25">
      <c r="C52" s="12"/>
      <c r="D52" s="12"/>
      <c r="E52" s="12"/>
      <c r="F52" s="12"/>
      <c r="G52" s="12"/>
      <c r="H52" s="12"/>
      <c r="I52" s="12"/>
      <c r="J52" s="12"/>
      <c r="K52" s="12"/>
      <c r="L52" s="12"/>
      <c r="M52" s="12"/>
      <c r="N52" s="12"/>
      <c r="O52" s="12"/>
      <c r="P52" s="12"/>
      <c r="Q52" s="81"/>
      <c r="R52" s="80"/>
    </row>
    <row r="53" spans="1:23" x14ac:dyDescent="0.25">
      <c r="Q53" s="80"/>
      <c r="R53" s="80"/>
    </row>
    <row r="54" spans="1:23" ht="15.75" thickBot="1" x14ac:dyDescent="0.3">
      <c r="B54" s="9" t="s">
        <v>108</v>
      </c>
    </row>
    <row r="55" spans="1:23" ht="15.75" thickBot="1" x14ac:dyDescent="0.3">
      <c r="E55" s="154"/>
      <c r="F55" s="154"/>
      <c r="G55" s="154"/>
      <c r="H55" s="154"/>
      <c r="I55" s="154"/>
      <c r="J55" s="154"/>
      <c r="K55" s="154"/>
      <c r="L55" s="154"/>
      <c r="M55" s="154"/>
      <c r="N55" s="154"/>
      <c r="O55" s="154"/>
      <c r="P55" s="154"/>
      <c r="Q55" s="154"/>
      <c r="R55" s="79"/>
      <c r="S55" s="78"/>
      <c r="T55" s="78"/>
      <c r="U55" s="78"/>
      <c r="V55" s="78"/>
      <c r="W55" s="78"/>
    </row>
    <row r="56" spans="1:23" ht="45" customHeight="1" thickBot="1" x14ac:dyDescent="0.3">
      <c r="A56" s="24" t="s">
        <v>107</v>
      </c>
      <c r="B56" s="23" t="s">
        <v>106</v>
      </c>
      <c r="C56" s="77" t="s">
        <v>105</v>
      </c>
      <c r="D56" s="76" t="s">
        <v>104</v>
      </c>
      <c r="E56" s="155" t="s">
        <v>103</v>
      </c>
      <c r="F56" s="156"/>
      <c r="G56" s="157"/>
      <c r="H56" s="158" t="s">
        <v>102</v>
      </c>
      <c r="I56" s="159"/>
      <c r="J56" s="160"/>
      <c r="K56" s="161" t="s">
        <v>101</v>
      </c>
      <c r="L56" s="162"/>
      <c r="M56" s="162"/>
      <c r="N56" s="163" t="s">
        <v>100</v>
      </c>
      <c r="O56" s="159"/>
      <c r="P56" s="164"/>
      <c r="Q56" s="75" t="s">
        <v>29</v>
      </c>
      <c r="R56" s="74" t="s">
        <v>99</v>
      </c>
      <c r="S56" s="73" t="s">
        <v>98</v>
      </c>
      <c r="T56" s="73" t="s">
        <v>97</v>
      </c>
      <c r="U56" s="73" t="s">
        <v>97</v>
      </c>
      <c r="V56" s="73" t="s">
        <v>97</v>
      </c>
      <c r="W56" s="73" t="s">
        <v>97</v>
      </c>
    </row>
    <row r="57" spans="1:23" ht="15.75" thickBot="1" x14ac:dyDescent="0.3">
      <c r="A57" s="24"/>
      <c r="B57" s="23"/>
      <c r="C57" s="72" t="s">
        <v>96</v>
      </c>
      <c r="D57" s="72"/>
      <c r="E57" s="72" t="s">
        <v>95</v>
      </c>
      <c r="F57" s="24" t="s">
        <v>94</v>
      </c>
      <c r="G57" s="24" t="s">
        <v>93</v>
      </c>
      <c r="H57" s="72" t="s">
        <v>95</v>
      </c>
      <c r="I57" s="24" t="s">
        <v>94</v>
      </c>
      <c r="J57" s="24" t="s">
        <v>93</v>
      </c>
      <c r="K57" s="72" t="s">
        <v>95</v>
      </c>
      <c r="L57" s="24" t="s">
        <v>94</v>
      </c>
      <c r="M57" s="24" t="s">
        <v>93</v>
      </c>
      <c r="N57" s="72" t="s">
        <v>95</v>
      </c>
      <c r="O57" s="24" t="s">
        <v>94</v>
      </c>
      <c r="P57" s="24" t="s">
        <v>93</v>
      </c>
      <c r="Q57" s="71"/>
      <c r="R57" s="70" t="s">
        <v>92</v>
      </c>
      <c r="S57" s="69"/>
      <c r="T57" s="69"/>
      <c r="U57" s="69"/>
      <c r="V57" s="69"/>
      <c r="W57" s="69"/>
    </row>
    <row r="58" spans="1:23" ht="105" x14ac:dyDescent="0.25">
      <c r="A58" s="24">
        <v>1</v>
      </c>
      <c r="B58" s="23" t="s">
        <v>91</v>
      </c>
      <c r="C58" s="22"/>
      <c r="D58" s="22"/>
      <c r="E58" s="68">
        <f t="shared" ref="E58:P58" si="9">SUM(E59:E65)</f>
        <v>0.30635822510822508</v>
      </c>
      <c r="F58" s="68">
        <f t="shared" si="9"/>
        <v>0.31988636363636364</v>
      </c>
      <c r="G58" s="68">
        <f t="shared" si="9"/>
        <v>0.31312229437229433</v>
      </c>
      <c r="H58" s="68">
        <f t="shared" si="9"/>
        <v>0.60213744588744589</v>
      </c>
      <c r="I58" s="68">
        <f t="shared" si="9"/>
        <v>0.60213744588744589</v>
      </c>
      <c r="J58" s="68">
        <f t="shared" si="9"/>
        <v>0.60213744588744589</v>
      </c>
      <c r="K58" s="68">
        <f t="shared" si="9"/>
        <v>4.2617694805194803</v>
      </c>
      <c r="L58" s="68">
        <f t="shared" si="9"/>
        <v>4.2617694805194803</v>
      </c>
      <c r="M58" s="68">
        <f t="shared" si="9"/>
        <v>4.2617694805194803</v>
      </c>
      <c r="N58" s="68">
        <f t="shared" si="9"/>
        <v>0.11363636363636362</v>
      </c>
      <c r="O58" s="68">
        <f t="shared" si="9"/>
        <v>0.18127705627705626</v>
      </c>
      <c r="P58" s="68">
        <f t="shared" si="9"/>
        <v>0.14745670995670995</v>
      </c>
      <c r="Q58" s="18">
        <f>G58+J58+M58+P58</f>
        <v>5.3244859307359311</v>
      </c>
      <c r="R58" s="26">
        <f>Q58*29420</f>
        <v>156646.37608225108</v>
      </c>
      <c r="S58" s="51" t="s">
        <v>90</v>
      </c>
      <c r="T58" s="15" t="s">
        <v>89</v>
      </c>
      <c r="U58" s="65" t="s">
        <v>88</v>
      </c>
      <c r="V58" s="65" t="s">
        <v>88</v>
      </c>
      <c r="W58" s="67" t="s">
        <v>88</v>
      </c>
    </row>
    <row r="59" spans="1:23" ht="105" x14ac:dyDescent="0.25">
      <c r="A59" s="24"/>
      <c r="B59" s="64" t="s">
        <v>87</v>
      </c>
      <c r="C59" s="143">
        <f>+'[1]MS Reb tables'!E25*'[1]MS Reb tables'!E26</f>
        <v>174.99999999999997</v>
      </c>
      <c r="D59" s="56"/>
      <c r="E59" s="53">
        <f>C59*10/420/220</f>
        <v>1.8939393939393936E-2</v>
      </c>
      <c r="F59" s="52">
        <f>C59*10/420/220</f>
        <v>1.8939393939393936E-2</v>
      </c>
      <c r="G59" s="19">
        <f>AVERAGE(E59:F59)</f>
        <v>1.8939393939393936E-2</v>
      </c>
      <c r="H59" s="53">
        <f>C59*30*0.8/420/220</f>
        <v>4.5454545454545449E-2</v>
      </c>
      <c r="I59" s="52">
        <f>C59*30*0.8/420/220</f>
        <v>4.5454545454545449E-2</v>
      </c>
      <c r="J59" s="52">
        <f>C59*30*0.8/420/220</f>
        <v>4.5454545454545449E-2</v>
      </c>
      <c r="K59" s="53">
        <v>0.25</v>
      </c>
      <c r="L59" s="54">
        <v>0.25</v>
      </c>
      <c r="M59" s="54">
        <v>0.25</v>
      </c>
      <c r="N59" s="53">
        <f>C59*2*30/420/220</f>
        <v>0.11363636363636362</v>
      </c>
      <c r="O59" s="53">
        <f>C59*2*30/420/220</f>
        <v>0.11363636363636362</v>
      </c>
      <c r="P59" s="19">
        <f>AVERAGE(N59:O59)</f>
        <v>0.11363636363636362</v>
      </c>
      <c r="Q59" s="18"/>
      <c r="R59" s="26"/>
      <c r="S59" s="51" t="s">
        <v>86</v>
      </c>
      <c r="T59" s="15" t="s">
        <v>85</v>
      </c>
      <c r="U59" s="14" t="s">
        <v>84</v>
      </c>
      <c r="V59" s="65" t="s">
        <v>83</v>
      </c>
      <c r="W59" s="67" t="s">
        <v>82</v>
      </c>
    </row>
    <row r="60" spans="1:23" ht="105" x14ac:dyDescent="0.25">
      <c r="A60" s="24"/>
      <c r="B60" s="64" t="s">
        <v>81</v>
      </c>
      <c r="C60" s="35">
        <v>2500</v>
      </c>
      <c r="D60" s="56"/>
      <c r="E60" s="55">
        <v>0</v>
      </c>
      <c r="F60" s="52">
        <v>0</v>
      </c>
      <c r="G60" s="19">
        <v>0</v>
      </c>
      <c r="H60" s="53">
        <v>0</v>
      </c>
      <c r="I60" s="52">
        <v>0</v>
      </c>
      <c r="J60" s="52">
        <v>0</v>
      </c>
      <c r="K60" s="53">
        <f>C60*5*30*0.75/420/220</f>
        <v>3.0438311688311686</v>
      </c>
      <c r="L60" s="53">
        <f>C60*5*30*0.75/420/220</f>
        <v>3.0438311688311686</v>
      </c>
      <c r="M60" s="19">
        <f>AVERAGE(K60:L60)</f>
        <v>3.0438311688311686</v>
      </c>
      <c r="N60" s="53">
        <v>0</v>
      </c>
      <c r="O60" s="52">
        <f>C60*10*0.25/420/220</f>
        <v>6.764069264069264E-2</v>
      </c>
      <c r="P60" s="19">
        <f>AVERAGE(N60:O60)</f>
        <v>3.382034632034632E-2</v>
      </c>
      <c r="Q60" s="18"/>
      <c r="R60" s="26"/>
      <c r="S60" s="51" t="s">
        <v>73</v>
      </c>
      <c r="T60" s="15" t="s">
        <v>30</v>
      </c>
      <c r="U60" s="14" t="s">
        <v>30</v>
      </c>
      <c r="V60" s="14" t="s">
        <v>80</v>
      </c>
      <c r="W60" s="67" t="s">
        <v>79</v>
      </c>
    </row>
    <row r="61" spans="1:23" ht="45" x14ac:dyDescent="0.25">
      <c r="A61" s="24"/>
      <c r="B61" s="64" t="s">
        <v>78</v>
      </c>
      <c r="C61" s="63">
        <v>2500</v>
      </c>
      <c r="D61" s="56"/>
      <c r="E61" s="55">
        <v>0</v>
      </c>
      <c r="F61" s="52">
        <v>0</v>
      </c>
      <c r="G61" s="19">
        <v>0</v>
      </c>
      <c r="H61" s="53">
        <v>0</v>
      </c>
      <c r="I61" s="52">
        <v>0</v>
      </c>
      <c r="J61" s="52">
        <v>0</v>
      </c>
      <c r="K61" s="53">
        <f>C61*30/420/220</f>
        <v>0.81168831168831179</v>
      </c>
      <c r="L61" s="53">
        <f>C61*30/420/220</f>
        <v>0.81168831168831179</v>
      </c>
      <c r="M61" s="19">
        <f>AVERAGE(K61:L61)</f>
        <v>0.81168831168831179</v>
      </c>
      <c r="N61" s="53">
        <v>0</v>
      </c>
      <c r="O61" s="52">
        <v>0</v>
      </c>
      <c r="P61" s="52">
        <v>0</v>
      </c>
      <c r="Q61" s="18"/>
      <c r="R61" s="26"/>
      <c r="S61" s="51" t="s">
        <v>73</v>
      </c>
      <c r="T61" s="15" t="s">
        <v>30</v>
      </c>
      <c r="U61" s="14" t="s">
        <v>30</v>
      </c>
      <c r="V61" s="65" t="s">
        <v>77</v>
      </c>
      <c r="W61" s="13" t="s">
        <v>30</v>
      </c>
    </row>
    <row r="62" spans="1:23" ht="90" x14ac:dyDescent="0.25">
      <c r="A62" s="24"/>
      <c r="B62" s="64" t="s">
        <v>76</v>
      </c>
      <c r="C62" s="35">
        <v>2500</v>
      </c>
      <c r="D62" s="56"/>
      <c r="E62" s="55">
        <f>C62*0.05*60/420/220</f>
        <v>8.1168831168831168E-2</v>
      </c>
      <c r="F62" s="55">
        <f>C62*0.05*70/420/220</f>
        <v>9.4696969696969696E-2</v>
      </c>
      <c r="G62" s="19">
        <f>AVERAGE(E62:F62)</f>
        <v>8.7932900432900432E-2</v>
      </c>
      <c r="H62" s="53">
        <v>0</v>
      </c>
      <c r="I62" s="52">
        <v>0</v>
      </c>
      <c r="J62" s="52">
        <v>0</v>
      </c>
      <c r="K62" s="53">
        <v>0</v>
      </c>
      <c r="L62" s="54">
        <v>0</v>
      </c>
      <c r="M62" s="54">
        <v>0</v>
      </c>
      <c r="N62" s="53">
        <v>0</v>
      </c>
      <c r="O62" s="52">
        <v>0</v>
      </c>
      <c r="P62" s="52">
        <v>0</v>
      </c>
      <c r="Q62" s="18"/>
      <c r="R62" s="26"/>
      <c r="S62" s="51" t="s">
        <v>73</v>
      </c>
      <c r="T62" s="15" t="s">
        <v>75</v>
      </c>
      <c r="U62" s="66" t="s">
        <v>30</v>
      </c>
      <c r="V62" s="65" t="s">
        <v>30</v>
      </c>
      <c r="W62" s="13" t="s">
        <v>30</v>
      </c>
    </row>
    <row r="63" spans="1:23" ht="90" x14ac:dyDescent="0.25">
      <c r="A63" s="24"/>
      <c r="B63" s="64" t="s">
        <v>74</v>
      </c>
      <c r="C63" s="63">
        <v>175</v>
      </c>
      <c r="D63" s="56"/>
      <c r="E63" s="55">
        <v>0</v>
      </c>
      <c r="F63" s="52">
        <v>0</v>
      </c>
      <c r="G63" s="19">
        <v>0</v>
      </c>
      <c r="H63" s="53">
        <f>C63*30*0.75/420/220</f>
        <v>4.261363636363636E-2</v>
      </c>
      <c r="I63" s="53">
        <f>C63*30*0.75/420/220</f>
        <v>4.261363636363636E-2</v>
      </c>
      <c r="J63" s="19">
        <f>AVERAGE(H63:I63)</f>
        <v>4.261363636363636E-2</v>
      </c>
      <c r="K63" s="53">
        <v>0</v>
      </c>
      <c r="L63" s="54">
        <v>0</v>
      </c>
      <c r="M63" s="54">
        <v>0</v>
      </c>
      <c r="N63" s="53">
        <v>0</v>
      </c>
      <c r="O63" s="52">
        <v>0</v>
      </c>
      <c r="P63" s="52">
        <v>0</v>
      </c>
      <c r="Q63" s="18"/>
      <c r="R63" s="26"/>
      <c r="S63" s="51" t="s">
        <v>73</v>
      </c>
      <c r="T63" s="15" t="s">
        <v>30</v>
      </c>
      <c r="U63" s="14" t="s">
        <v>72</v>
      </c>
      <c r="V63" s="14" t="s">
        <v>30</v>
      </c>
      <c r="W63" s="13" t="s">
        <v>30</v>
      </c>
    </row>
    <row r="64" spans="1:23" ht="30" x14ac:dyDescent="0.25">
      <c r="A64" s="24"/>
      <c r="B64" s="57" t="s">
        <v>71</v>
      </c>
      <c r="C64" s="22">
        <v>19000</v>
      </c>
      <c r="D64" s="62"/>
      <c r="E64" s="61">
        <v>0</v>
      </c>
      <c r="F64" s="58">
        <v>0</v>
      </c>
      <c r="G64" s="27">
        <v>0</v>
      </c>
      <c r="H64" s="59">
        <f>C64*5*0.5/420/220</f>
        <v>0.51406926406926412</v>
      </c>
      <c r="I64" s="59">
        <f>C64*5*0.5/420/220</f>
        <v>0.51406926406926412</v>
      </c>
      <c r="J64" s="27">
        <f>AVERAGE(H64:I64)</f>
        <v>0.51406926406926412</v>
      </c>
      <c r="K64" s="59">
        <v>0</v>
      </c>
      <c r="L64" s="60">
        <v>0</v>
      </c>
      <c r="M64" s="60">
        <v>0</v>
      </c>
      <c r="N64" s="59">
        <v>0</v>
      </c>
      <c r="O64" s="58">
        <v>0</v>
      </c>
      <c r="P64" s="52">
        <v>0</v>
      </c>
      <c r="Q64" s="18"/>
      <c r="R64" s="26"/>
      <c r="S64" s="51" t="s">
        <v>70</v>
      </c>
      <c r="T64" s="15" t="s">
        <v>69</v>
      </c>
      <c r="U64" s="14" t="s">
        <v>69</v>
      </c>
      <c r="V64" s="14" t="s">
        <v>69</v>
      </c>
      <c r="W64" s="13" t="s">
        <v>30</v>
      </c>
    </row>
    <row r="65" spans="1:23" ht="150" x14ac:dyDescent="0.25">
      <c r="A65" s="24"/>
      <c r="B65" s="57" t="s">
        <v>68</v>
      </c>
      <c r="C65" s="86">
        <f>+'[1]MS Reb tables'!E25</f>
        <v>3849.9999999999995</v>
      </c>
      <c r="D65" s="56"/>
      <c r="E65" s="55">
        <f>C65*0.33*15/420/220</f>
        <v>0.20624999999999999</v>
      </c>
      <c r="F65" s="55">
        <f>C65*0.33*15/420/220</f>
        <v>0.20624999999999999</v>
      </c>
      <c r="G65" s="19">
        <f>AVERAGE(E65:F65)</f>
        <v>0.20624999999999999</v>
      </c>
      <c r="H65" s="53">
        <v>0</v>
      </c>
      <c r="I65" s="54">
        <v>0</v>
      </c>
      <c r="J65" s="19">
        <v>0</v>
      </c>
      <c r="K65" s="54">
        <f>C65*15*0.25/420/220</f>
        <v>0.15624999999999997</v>
      </c>
      <c r="L65" s="54">
        <f>C65*15*0.25/420/220</f>
        <v>0.15624999999999997</v>
      </c>
      <c r="M65" s="19">
        <f>AVERAGE(K65:L65)</f>
        <v>0.15624999999999997</v>
      </c>
      <c r="N65" s="53">
        <v>0</v>
      </c>
      <c r="O65" s="52">
        <v>0</v>
      </c>
      <c r="P65" s="52">
        <v>0</v>
      </c>
      <c r="Q65" s="18"/>
      <c r="R65" s="26"/>
      <c r="S65" s="51"/>
      <c r="T65" s="15" t="s">
        <v>67</v>
      </c>
      <c r="U65" s="14" t="s">
        <v>30</v>
      </c>
      <c r="V65" s="14" t="s">
        <v>66</v>
      </c>
      <c r="W65" s="13" t="s">
        <v>30</v>
      </c>
    </row>
    <row r="66" spans="1:23" ht="75" x14ac:dyDescent="0.25">
      <c r="A66" s="37">
        <v>2</v>
      </c>
      <c r="B66" s="36" t="s">
        <v>65</v>
      </c>
      <c r="C66" s="143">
        <f>+[1]OI_2014!P10</f>
        <v>230</v>
      </c>
      <c r="D66" s="50"/>
      <c r="E66" s="49">
        <f t="shared" ref="E66:M66" si="10">SUM(E67:E69)</f>
        <v>0.11014610389610389</v>
      </c>
      <c r="F66" s="47">
        <f t="shared" si="10"/>
        <v>0.14872835497835496</v>
      </c>
      <c r="G66" s="47">
        <f t="shared" si="10"/>
        <v>0.12943722943722943</v>
      </c>
      <c r="H66" s="48">
        <f t="shared" si="10"/>
        <v>0.41603084415584413</v>
      </c>
      <c r="I66" s="47">
        <f t="shared" si="10"/>
        <v>0.41603084415584413</v>
      </c>
      <c r="J66" s="47">
        <f t="shared" si="10"/>
        <v>0.41603084415584413</v>
      </c>
      <c r="K66" s="47">
        <f t="shared" si="10"/>
        <v>0.33911931818181817</v>
      </c>
      <c r="L66" s="47">
        <f t="shared" si="10"/>
        <v>0.33911931818181817</v>
      </c>
      <c r="M66" s="47">
        <f t="shared" si="10"/>
        <v>0.33911931818181817</v>
      </c>
      <c r="N66" s="48">
        <v>0</v>
      </c>
      <c r="O66" s="47">
        <f>C66*2*15/420/220</f>
        <v>7.4675324675324672E-2</v>
      </c>
      <c r="P66" s="46">
        <f>AVERAGE(N66:O66)</f>
        <v>3.7337662337662336E-2</v>
      </c>
      <c r="Q66" s="18">
        <f>G66+J66+M66+P66</f>
        <v>0.9219250541125541</v>
      </c>
      <c r="R66" s="45">
        <f>Q66*29420</f>
        <v>27123.03509199134</v>
      </c>
      <c r="S66" s="39" t="s">
        <v>64</v>
      </c>
      <c r="T66" s="15" t="s">
        <v>63</v>
      </c>
      <c r="U66" s="44"/>
      <c r="V66" s="44"/>
      <c r="W66" s="43"/>
    </row>
    <row r="67" spans="1:23" ht="105" x14ac:dyDescent="0.25">
      <c r="A67" s="37"/>
      <c r="B67" s="36" t="s">
        <v>62</v>
      </c>
      <c r="C67" s="102">
        <f>0.75*C66</f>
        <v>172.5</v>
      </c>
      <c r="D67" s="42">
        <v>6.8</v>
      </c>
      <c r="E67" s="41">
        <f>C67*15/420/220</f>
        <v>2.8003246753246752E-2</v>
      </c>
      <c r="F67" s="27">
        <f>C67*30/420/220</f>
        <v>5.6006493506493504E-2</v>
      </c>
      <c r="G67" s="27">
        <f t="shared" ref="G67:G73" si="11">AVERAGE(E67:F67)</f>
        <v>4.2004870129870128E-2</v>
      </c>
      <c r="H67" s="28">
        <v>0</v>
      </c>
      <c r="I67" s="27">
        <v>0</v>
      </c>
      <c r="J67" s="27">
        <v>0</v>
      </c>
      <c r="K67" s="28">
        <f>C67*(D67-1)*15/420/220</f>
        <v>0.16241883116883116</v>
      </c>
      <c r="L67" s="28">
        <f>C67*(D67-1)*15/420/220</f>
        <v>0.16241883116883116</v>
      </c>
      <c r="M67" s="27">
        <f>AVERAGE(K67:L67)</f>
        <v>0.16241883116883116</v>
      </c>
      <c r="N67" s="28"/>
      <c r="O67" s="27"/>
      <c r="P67" s="19"/>
      <c r="Q67" s="40"/>
      <c r="R67" s="26"/>
      <c r="S67" s="39" t="s">
        <v>54</v>
      </c>
      <c r="T67" s="15" t="s">
        <v>61</v>
      </c>
      <c r="U67" s="14" t="s">
        <v>30</v>
      </c>
      <c r="V67" s="38" t="s">
        <v>60</v>
      </c>
      <c r="W67" s="30" t="s">
        <v>30</v>
      </c>
    </row>
    <row r="68" spans="1:23" ht="150" x14ac:dyDescent="0.25">
      <c r="A68" s="37"/>
      <c r="B68" s="36" t="s">
        <v>59</v>
      </c>
      <c r="C68" s="102">
        <f>0.15*C66</f>
        <v>34.5</v>
      </c>
      <c r="D68" s="42">
        <v>7.1</v>
      </c>
      <c r="E68" s="41">
        <f>C68*120/420/220</f>
        <v>4.4805194805194806E-2</v>
      </c>
      <c r="F68" s="27">
        <f>C68*15/420/220+E68</f>
        <v>5.0405844155844155E-2</v>
      </c>
      <c r="G68" s="27">
        <f t="shared" si="11"/>
        <v>4.7605519480519484E-2</v>
      </c>
      <c r="H68" s="41">
        <f>$C$15*(D68*0.75)*60/420/220</f>
        <v>0.22043425324675323</v>
      </c>
      <c r="I68" s="27">
        <f>$C$15*(D68*0.75)*60/420/220</f>
        <v>0.22043425324675323</v>
      </c>
      <c r="J68" s="27">
        <f>AVERAGE(H68:I68)</f>
        <v>0.22043425324675323</v>
      </c>
      <c r="K68" s="28">
        <f>C68*(D68-1)*60*0.75/420/220</f>
        <v>0.10249188311688311</v>
      </c>
      <c r="L68" s="28">
        <f>C68*(D68-1)*60*0.75/420/220</f>
        <v>0.10249188311688311</v>
      </c>
      <c r="M68" s="27">
        <f>AVERAGE(K68:L68)</f>
        <v>0.10249188311688311</v>
      </c>
      <c r="N68" s="41"/>
      <c r="O68" s="27"/>
      <c r="P68" s="19"/>
      <c r="Q68" s="40"/>
      <c r="R68" s="26"/>
      <c r="S68" s="39" t="s">
        <v>54</v>
      </c>
      <c r="T68" s="15" t="s">
        <v>58</v>
      </c>
      <c r="U68" s="38" t="s">
        <v>57</v>
      </c>
      <c r="V68" s="38" t="s">
        <v>56</v>
      </c>
      <c r="W68" s="30" t="s">
        <v>30</v>
      </c>
    </row>
    <row r="69" spans="1:23" ht="135" x14ac:dyDescent="0.25">
      <c r="A69" s="37"/>
      <c r="B69" s="36" t="s">
        <v>55</v>
      </c>
      <c r="C69" s="144">
        <f>+C66-C67-C68</f>
        <v>23</v>
      </c>
      <c r="D69" s="42">
        <v>6.3</v>
      </c>
      <c r="E69" s="41">
        <f>C69*(120+30)/420/220</f>
        <v>3.7337662337662336E-2</v>
      </c>
      <c r="F69" s="27">
        <f>(C69*20)/420/220+E69</f>
        <v>4.2316017316017314E-2</v>
      </c>
      <c r="G69" s="27">
        <f t="shared" si="11"/>
        <v>3.9826839826839822E-2</v>
      </c>
      <c r="H69" s="41">
        <f>$C$16*90*(D69*0.75)/420/220</f>
        <v>0.1955965909090909</v>
      </c>
      <c r="I69" s="41">
        <f>$C$16*90*(D69*0.75)/420/220</f>
        <v>0.1955965909090909</v>
      </c>
      <c r="J69" s="27">
        <f>AVERAGE(H69:I69)</f>
        <v>0.1955965909090909</v>
      </c>
      <c r="K69" s="28">
        <f>C69*(D69-1)*75*0.75/420/220</f>
        <v>7.4208603896103897E-2</v>
      </c>
      <c r="L69" s="28">
        <f>C69*(D69-1)*75*0.75/420/220</f>
        <v>7.4208603896103897E-2</v>
      </c>
      <c r="M69" s="27">
        <f>AVERAGE(K69:L69)</f>
        <v>7.4208603896103897E-2</v>
      </c>
      <c r="N69" s="41"/>
      <c r="O69" s="41"/>
      <c r="P69" s="19"/>
      <c r="Q69" s="40"/>
      <c r="R69" s="26"/>
      <c r="S69" s="39" t="s">
        <v>54</v>
      </c>
      <c r="T69" s="15" t="s">
        <v>53</v>
      </c>
      <c r="U69" s="38" t="s">
        <v>52</v>
      </c>
      <c r="V69" s="38" t="s">
        <v>51</v>
      </c>
      <c r="W69" s="30" t="s">
        <v>30</v>
      </c>
    </row>
    <row r="70" spans="1:23" ht="150" x14ac:dyDescent="0.25">
      <c r="A70" s="37">
        <v>3</v>
      </c>
      <c r="B70" s="36" t="s">
        <v>50</v>
      </c>
      <c r="C70" s="143">
        <f>+[1]OI_2014!P6</f>
        <v>156</v>
      </c>
      <c r="D70" s="34"/>
      <c r="E70" s="28">
        <f>$C$17*10/420/220</f>
        <v>8.8129870129870141E-2</v>
      </c>
      <c r="F70" s="27">
        <f>$C$17*45/420/220</f>
        <v>0.39658441558441565</v>
      </c>
      <c r="G70" s="27">
        <f t="shared" si="11"/>
        <v>0.24235714285714288</v>
      </c>
      <c r="H70" s="28">
        <f>$C$17*60/420/220</f>
        <v>0.5287792207792209</v>
      </c>
      <c r="I70" s="27">
        <f>$C$17*90/420/220</f>
        <v>0.7931688311688313</v>
      </c>
      <c r="J70" s="27">
        <f>$C$17*60/420/220</f>
        <v>0.5287792207792209</v>
      </c>
      <c r="K70" s="28">
        <f>C70*10*1.25/420/220</f>
        <v>2.1103896103896104E-2</v>
      </c>
      <c r="L70" s="28">
        <f>C70*10*1.25/420/220</f>
        <v>2.1103896103896104E-2</v>
      </c>
      <c r="M70" s="27">
        <f>AVERAGE(K70:L70)</f>
        <v>2.1103896103896104E-2</v>
      </c>
      <c r="N70" s="28"/>
      <c r="O70" s="27"/>
      <c r="P70" s="19"/>
      <c r="Q70" s="18">
        <f t="shared" ref="Q70:Q75" si="12">G70+J70+M70</f>
        <v>0.7922402597402598</v>
      </c>
      <c r="R70" s="26">
        <f>Q70*29420</f>
        <v>23307.708441558443</v>
      </c>
      <c r="S70" s="33" t="s">
        <v>49</v>
      </c>
      <c r="T70" s="15" t="s">
        <v>48</v>
      </c>
      <c r="U70" s="14" t="s">
        <v>47</v>
      </c>
      <c r="V70" s="31" t="s">
        <v>42</v>
      </c>
      <c r="W70" s="30" t="s">
        <v>30</v>
      </c>
    </row>
    <row r="71" spans="1:23" ht="135" x14ac:dyDescent="0.25">
      <c r="A71" s="24">
        <v>4</v>
      </c>
      <c r="B71" s="23" t="s">
        <v>46</v>
      </c>
      <c r="C71" s="86">
        <f>+[1]OI_2014!P14</f>
        <v>278.505</v>
      </c>
      <c r="D71" s="29"/>
      <c r="E71" s="28">
        <f>C71*10/420/220</f>
        <v>3.0141233766233771E-2</v>
      </c>
      <c r="F71" s="27">
        <f>C71*30/420/220</f>
        <v>9.0423701298701295E-2</v>
      </c>
      <c r="G71" s="27">
        <f t="shared" si="11"/>
        <v>6.0282467532467535E-2</v>
      </c>
      <c r="H71" s="28">
        <f>C71*60/420/220</f>
        <v>0.18084740259740259</v>
      </c>
      <c r="I71" s="27">
        <f>C71*90/420/220</f>
        <v>0.27127110389610393</v>
      </c>
      <c r="J71" s="27">
        <f>$C$17*60/420/220</f>
        <v>0.5287792207792209</v>
      </c>
      <c r="K71" s="28">
        <f>C71*10*1.25/420/220</f>
        <v>3.7676542207792207E-2</v>
      </c>
      <c r="L71" s="28">
        <f>C71*10*1.25/420/220</f>
        <v>3.7676542207792207E-2</v>
      </c>
      <c r="M71" s="27">
        <f>AVERAGE(K71:L71)</f>
        <v>3.7676542207792207E-2</v>
      </c>
      <c r="N71" s="28"/>
      <c r="O71" s="27"/>
      <c r="P71" s="19"/>
      <c r="Q71" s="18">
        <f t="shared" si="12"/>
        <v>0.62673823051948063</v>
      </c>
      <c r="R71" s="26">
        <f>Q71*29420</f>
        <v>18438.638741883122</v>
      </c>
      <c r="S71" s="32" t="s">
        <v>45</v>
      </c>
      <c r="T71" s="15" t="s">
        <v>44</v>
      </c>
      <c r="U71" s="14" t="s">
        <v>43</v>
      </c>
      <c r="V71" s="31" t="s">
        <v>42</v>
      </c>
      <c r="W71" s="30" t="s">
        <v>30</v>
      </c>
    </row>
    <row r="72" spans="1:23" s="125" customFormat="1" ht="45" x14ac:dyDescent="0.25">
      <c r="A72" s="137">
        <v>5</v>
      </c>
      <c r="B72" s="136" t="s">
        <v>41</v>
      </c>
      <c r="C72" s="135">
        <v>60</v>
      </c>
      <c r="D72" s="142"/>
      <c r="E72" s="141">
        <v>0</v>
      </c>
      <c r="F72" s="140">
        <f>C72*10/420/220</f>
        <v>6.4935064935064939E-3</v>
      </c>
      <c r="G72" s="140">
        <f t="shared" si="11"/>
        <v>3.246753246753247E-3</v>
      </c>
      <c r="H72" s="141">
        <v>0</v>
      </c>
      <c r="I72" s="140">
        <v>0</v>
      </c>
      <c r="J72" s="140">
        <v>0</v>
      </c>
      <c r="K72" s="141">
        <v>0</v>
      </c>
      <c r="L72" s="141">
        <v>0</v>
      </c>
      <c r="M72" s="140">
        <v>0</v>
      </c>
      <c r="N72" s="141"/>
      <c r="O72" s="140"/>
      <c r="P72" s="132"/>
      <c r="Q72" s="131">
        <f t="shared" si="12"/>
        <v>3.246753246753247E-3</v>
      </c>
      <c r="R72" s="139">
        <f>Q72*29420</f>
        <v>95.519480519480524</v>
      </c>
      <c r="S72" s="129" t="s">
        <v>40</v>
      </c>
      <c r="T72" s="128" t="s">
        <v>36</v>
      </c>
      <c r="U72" s="127" t="s">
        <v>30</v>
      </c>
      <c r="V72" s="127" t="s">
        <v>39</v>
      </c>
      <c r="W72" s="126" t="s">
        <v>30</v>
      </c>
    </row>
    <row r="73" spans="1:23" s="125" customFormat="1" ht="105" x14ac:dyDescent="0.25">
      <c r="A73" s="137"/>
      <c r="B73" s="136" t="s">
        <v>38</v>
      </c>
      <c r="C73" s="135">
        <v>0</v>
      </c>
      <c r="D73" s="134"/>
      <c r="E73" s="133">
        <v>0</v>
      </c>
      <c r="F73" s="132">
        <f>C73*10/420/220</f>
        <v>0</v>
      </c>
      <c r="G73" s="132">
        <f t="shared" si="11"/>
        <v>0</v>
      </c>
      <c r="H73" s="133">
        <v>0</v>
      </c>
      <c r="I73" s="132">
        <v>0</v>
      </c>
      <c r="J73" s="132">
        <v>0</v>
      </c>
      <c r="K73" s="133">
        <f>C73*50/420/220</f>
        <v>0</v>
      </c>
      <c r="L73" s="133">
        <f>C73*70/420/220</f>
        <v>0</v>
      </c>
      <c r="M73" s="132">
        <f>AVERAGE(K73:L73)</f>
        <v>0</v>
      </c>
      <c r="N73" s="133"/>
      <c r="O73" s="132"/>
      <c r="P73" s="132"/>
      <c r="Q73" s="131">
        <f t="shared" si="12"/>
        <v>0</v>
      </c>
      <c r="R73" s="139"/>
      <c r="S73" s="129" t="s">
        <v>37</v>
      </c>
      <c r="T73" s="128" t="s">
        <v>36</v>
      </c>
      <c r="U73" s="127" t="s">
        <v>30</v>
      </c>
      <c r="V73" s="127" t="s">
        <v>35</v>
      </c>
      <c r="W73" s="126" t="s">
        <v>30</v>
      </c>
    </row>
    <row r="74" spans="1:23" s="125" customFormat="1" ht="15.75" thickBot="1" x14ac:dyDescent="0.3">
      <c r="A74" s="137">
        <v>6</v>
      </c>
      <c r="B74" s="136" t="s">
        <v>34</v>
      </c>
      <c r="C74" s="135">
        <v>0</v>
      </c>
      <c r="D74" s="134"/>
      <c r="E74" s="133"/>
      <c r="F74" s="132"/>
      <c r="G74" s="132"/>
      <c r="H74" s="133"/>
      <c r="I74" s="132"/>
      <c r="J74" s="132"/>
      <c r="K74" s="133">
        <f>C74*30*0.75/420/220</f>
        <v>0</v>
      </c>
      <c r="L74" s="133">
        <f>C74*30*0.75/420/220</f>
        <v>0</v>
      </c>
      <c r="M74" s="132">
        <f>AVERAGE(K74:L74)</f>
        <v>0</v>
      </c>
      <c r="N74" s="133"/>
      <c r="O74" s="132"/>
      <c r="P74" s="132"/>
      <c r="Q74" s="131">
        <f t="shared" si="12"/>
        <v>0</v>
      </c>
      <c r="R74" s="138"/>
      <c r="S74" s="129"/>
      <c r="T74" s="128" t="s">
        <v>30</v>
      </c>
      <c r="U74" s="127" t="s">
        <v>30</v>
      </c>
      <c r="V74" s="127" t="s">
        <v>30</v>
      </c>
      <c r="W74" s="126" t="s">
        <v>30</v>
      </c>
    </row>
    <row r="75" spans="1:23" s="125" customFormat="1" ht="195.75" thickBot="1" x14ac:dyDescent="0.3">
      <c r="A75" s="137">
        <v>7</v>
      </c>
      <c r="B75" s="136" t="s">
        <v>33</v>
      </c>
      <c r="C75" s="135"/>
      <c r="D75" s="134"/>
      <c r="E75" s="133"/>
      <c r="F75" s="132"/>
      <c r="G75" s="132"/>
      <c r="H75" s="133"/>
      <c r="I75" s="132"/>
      <c r="J75" s="132"/>
      <c r="K75" s="133">
        <f>C75*15/420/220</f>
        <v>0</v>
      </c>
      <c r="L75" s="133">
        <f>C75*25/420/220</f>
        <v>0</v>
      </c>
      <c r="M75" s="132">
        <f>AVERAGE(K75:L75)</f>
        <v>0</v>
      </c>
      <c r="N75" s="133"/>
      <c r="O75" s="132"/>
      <c r="P75" s="132"/>
      <c r="Q75" s="131">
        <f t="shared" si="12"/>
        <v>0</v>
      </c>
      <c r="R75" s="130">
        <f>Q75*29420</f>
        <v>0</v>
      </c>
      <c r="S75" s="129" t="s">
        <v>32</v>
      </c>
      <c r="T75" s="128" t="s">
        <v>30</v>
      </c>
      <c r="U75" s="127" t="s">
        <v>30</v>
      </c>
      <c r="V75" s="127" t="s">
        <v>31</v>
      </c>
      <c r="W75" s="126" t="s">
        <v>30</v>
      </c>
    </row>
    <row r="76" spans="1:23" ht="15.75" thickBot="1" x14ac:dyDescent="0.3">
      <c r="A76" t="s">
        <v>21</v>
      </c>
      <c r="C76" s="12"/>
      <c r="D76" s="12"/>
      <c r="E76" s="12"/>
      <c r="F76" s="12"/>
      <c r="G76" s="12"/>
      <c r="H76" s="12"/>
      <c r="I76" s="12"/>
      <c r="J76" s="12"/>
      <c r="K76" s="12"/>
      <c r="L76" s="12"/>
      <c r="M76" s="12"/>
      <c r="N76" s="12"/>
      <c r="O76" s="12"/>
      <c r="P76" s="12"/>
      <c r="Q76" s="11">
        <f>SUM(Q58+Q66+Q70+Q71+Q72+Q73+Q74+Q75)</f>
        <v>7.6686362283549787</v>
      </c>
      <c r="R76" s="10">
        <f>Q76*29420</f>
        <v>225611.27783820347</v>
      </c>
    </row>
    <row r="77" spans="1:23" ht="15.75" thickBot="1" x14ac:dyDescent="0.3"/>
    <row r="78" spans="1:23" ht="15.75" thickBot="1" x14ac:dyDescent="0.3">
      <c r="A78" t="s">
        <v>21</v>
      </c>
      <c r="B78" s="9" t="s">
        <v>29</v>
      </c>
      <c r="Q78" s="8">
        <f>Q76+Q50+Q23</f>
        <v>21.769115622294375</v>
      </c>
      <c r="R78" s="7">
        <f>R76+R50+R23</f>
        <v>815031.24880681827</v>
      </c>
    </row>
    <row r="80" spans="1:23" x14ac:dyDescent="0.25">
      <c r="B80" s="2" t="s">
        <v>28</v>
      </c>
      <c r="Q80" s="6">
        <f>Q23+Q50+Q76</f>
        <v>21.769115622294372</v>
      </c>
      <c r="R80" s="5">
        <f>R23+R50+R76</f>
        <v>815031.24880681827</v>
      </c>
    </row>
    <row r="81" spans="1:18" s="1" customFormat="1" x14ac:dyDescent="0.25">
      <c r="A81"/>
      <c r="B81" t="s">
        <v>27</v>
      </c>
      <c r="C81"/>
      <c r="D81"/>
      <c r="E81"/>
      <c r="F81"/>
      <c r="G81"/>
      <c r="H81"/>
      <c r="I81"/>
      <c r="J81"/>
      <c r="K81"/>
      <c r="L81"/>
      <c r="M81"/>
      <c r="N81"/>
      <c r="O81"/>
      <c r="P81"/>
      <c r="Q81"/>
      <c r="R81">
        <v>8500</v>
      </c>
    </row>
    <row r="82" spans="1:18" s="1" customFormat="1" x14ac:dyDescent="0.25">
      <c r="A82"/>
      <c r="B82" t="s">
        <v>26</v>
      </c>
      <c r="C82"/>
      <c r="D82"/>
      <c r="E82"/>
      <c r="F82"/>
      <c r="G82"/>
      <c r="H82"/>
      <c r="I82"/>
      <c r="J82"/>
      <c r="K82"/>
      <c r="L82"/>
      <c r="M82"/>
      <c r="N82"/>
      <c r="O82"/>
      <c r="P82"/>
      <c r="Q82"/>
      <c r="R82">
        <v>0</v>
      </c>
    </row>
    <row r="83" spans="1:18" s="1" customFormat="1" x14ac:dyDescent="0.25">
      <c r="A83"/>
      <c r="B83" t="s">
        <v>25</v>
      </c>
      <c r="C83"/>
      <c r="D83"/>
      <c r="E83"/>
      <c r="F83"/>
      <c r="G83"/>
      <c r="H83"/>
      <c r="I83"/>
      <c r="J83"/>
      <c r="K83"/>
      <c r="L83"/>
      <c r="M83"/>
      <c r="N83"/>
      <c r="O83"/>
      <c r="P83"/>
      <c r="Q83"/>
      <c r="R83">
        <v>0</v>
      </c>
    </row>
    <row r="84" spans="1:18" s="1" customFormat="1" ht="15.75" thickBot="1" x14ac:dyDescent="0.3">
      <c r="A84"/>
      <c r="B84" t="s">
        <v>24</v>
      </c>
      <c r="C84"/>
      <c r="D84"/>
      <c r="E84"/>
      <c r="F84"/>
      <c r="G84"/>
      <c r="H84"/>
      <c r="I84"/>
      <c r="J84"/>
      <c r="K84"/>
      <c r="L84"/>
      <c r="M84"/>
      <c r="N84"/>
      <c r="O84"/>
      <c r="P84"/>
      <c r="Q84"/>
      <c r="R84"/>
    </row>
    <row r="85" spans="1:18" s="1" customFormat="1" ht="15.75" thickBot="1" x14ac:dyDescent="0.3">
      <c r="A85"/>
      <c r="B85" t="s">
        <v>23</v>
      </c>
      <c r="C85"/>
      <c r="D85"/>
      <c r="E85"/>
      <c r="F85"/>
      <c r="G85"/>
      <c r="H85"/>
      <c r="I85"/>
      <c r="J85"/>
      <c r="K85"/>
      <c r="L85"/>
      <c r="M85"/>
      <c r="N85"/>
      <c r="O85"/>
      <c r="P85"/>
      <c r="Q85"/>
      <c r="R85" s="4">
        <f>SUM(R80:R84)</f>
        <v>823531.24880681827</v>
      </c>
    </row>
    <row r="86" spans="1:18" s="1" customFormat="1" x14ac:dyDescent="0.25">
      <c r="A86"/>
      <c r="B86" t="s">
        <v>22</v>
      </c>
      <c r="C86"/>
      <c r="D86"/>
      <c r="E86"/>
      <c r="F86"/>
      <c r="G86"/>
      <c r="H86"/>
      <c r="I86"/>
      <c r="J86"/>
      <c r="K86"/>
      <c r="L86"/>
      <c r="M86"/>
      <c r="N86"/>
      <c r="O86"/>
      <c r="P86"/>
      <c r="Q86"/>
      <c r="R86" s="3"/>
    </row>
    <row r="87" spans="1:18" s="1" customFormat="1" x14ac:dyDescent="0.25">
      <c r="A87" t="s">
        <v>21</v>
      </c>
      <c r="B87" t="s">
        <v>20</v>
      </c>
      <c r="C87"/>
      <c r="D87"/>
      <c r="E87"/>
      <c r="F87"/>
      <c r="G87"/>
      <c r="H87"/>
      <c r="I87"/>
      <c r="J87"/>
      <c r="K87"/>
      <c r="L87"/>
      <c r="M87"/>
      <c r="N87"/>
      <c r="O87"/>
      <c r="P87"/>
      <c r="Q87"/>
      <c r="R87" s="3"/>
    </row>
    <row r="88" spans="1:18" s="1" customFormat="1" x14ac:dyDescent="0.25">
      <c r="A88"/>
      <c r="B88" t="s">
        <v>19</v>
      </c>
      <c r="C88"/>
      <c r="D88"/>
      <c r="E88"/>
      <c r="F88"/>
      <c r="G88"/>
      <c r="H88"/>
      <c r="I88"/>
      <c r="J88"/>
      <c r="K88"/>
      <c r="L88"/>
      <c r="M88"/>
      <c r="N88"/>
      <c r="O88"/>
      <c r="P88"/>
      <c r="Q88"/>
      <c r="R88"/>
    </row>
    <row r="93" spans="1:18" s="1" customFormat="1" x14ac:dyDescent="0.25">
      <c r="A93"/>
      <c r="B93" s="2" t="s">
        <v>18</v>
      </c>
      <c r="C93"/>
      <c r="D93"/>
      <c r="E93"/>
      <c r="F93"/>
      <c r="G93"/>
      <c r="H93"/>
      <c r="I93"/>
      <c r="J93"/>
      <c r="K93"/>
      <c r="L93"/>
      <c r="M93"/>
      <c r="N93"/>
      <c r="O93"/>
      <c r="P93"/>
      <c r="Q93"/>
      <c r="R93"/>
    </row>
    <row r="94" spans="1:18" s="1" customFormat="1" x14ac:dyDescent="0.25">
      <c r="A94"/>
      <c r="B94" t="s">
        <v>17</v>
      </c>
      <c r="C94"/>
      <c r="D94"/>
      <c r="E94"/>
      <c r="F94"/>
      <c r="G94"/>
      <c r="H94"/>
      <c r="I94"/>
      <c r="J94"/>
      <c r="K94"/>
      <c r="L94"/>
      <c r="M94"/>
      <c r="N94"/>
      <c r="O94"/>
      <c r="P94"/>
      <c r="Q94"/>
      <c r="R94"/>
    </row>
    <row r="95" spans="1:18" s="1" customFormat="1" x14ac:dyDescent="0.25">
      <c r="A95"/>
      <c r="B95" t="s">
        <v>16</v>
      </c>
      <c r="C95"/>
      <c r="D95"/>
      <c r="E95"/>
      <c r="F95"/>
      <c r="G95"/>
      <c r="H95"/>
      <c r="I95"/>
      <c r="J95"/>
      <c r="K95"/>
      <c r="L95"/>
      <c r="M95"/>
      <c r="N95"/>
      <c r="O95"/>
      <c r="P95"/>
      <c r="Q95"/>
      <c r="R95"/>
    </row>
    <row r="96" spans="1:18" s="1" customFormat="1" x14ac:dyDescent="0.25">
      <c r="A96"/>
      <c r="B96" t="s">
        <v>15</v>
      </c>
      <c r="C96"/>
      <c r="D96"/>
      <c r="E96"/>
      <c r="F96"/>
      <c r="G96"/>
      <c r="H96"/>
      <c r="I96"/>
      <c r="J96"/>
      <c r="K96"/>
      <c r="L96"/>
      <c r="M96"/>
      <c r="N96"/>
      <c r="O96"/>
      <c r="P96"/>
      <c r="Q96"/>
      <c r="R96"/>
    </row>
    <row r="97" spans="2:4" x14ac:dyDescent="0.25">
      <c r="B97" t="s">
        <v>14</v>
      </c>
    </row>
    <row r="98" spans="2:4" x14ac:dyDescent="0.25">
      <c r="B98" t="s">
        <v>13</v>
      </c>
    </row>
    <row r="99" spans="2:4" x14ac:dyDescent="0.25">
      <c r="B99" t="s">
        <v>12</v>
      </c>
    </row>
    <row r="100" spans="2:4" x14ac:dyDescent="0.25">
      <c r="B100" t="s">
        <v>11</v>
      </c>
    </row>
    <row r="101" spans="2:4" x14ac:dyDescent="0.25">
      <c r="B101" t="s">
        <v>10</v>
      </c>
    </row>
    <row r="102" spans="2:4" x14ac:dyDescent="0.25">
      <c r="B102" t="s">
        <v>9</v>
      </c>
    </row>
    <row r="103" spans="2:4" x14ac:dyDescent="0.25">
      <c r="B103" t="s">
        <v>8</v>
      </c>
    </row>
    <row r="104" spans="2:4" x14ac:dyDescent="0.25">
      <c r="B104" t="s">
        <v>7</v>
      </c>
    </row>
    <row r="106" spans="2:4" x14ac:dyDescent="0.25">
      <c r="B106" t="s">
        <v>6</v>
      </c>
    </row>
    <row r="107" spans="2:4" x14ac:dyDescent="0.25">
      <c r="B107" t="s">
        <v>5</v>
      </c>
      <c r="D107" t="s">
        <v>4</v>
      </c>
    </row>
    <row r="108" spans="2:4" x14ac:dyDescent="0.25">
      <c r="B108" t="s">
        <v>3</v>
      </c>
      <c r="D108" t="s">
        <v>2</v>
      </c>
    </row>
    <row r="109" spans="2:4" x14ac:dyDescent="0.25">
      <c r="B109" t="s">
        <v>1</v>
      </c>
      <c r="D109" t="s">
        <v>0</v>
      </c>
    </row>
  </sheetData>
  <mergeCells count="15">
    <mergeCell ref="E2:Q2"/>
    <mergeCell ref="E3:G3"/>
    <mergeCell ref="H3:J3"/>
    <mergeCell ref="K3:M3"/>
    <mergeCell ref="N3:P3"/>
    <mergeCell ref="E29:Q29"/>
    <mergeCell ref="E30:G30"/>
    <mergeCell ref="H30:J30"/>
    <mergeCell ref="K30:M30"/>
    <mergeCell ref="N30:P30"/>
    <mergeCell ref="E55:Q55"/>
    <mergeCell ref="E56:G56"/>
    <mergeCell ref="H56:J56"/>
    <mergeCell ref="K56:M56"/>
    <mergeCell ref="N56:P56"/>
  </mergeCells>
  <pageMargins left="0.25" right="0.25" top="0.75" bottom="0.75" header="0.3" footer="0.3"/>
  <pageSetup paperSize="9" scale="32" fitToHeight="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Three units_12</vt:lpstr>
      <vt:lpstr>Three units_13</vt:lpstr>
      <vt:lpstr>Three units_14</vt:lpstr>
    </vt:vector>
  </TitlesOfParts>
  <Company>TRUVO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Gonçalves, Marco</dc:creator>
  <cp:lastModifiedBy>kevin murphy</cp:lastModifiedBy>
  <dcterms:created xsi:type="dcterms:W3CDTF">2011-06-11T23:32:17Z</dcterms:created>
  <dcterms:modified xsi:type="dcterms:W3CDTF">2011-06-14T08:39:16Z</dcterms:modified>
</cp:coreProperties>
</file>