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kured00\"/>
    </mc:Choice>
  </mc:AlternateContent>
  <xr:revisionPtr revIDLastSave="0" documentId="13_ncr:1_{88D6EF8D-DCF2-4BE8-A1D9-5FC7DAD93EEA}" xr6:coauthVersionLast="36" xr6:coauthVersionMax="36" xr10:uidLastSave="{00000000-0000-0000-0000-000000000000}"/>
  <bookViews>
    <workbookView xWindow="0" yWindow="0" windowWidth="28800" windowHeight="11625" xr2:uid="{4EEC7C97-8A6C-4AE1-820B-BBAD98AFCFC3}"/>
  </bookViews>
  <sheets>
    <sheet name="Material před stenou" sheetId="1" r:id="rId1"/>
    <sheet name="Prizpusobeni" sheetId="2" r:id="rId2"/>
    <sheet name="Rezonancni prvek" sheetId="3" r:id="rId3"/>
    <sheet name="Helmholtz" sheetId="5" r:id="rId4"/>
    <sheet name="Derovana deska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6" l="1"/>
  <c r="K13" i="6"/>
  <c r="K12" i="6"/>
  <c r="F11" i="6"/>
  <c r="C11" i="6" s="1"/>
  <c r="I9" i="6"/>
  <c r="I8" i="6"/>
  <c r="C8" i="6" s="1"/>
  <c r="M15" i="5"/>
  <c r="M14" i="5"/>
  <c r="H14" i="5"/>
  <c r="E12" i="5" s="1"/>
  <c r="E13" i="5"/>
  <c r="E15" i="5" s="1"/>
  <c r="E10" i="5"/>
  <c r="E9" i="5" s="1"/>
  <c r="D7" i="3"/>
  <c r="D8" i="3" s="1"/>
  <c r="D9" i="3" s="1"/>
  <c r="G6" i="2"/>
  <c r="D6" i="2"/>
  <c r="D5" i="2" s="1"/>
  <c r="D6" i="1"/>
  <c r="D8" i="1" s="1"/>
  <c r="G8" i="1" s="1"/>
  <c r="D7" i="1"/>
  <c r="D9" i="1" s="1"/>
  <c r="C9" i="6" l="1"/>
  <c r="C7" i="6" s="1"/>
  <c r="E11" i="5"/>
  <c r="E17" i="5" s="1"/>
  <c r="G9" i="1"/>
  <c r="C10" i="6" l="1"/>
  <c r="E16" i="5"/>
  <c r="J13" i="6" l="1"/>
  <c r="J12" i="6"/>
  <c r="L15" i="5"/>
  <c r="L14" i="5"/>
  <c r="E14" i="5"/>
</calcChain>
</file>

<file path=xl/sharedStrings.xml><?xml version="1.0" encoding="utf-8"?>
<sst xmlns="http://schemas.openxmlformats.org/spreadsheetml/2006/main" count="68" uniqueCount="49">
  <si>
    <t>d</t>
  </si>
  <si>
    <t>a0</t>
  </si>
  <si>
    <t>r</t>
  </si>
  <si>
    <t>fr</t>
  </si>
  <si>
    <t>mA</t>
  </si>
  <si>
    <t>cA</t>
  </si>
  <si>
    <t>Helmholtz</t>
  </si>
  <si>
    <t>h</t>
  </si>
  <si>
    <t>rA</t>
  </si>
  <si>
    <t>A</t>
  </si>
  <si>
    <t>B</t>
  </si>
  <si>
    <t>Derovana deska</t>
  </si>
  <si>
    <t>e</t>
  </si>
  <si>
    <t>Zadani</t>
  </si>
  <si>
    <t>pohlcovani</t>
  </si>
  <si>
    <t>lambda1</t>
  </si>
  <si>
    <t>f1</t>
  </si>
  <si>
    <t>f2</t>
  </si>
  <si>
    <t>d1</t>
  </si>
  <si>
    <t>d2</t>
  </si>
  <si>
    <t>lambda2</t>
  </si>
  <si>
    <t>davg</t>
  </si>
  <si>
    <t>z0</t>
  </si>
  <si>
    <t>kmit. Memb.</t>
  </si>
  <si>
    <t>rs</t>
  </si>
  <si>
    <t>l</t>
  </si>
  <si>
    <t>mS</t>
  </si>
  <si>
    <t>S</t>
  </si>
  <si>
    <t>c0</t>
  </si>
  <si>
    <t>p0</t>
  </si>
  <si>
    <t>a</t>
  </si>
  <si>
    <t>b</t>
  </si>
  <si>
    <t>deltah</t>
  </si>
  <si>
    <t>u</t>
  </si>
  <si>
    <t>f</t>
  </si>
  <si>
    <t>vypocteno technikou postupneho priblizovani…</t>
  </si>
  <si>
    <t xml:space="preserve">vzd od sebe </t>
  </si>
  <si>
    <t>So</t>
  </si>
  <si>
    <t>Sd</t>
  </si>
  <si>
    <t>R</t>
  </si>
  <si>
    <t>a0-2okt+</t>
  </si>
  <si>
    <t>a0-2okt-</t>
  </si>
  <si>
    <t>V</t>
  </si>
  <si>
    <t>NEFUNKCNI</t>
  </si>
  <si>
    <t>Pohlcování zvuku porézním materiálem předsazeným před stěnu</t>
  </si>
  <si>
    <t>Přizpůsobení měrné akustické impedance porézního materiálu</t>
  </si>
  <si>
    <t>Návrh rezonančního prvku s kmitající membránou</t>
  </si>
  <si>
    <t>Návrh Helmholtzova rezonátoru</t>
  </si>
  <si>
    <t>Návrh děrované desky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</si>
</sst>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1" fillId="0" borderId="0" xfId="0" applyFont="1"/>
    <xf numFmtId="0" fontId="0" fillId="0" borderId="0" xfId="0" applyFont="1"/>
    <xf numFmtId="0" fontId="1" fillId="0" borderId="0" xfId="0" applyFont="1" applyFill="1"/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9EFF2-5BB0-4B6D-AA13-28D0E354E1ED}">
  <dimension ref="A1:G9"/>
  <sheetViews>
    <sheetView tabSelected="1" workbookViewId="0">
      <selection activeCell="D19" sqref="D19"/>
    </sheetView>
  </sheetViews>
  <sheetFormatPr defaultRowHeight="15" x14ac:dyDescent="0.25"/>
  <cols>
    <col min="3" max="3" width="12.28515625" customWidth="1"/>
    <col min="4" max="4" width="16.28515625" bestFit="1" customWidth="1"/>
    <col min="6" max="6" width="14.85546875" customWidth="1"/>
    <col min="10" max="11" width="12" bestFit="1" customWidth="1"/>
  </cols>
  <sheetData>
    <row r="1" spans="1:7" x14ac:dyDescent="0.25">
      <c r="A1" s="5" t="s">
        <v>44</v>
      </c>
    </row>
    <row r="3" spans="1:7" x14ac:dyDescent="0.25">
      <c r="C3" t="s">
        <v>13</v>
      </c>
      <c r="D3" s="2" t="s">
        <v>16</v>
      </c>
      <c r="E3" s="2" t="s">
        <v>17</v>
      </c>
    </row>
    <row r="4" spans="1:7" x14ac:dyDescent="0.25">
      <c r="D4" s="3">
        <v>1000</v>
      </c>
      <c r="E4" s="3">
        <v>2000</v>
      </c>
    </row>
    <row r="6" spans="1:7" x14ac:dyDescent="0.25">
      <c r="C6" t="s">
        <v>15</v>
      </c>
      <c r="D6">
        <f xml:space="preserve"> G6/D4</f>
        <v>0.34</v>
      </c>
      <c r="F6" t="s">
        <v>28</v>
      </c>
      <c r="G6">
        <v>340</v>
      </c>
    </row>
    <row r="7" spans="1:7" x14ac:dyDescent="0.25">
      <c r="C7" t="s">
        <v>20</v>
      </c>
      <c r="D7">
        <f xml:space="preserve"> G6/E4</f>
        <v>0.17</v>
      </c>
    </row>
    <row r="8" spans="1:7" x14ac:dyDescent="0.25">
      <c r="C8" t="s">
        <v>18</v>
      </c>
      <c r="D8">
        <f>D6/4</f>
        <v>8.5000000000000006E-2</v>
      </c>
      <c r="F8" t="s">
        <v>21</v>
      </c>
      <c r="G8">
        <f>(D8+D9)/2</f>
        <v>6.3750000000000001E-2</v>
      </c>
    </row>
    <row r="9" spans="1:7" x14ac:dyDescent="0.25">
      <c r="C9" t="s">
        <v>19</v>
      </c>
      <c r="D9">
        <f>D7/4</f>
        <v>4.2500000000000003E-2</v>
      </c>
      <c r="F9" t="s">
        <v>7</v>
      </c>
      <c r="G9">
        <f>D8-D9</f>
        <v>4.2500000000000003E-2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4649C-9E0E-480E-B155-9939906503E5}">
  <dimension ref="A1:I7"/>
  <sheetViews>
    <sheetView workbookViewId="0">
      <selection activeCell="F23" sqref="F23"/>
    </sheetView>
  </sheetViews>
  <sheetFormatPr defaultRowHeight="15" x14ac:dyDescent="0.25"/>
  <sheetData>
    <row r="1" spans="1:9" x14ac:dyDescent="0.25">
      <c r="A1" s="5" t="s">
        <v>45</v>
      </c>
    </row>
    <row r="4" spans="1:9" x14ac:dyDescent="0.25">
      <c r="C4" t="s">
        <v>14</v>
      </c>
    </row>
    <row r="5" spans="1:9" x14ac:dyDescent="0.25">
      <c r="C5" t="s">
        <v>1</v>
      </c>
      <c r="D5">
        <f>4*D6*G5/((D6+G5)^2)</f>
        <v>0.99999935068350332</v>
      </c>
      <c r="F5" t="s">
        <v>22</v>
      </c>
      <c r="G5">
        <v>414</v>
      </c>
    </row>
    <row r="6" spans="1:9" x14ac:dyDescent="0.25">
      <c r="C6" t="s">
        <v>2</v>
      </c>
      <c r="D6">
        <f>G6*G7/3</f>
        <v>413.33333333333331</v>
      </c>
      <c r="F6" s="2" t="s">
        <v>24</v>
      </c>
      <c r="G6">
        <f>10000</f>
        <v>10000</v>
      </c>
    </row>
    <row r="7" spans="1:9" x14ac:dyDescent="0.25">
      <c r="F7" t="s">
        <v>25</v>
      </c>
      <c r="G7">
        <v>0.124</v>
      </c>
      <c r="I7" t="s">
        <v>35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011FD-6597-4E63-8429-F0B5796CF560}">
  <dimension ref="A1:G9"/>
  <sheetViews>
    <sheetView workbookViewId="0">
      <selection activeCell="A2" sqref="A2"/>
    </sheetView>
  </sheetViews>
  <sheetFormatPr defaultRowHeight="15" x14ac:dyDescent="0.25"/>
  <sheetData>
    <row r="1" spans="1:7" x14ac:dyDescent="0.25">
      <c r="A1" s="5" t="s">
        <v>46</v>
      </c>
    </row>
    <row r="5" spans="1:7" x14ac:dyDescent="0.25">
      <c r="C5" t="s">
        <v>23</v>
      </c>
    </row>
    <row r="6" spans="1:7" x14ac:dyDescent="0.25">
      <c r="F6" t="s">
        <v>29</v>
      </c>
      <c r="G6">
        <v>1.2050000000000001</v>
      </c>
    </row>
    <row r="7" spans="1:7" x14ac:dyDescent="0.25">
      <c r="C7" t="s">
        <v>4</v>
      </c>
      <c r="D7">
        <f>G7/G8</f>
        <v>3</v>
      </c>
      <c r="F7" s="2" t="s">
        <v>26</v>
      </c>
      <c r="G7">
        <v>3</v>
      </c>
    </row>
    <row r="8" spans="1:7" x14ac:dyDescent="0.25">
      <c r="C8" t="s">
        <v>5</v>
      </c>
      <c r="D8">
        <f>((1/(2*PI()*G9))^2)/D7</f>
        <v>2.1108579925487036E-7</v>
      </c>
      <c r="F8" t="s">
        <v>27</v>
      </c>
      <c r="G8">
        <v>1</v>
      </c>
    </row>
    <row r="9" spans="1:7" x14ac:dyDescent="0.25">
      <c r="C9" t="s">
        <v>0</v>
      </c>
      <c r="D9">
        <f>(D8*G6*('Material před stenou'!G6^2))/G8</f>
        <v>2.9403829664604933E-2</v>
      </c>
      <c r="F9" s="2" t="s">
        <v>3</v>
      </c>
      <c r="G9">
        <v>200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88ABC-50BE-4F0D-8C4B-681258F763E4}">
  <dimension ref="A1:M17"/>
  <sheetViews>
    <sheetView workbookViewId="0">
      <selection activeCell="A2" sqref="A2"/>
    </sheetView>
  </sheetViews>
  <sheetFormatPr defaultRowHeight="15" x14ac:dyDescent="0.25"/>
  <sheetData>
    <row r="1" spans="1:13" x14ac:dyDescent="0.25">
      <c r="A1" s="5" t="s">
        <v>47</v>
      </c>
    </row>
    <row r="8" spans="1:13" x14ac:dyDescent="0.25">
      <c r="D8" t="s">
        <v>6</v>
      </c>
    </row>
    <row r="9" spans="1:13" x14ac:dyDescent="0.25">
      <c r="D9" t="s">
        <v>4</v>
      </c>
      <c r="E9">
        <f>H12*(H11+2*E10)/H9*H10</f>
        <v>5.209609393615243</v>
      </c>
      <c r="G9" s="2" t="s">
        <v>30</v>
      </c>
      <c r="H9">
        <v>0.05</v>
      </c>
    </row>
    <row r="10" spans="1:13" x14ac:dyDescent="0.25">
      <c r="D10" t="s">
        <v>32</v>
      </c>
      <c r="E10">
        <f>POWER(PI()*H9*H10,1/2)/4</f>
        <v>9.9083182440150269E-2</v>
      </c>
      <c r="G10" s="2" t="s">
        <v>31</v>
      </c>
      <c r="H10">
        <v>1</v>
      </c>
    </row>
    <row r="11" spans="1:13" x14ac:dyDescent="0.25">
      <c r="D11" t="s">
        <v>5</v>
      </c>
      <c r="E11">
        <f>((1/(2*PI()*H16))^2)/E9</f>
        <v>4.8622255521937155E-7</v>
      </c>
      <c r="G11" s="2" t="s">
        <v>7</v>
      </c>
      <c r="H11">
        <v>1.7999999999999999E-2</v>
      </c>
    </row>
    <row r="12" spans="1:13" x14ac:dyDescent="0.25">
      <c r="D12" t="s">
        <v>8</v>
      </c>
      <c r="E12">
        <f>12*H14*H11/(H9^3)*H10</f>
        <v>3.1103999999999993E-2</v>
      </c>
      <c r="G12" t="s">
        <v>29</v>
      </c>
      <c r="H12">
        <v>1.2050000000000001</v>
      </c>
    </row>
    <row r="13" spans="1:13" x14ac:dyDescent="0.25">
      <c r="D13" t="s">
        <v>2</v>
      </c>
      <c r="E13">
        <f>(H13*H17)/3</f>
        <v>333.33333333333331</v>
      </c>
      <c r="G13" t="s">
        <v>24</v>
      </c>
      <c r="H13">
        <v>10000</v>
      </c>
    </row>
    <row r="14" spans="1:13" x14ac:dyDescent="0.25">
      <c r="D14" t="s">
        <v>1</v>
      </c>
      <c r="E14">
        <f>4*E15/(((1+E15)^2)+(E16^2)*((H15/H16-H16/H15)^2))</f>
        <v>3.1903893819880831E-5</v>
      </c>
      <c r="G14" t="s">
        <v>33</v>
      </c>
      <c r="H14">
        <f>1.8*10^(-5)</f>
        <v>1.8E-5</v>
      </c>
      <c r="K14" t="s">
        <v>40</v>
      </c>
      <c r="L14">
        <f>4*E15/(((1+E15)^2)+(E16^2)*((M14/H16-H16/M14)^2))</f>
        <v>3.6122986881123452E-3</v>
      </c>
      <c r="M14">
        <f>4*H16</f>
        <v>400</v>
      </c>
    </row>
    <row r="15" spans="1:13" x14ac:dyDescent="0.25">
      <c r="D15" t="s">
        <v>9</v>
      </c>
      <c r="E15">
        <f>E13/(H12*'Material před stenou'!G6)</f>
        <v>0.81360344967862652</v>
      </c>
      <c r="G15" t="s">
        <v>34</v>
      </c>
      <c r="H15">
        <v>4000</v>
      </c>
      <c r="K15" t="s">
        <v>41</v>
      </c>
      <c r="L15">
        <f>4*E15/(((1+E15)^2)+(E16^2)*((M15/H16-H16/M15)^2))</f>
        <v>3.6122986881123452E-3</v>
      </c>
      <c r="M15">
        <f>0.25*H16</f>
        <v>25</v>
      </c>
    </row>
    <row r="16" spans="1:13" x14ac:dyDescent="0.25">
      <c r="D16" t="s">
        <v>10</v>
      </c>
      <c r="E16">
        <f>1/(H12*'Material před stenou'!G6)*POWER(E9/E11,1/2)</f>
        <v>7.989490163072503</v>
      </c>
      <c r="G16" s="2" t="s">
        <v>3</v>
      </c>
      <c r="H16">
        <v>100</v>
      </c>
    </row>
    <row r="17" spans="4:8" x14ac:dyDescent="0.25">
      <c r="D17" t="s">
        <v>42</v>
      </c>
      <c r="E17">
        <f>E11*H12*'Material před stenou'!G6^2</f>
        <v>6.7729829496948016E-2</v>
      </c>
      <c r="G17" s="2" t="s">
        <v>25</v>
      </c>
      <c r="H17">
        <v>0.1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B5937-EADF-44A3-8A41-16901446DFF6}">
  <dimension ref="A1:K13"/>
  <sheetViews>
    <sheetView workbookViewId="0">
      <selection activeCell="C16" sqref="C16"/>
    </sheetView>
  </sheetViews>
  <sheetFormatPr defaultRowHeight="15" x14ac:dyDescent="0.25"/>
  <sheetData>
    <row r="1" spans="1:11" x14ac:dyDescent="0.25">
      <c r="A1" s="5" t="s">
        <v>48</v>
      </c>
    </row>
    <row r="3" spans="1:11" x14ac:dyDescent="0.25">
      <c r="B3" s="6" t="s">
        <v>43</v>
      </c>
    </row>
    <row r="6" spans="1:11" x14ac:dyDescent="0.25">
      <c r="B6" s="1" t="s">
        <v>11</v>
      </c>
      <c r="C6" s="1"/>
      <c r="D6" s="1"/>
      <c r="E6" s="1"/>
      <c r="F6" s="1"/>
    </row>
    <row r="7" spans="1:11" x14ac:dyDescent="0.25">
      <c r="B7" s="1" t="s">
        <v>3</v>
      </c>
      <c r="C7" s="1">
        <f>('Material před stenou'!G6/2*PI())*POWER(C8/C12*(F8+2*C9),1/2)</f>
        <v>76.820523644752726</v>
      </c>
      <c r="D7" s="1"/>
      <c r="E7" s="4" t="s">
        <v>0</v>
      </c>
      <c r="F7" s="1">
        <v>4</v>
      </c>
    </row>
    <row r="8" spans="1:11" x14ac:dyDescent="0.25">
      <c r="B8" s="1" t="s">
        <v>12</v>
      </c>
      <c r="C8" s="1">
        <f>I8/I9</f>
        <v>0.78539816339744828</v>
      </c>
      <c r="D8" s="1"/>
      <c r="E8" s="4" t="s">
        <v>7</v>
      </c>
      <c r="F8" s="4">
        <v>0.05</v>
      </c>
      <c r="H8" t="s">
        <v>37</v>
      </c>
      <c r="I8">
        <f>PI()*(F11)^2</f>
        <v>12.566370614359172</v>
      </c>
    </row>
    <row r="9" spans="1:11" x14ac:dyDescent="0.25">
      <c r="B9" s="1" t="s">
        <v>32</v>
      </c>
      <c r="C9" s="1">
        <f>0.8*F11*(1-1.47*POWER(C8,1/2)+0.47*POWER(C8,3/2))</f>
        <v>3.9017103037293936E-2</v>
      </c>
      <c r="D9" s="1"/>
      <c r="E9" s="4"/>
      <c r="F9" s="1"/>
      <c r="H9" t="s">
        <v>38</v>
      </c>
      <c r="I9">
        <f>F7*F7</f>
        <v>16</v>
      </c>
    </row>
    <row r="10" spans="1:11" x14ac:dyDescent="0.25">
      <c r="B10" s="1" t="s">
        <v>10</v>
      </c>
      <c r="C10" s="1">
        <f>POWER((F8+2*C9/C8*C12),1/2)</f>
        <v>0.72999762793049838</v>
      </c>
      <c r="D10" s="1"/>
      <c r="E10" s="4" t="s">
        <v>36</v>
      </c>
      <c r="F10" s="1">
        <v>0.02</v>
      </c>
    </row>
    <row r="11" spans="1:11" x14ac:dyDescent="0.25">
      <c r="B11" s="1" t="s">
        <v>9</v>
      </c>
      <c r="C11">
        <f>F11/(Helmholtz!H12*'Material před stenou'!G6)</f>
        <v>4.881620698071759E-3</v>
      </c>
      <c r="E11" s="1" t="s">
        <v>39</v>
      </c>
      <c r="F11">
        <f>F7/2</f>
        <v>2</v>
      </c>
    </row>
    <row r="12" spans="1:11" x14ac:dyDescent="0.25">
      <c r="B12" t="s">
        <v>0</v>
      </c>
      <c r="C12">
        <f>((('Material před stenou'!G6/2*PI())^2)*C8)/((F12^2)*(F8+2*C9))</f>
        <v>4.8602538832617475</v>
      </c>
      <c r="E12" s="4" t="s">
        <v>3</v>
      </c>
      <c r="F12" s="2">
        <v>600</v>
      </c>
      <c r="I12" t="s">
        <v>40</v>
      </c>
      <c r="J12">
        <f>4*C11/(((1+C10)^2)+(C10^2)*((K12/F12-F12/K12)^2))</f>
        <v>1.8620148300506774E-3</v>
      </c>
      <c r="K12">
        <f>4*F12</f>
        <v>2400</v>
      </c>
    </row>
    <row r="13" spans="1:11" x14ac:dyDescent="0.25">
      <c r="I13" t="s">
        <v>41</v>
      </c>
      <c r="J13">
        <f>4*C11/(((1+C10)^2)+(C10^2)*((K13/F12-F12/K13)^2))</f>
        <v>1.8620148300506774E-3</v>
      </c>
      <c r="K13">
        <f>0.25*F12</f>
        <v>150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5</vt:i4>
      </vt:variant>
    </vt:vector>
  </HeadingPairs>
  <TitlesOfParts>
    <vt:vector size="5" baseType="lpstr">
      <vt:lpstr>Material před stenou</vt:lpstr>
      <vt:lpstr>Prizpusobeni</vt:lpstr>
      <vt:lpstr>Rezonancni prvek</vt:lpstr>
      <vt:lpstr>Helmholtz</vt:lpstr>
      <vt:lpstr>Derovana deska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2022-04-14T10:11:15Z</dcterms:created>
  <dcterms:modified xsi:type="dcterms:W3CDTF">2022-04-14T12:09:30Z</dcterms:modified>
</cp:coreProperties>
</file>